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事業支援チーム\Ｒ３\5_省エネ型換気・空調設備導入支援事業\8_ホームページ\★HP更新内容\20211220\更新様式\名称修正版\"/>
    </mc:Choice>
  </mc:AlternateContent>
  <workbookProtection workbookPassword="E6DC" lockStructure="1"/>
  <bookViews>
    <workbookView xWindow="0" yWindow="31800" windowWidth="20496" windowHeight="8808" tabRatio="712" firstSheet="1" activeTab="1"/>
  </bookViews>
  <sheets>
    <sheet name="計算" sheetId="5" state="hidden" r:id="rId1"/>
    <sheet name="1.換気～比較表" sheetId="10" r:id="rId2"/>
    <sheet name="2-3.設備仕様入力" sheetId="2" r:id="rId3"/>
    <sheet name="4.エネルギー使用量" sheetId="4" r:id="rId4"/>
    <sheet name="5.概算使用量" sheetId="17" r:id="rId5"/>
  </sheets>
  <definedNames>
    <definedName name="_xlnm.Print_Area" localSheetId="1">'1.換気～比較表'!$A$18:$O$44</definedName>
    <definedName name="_xlnm.Print_Area" localSheetId="2">'2-3.設備仕様入力'!$A$18:$O$159</definedName>
    <definedName name="_xlnm.Print_Area" localSheetId="3">'4.エネルギー使用量'!$A$15:$J$94</definedName>
    <definedName name="_xlnm.Print_Area" localSheetId="4">'5.概算使用量'!$A$12:$K$40</definedName>
    <definedName name="_xlnm.Print_Titles" localSheetId="3">'4.エネルギー使用量'!$16:$16</definedName>
    <definedName name="_xlnm.Print_Titles" localSheetId="4">'5.概算使用量'!$13:$14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6" i="2" l="1"/>
  <c r="D129" i="2"/>
  <c r="E129" i="2"/>
  <c r="F129" i="2"/>
  <c r="G129" i="2"/>
  <c r="H129" i="2"/>
  <c r="I129" i="2"/>
  <c r="K129" i="2"/>
  <c r="L129" i="2"/>
  <c r="M129" i="2"/>
  <c r="J129" i="2"/>
  <c r="E107" i="2"/>
  <c r="F107" i="2"/>
  <c r="G107" i="2"/>
  <c r="H107" i="2"/>
  <c r="I107" i="2"/>
  <c r="J107" i="2"/>
  <c r="K107" i="2"/>
  <c r="L107" i="2"/>
  <c r="M107" i="2"/>
  <c r="D107" i="2"/>
  <c r="E106" i="2"/>
  <c r="F106" i="2"/>
  <c r="G106" i="2"/>
  <c r="G108" i="2" s="1"/>
  <c r="H106" i="2"/>
  <c r="I106" i="2"/>
  <c r="J106" i="2"/>
  <c r="J108" i="2" s="1"/>
  <c r="K106" i="2"/>
  <c r="K108" i="2" s="1"/>
  <c r="L106" i="2"/>
  <c r="M106" i="2"/>
  <c r="E130" i="2"/>
  <c r="F130" i="2"/>
  <c r="G130" i="2"/>
  <c r="H130" i="2"/>
  <c r="I130" i="2"/>
  <c r="J130" i="2"/>
  <c r="K130" i="2"/>
  <c r="L130" i="2"/>
  <c r="M130" i="2"/>
  <c r="D130" i="2"/>
  <c r="M109" i="2"/>
  <c r="U132" i="2"/>
  <c r="U109" i="2"/>
  <c r="AB31" i="5"/>
  <c r="V32" i="5"/>
  <c r="S31" i="5"/>
  <c r="P31" i="5"/>
  <c r="O31" i="5"/>
  <c r="P32" i="5"/>
  <c r="D132" i="2"/>
  <c r="M132" i="2"/>
  <c r="L132" i="2"/>
  <c r="K132" i="2"/>
  <c r="J132" i="2"/>
  <c r="I132" i="2"/>
  <c r="H132" i="2"/>
  <c r="G132" i="2"/>
  <c r="F132" i="2"/>
  <c r="E132" i="2"/>
  <c r="F109" i="2"/>
  <c r="G109" i="2"/>
  <c r="H109" i="2"/>
  <c r="I109" i="2"/>
  <c r="J109" i="2"/>
  <c r="K109" i="2"/>
  <c r="L109" i="2"/>
  <c r="D109" i="2"/>
  <c r="E109" i="2"/>
  <c r="D48" i="2"/>
  <c r="E48" i="2"/>
  <c r="F48" i="2"/>
  <c r="G48" i="2"/>
  <c r="H48" i="2"/>
  <c r="J48" i="2"/>
  <c r="K48" i="2"/>
  <c r="L48" i="2"/>
  <c r="M48" i="2"/>
  <c r="I48" i="2"/>
  <c r="R48" i="2"/>
  <c r="S48" i="2"/>
  <c r="D53" i="2"/>
  <c r="F53" i="2"/>
  <c r="G53" i="2"/>
  <c r="H53" i="2"/>
  <c r="I53" i="2"/>
  <c r="J53" i="2"/>
  <c r="K53" i="2"/>
  <c r="L53" i="2"/>
  <c r="M53" i="2"/>
  <c r="E53" i="2"/>
  <c r="F131" i="2" l="1"/>
  <c r="I108" i="2"/>
  <c r="M108" i="2"/>
  <c r="E108" i="2"/>
  <c r="H131" i="2"/>
  <c r="J131" i="2"/>
  <c r="E131" i="2"/>
  <c r="H108" i="2"/>
  <c r="D108" i="2"/>
  <c r="I131" i="2"/>
  <c r="G131" i="2"/>
  <c r="M131" i="2"/>
  <c r="F108" i="2"/>
  <c r="L108" i="2"/>
  <c r="D131" i="2"/>
  <c r="K131" i="2"/>
  <c r="L131" i="2"/>
  <c r="T106" i="2"/>
  <c r="O106" i="2"/>
  <c r="R107" i="2"/>
  <c r="T107" i="2"/>
  <c r="R106" i="2"/>
  <c r="S106" i="2"/>
  <c r="S107" i="2"/>
  <c r="S130" i="2"/>
  <c r="S129" i="2"/>
  <c r="R129" i="2"/>
  <c r="T129" i="2"/>
  <c r="O129" i="2"/>
  <c r="P129" i="2"/>
  <c r="Q129" i="2"/>
  <c r="R130" i="2"/>
  <c r="T130" i="2"/>
  <c r="P130" i="2"/>
  <c r="Q130" i="2"/>
  <c r="O130" i="2"/>
  <c r="Q106" i="2"/>
  <c r="P106" i="2"/>
  <c r="Q132" i="2"/>
  <c r="O132" i="2"/>
  <c r="P132" i="2"/>
  <c r="Q109" i="2"/>
  <c r="O109" i="2"/>
  <c r="P109" i="2"/>
  <c r="N109" i="2" s="1"/>
  <c r="O48" i="2"/>
  <c r="N48" i="2" s="1"/>
  <c r="P48" i="2"/>
  <c r="Q48" i="2"/>
  <c r="G51" i="2"/>
  <c r="G49" i="2"/>
  <c r="Q108" i="2" l="1"/>
  <c r="Q131" i="2"/>
  <c r="N132" i="2"/>
  <c r="P108" i="2"/>
  <c r="O131" i="2"/>
  <c r="P131" i="2"/>
  <c r="O108" i="2"/>
  <c r="S30" i="2"/>
  <c r="E30" i="2"/>
  <c r="F30" i="2"/>
  <c r="G30" i="2"/>
  <c r="H30" i="2"/>
  <c r="I30" i="2"/>
  <c r="J30" i="2"/>
  <c r="K30" i="2"/>
  <c r="L30" i="2"/>
  <c r="M30" i="2"/>
  <c r="D30" i="2"/>
  <c r="D45" i="2"/>
  <c r="N131" i="2" l="1"/>
  <c r="N108" i="2"/>
  <c r="Q30" i="2"/>
  <c r="O30" i="2"/>
  <c r="P30" i="2"/>
  <c r="P40" i="5"/>
  <c r="P39" i="5"/>
  <c r="P38" i="5"/>
  <c r="P37" i="5"/>
  <c r="P36" i="5"/>
  <c r="P35" i="5"/>
  <c r="P33" i="5"/>
  <c r="AC55" i="5"/>
  <c r="AB55" i="5"/>
  <c r="Z55" i="5"/>
  <c r="Y55" i="5"/>
  <c r="W55" i="5"/>
  <c r="V55" i="5"/>
  <c r="T55" i="5"/>
  <c r="S55" i="5"/>
  <c r="Q55" i="5"/>
  <c r="P55" i="5"/>
  <c r="AC54" i="5"/>
  <c r="AB54" i="5"/>
  <c r="Z54" i="5"/>
  <c r="Y54" i="5"/>
  <c r="W54" i="5"/>
  <c r="V54" i="5"/>
  <c r="T54" i="5"/>
  <c r="S54" i="5"/>
  <c r="Q54" i="5"/>
  <c r="P54" i="5"/>
  <c r="AC53" i="5"/>
  <c r="AB53" i="5"/>
  <c r="Z53" i="5"/>
  <c r="Y53" i="5"/>
  <c r="W53" i="5"/>
  <c r="V53" i="5"/>
  <c r="T53" i="5"/>
  <c r="S53" i="5"/>
  <c r="Q53" i="5"/>
  <c r="P53" i="5"/>
  <c r="AC52" i="5"/>
  <c r="AB52" i="5"/>
  <c r="Z52" i="5"/>
  <c r="Y52" i="5"/>
  <c r="W52" i="5"/>
  <c r="V52" i="5"/>
  <c r="T52" i="5"/>
  <c r="S52" i="5"/>
  <c r="Q52" i="5"/>
  <c r="P52" i="5"/>
  <c r="AC51" i="5"/>
  <c r="AB51" i="5"/>
  <c r="Z51" i="5"/>
  <c r="Y51" i="5"/>
  <c r="W51" i="5"/>
  <c r="V51" i="5"/>
  <c r="T51" i="5"/>
  <c r="S51" i="5"/>
  <c r="Q51" i="5"/>
  <c r="P51" i="5"/>
  <c r="AC50" i="5"/>
  <c r="AB50" i="5"/>
  <c r="Z50" i="5"/>
  <c r="Y50" i="5"/>
  <c r="W50" i="5"/>
  <c r="V50" i="5"/>
  <c r="T50" i="5"/>
  <c r="S50" i="5"/>
  <c r="Q50" i="5"/>
  <c r="P50" i="5"/>
  <c r="AC49" i="5"/>
  <c r="AB49" i="5"/>
  <c r="Z49" i="5"/>
  <c r="Y49" i="5"/>
  <c r="W49" i="5"/>
  <c r="V49" i="5"/>
  <c r="T49" i="5"/>
  <c r="S49" i="5"/>
  <c r="Q49" i="5"/>
  <c r="P49" i="5"/>
  <c r="AC48" i="5"/>
  <c r="AB48" i="5"/>
  <c r="Z48" i="5"/>
  <c r="Y48" i="5"/>
  <c r="W48" i="5"/>
  <c r="V48" i="5"/>
  <c r="T48" i="5"/>
  <c r="S48" i="5"/>
  <c r="Q48" i="5"/>
  <c r="P48" i="5"/>
  <c r="AC47" i="5"/>
  <c r="AB47" i="5"/>
  <c r="Z47" i="5"/>
  <c r="Y47" i="5"/>
  <c r="W47" i="5"/>
  <c r="V47" i="5"/>
  <c r="T47" i="5"/>
  <c r="S47" i="5"/>
  <c r="Q47" i="5"/>
  <c r="P47" i="5"/>
  <c r="AC46" i="5"/>
  <c r="AB46" i="5"/>
  <c r="Z46" i="5"/>
  <c r="Y46" i="5"/>
  <c r="W46" i="5"/>
  <c r="V46" i="5"/>
  <c r="T46" i="5"/>
  <c r="S46" i="5"/>
  <c r="Q46" i="5"/>
  <c r="P46" i="5"/>
  <c r="AC40" i="5"/>
  <c r="AB40" i="5"/>
  <c r="Z40" i="5"/>
  <c r="Y40" i="5"/>
  <c r="W40" i="5"/>
  <c r="V40" i="5"/>
  <c r="T40" i="5"/>
  <c r="S40" i="5"/>
  <c r="Q40" i="5"/>
  <c r="AC39" i="5"/>
  <c r="AB39" i="5"/>
  <c r="Z39" i="5"/>
  <c r="Y39" i="5"/>
  <c r="W39" i="5"/>
  <c r="V39" i="5"/>
  <c r="T39" i="5"/>
  <c r="S39" i="5"/>
  <c r="Q39" i="5"/>
  <c r="AC38" i="5"/>
  <c r="AB38" i="5"/>
  <c r="Z38" i="5"/>
  <c r="Y38" i="5"/>
  <c r="W38" i="5"/>
  <c r="V38" i="5"/>
  <c r="T38" i="5"/>
  <c r="S38" i="5"/>
  <c r="Q38" i="5"/>
  <c r="AC37" i="5"/>
  <c r="AB37" i="5"/>
  <c r="Z37" i="5"/>
  <c r="Y37" i="5"/>
  <c r="W37" i="5"/>
  <c r="V37" i="5"/>
  <c r="T37" i="5"/>
  <c r="S37" i="5"/>
  <c r="Q37" i="5"/>
  <c r="AC36" i="5"/>
  <c r="AB36" i="5"/>
  <c r="Z36" i="5"/>
  <c r="Y36" i="5"/>
  <c r="W36" i="5"/>
  <c r="V36" i="5"/>
  <c r="T36" i="5"/>
  <c r="S36" i="5"/>
  <c r="Q36" i="5"/>
  <c r="AC35" i="5"/>
  <c r="AB35" i="5"/>
  <c r="Z35" i="5"/>
  <c r="Y35" i="5"/>
  <c r="W35" i="5"/>
  <c r="V35" i="5"/>
  <c r="T35" i="5"/>
  <c r="S35" i="5"/>
  <c r="Q35" i="5"/>
  <c r="AC34" i="5"/>
  <c r="AB34" i="5"/>
  <c r="Z34" i="5"/>
  <c r="Y34" i="5"/>
  <c r="W34" i="5"/>
  <c r="V34" i="5"/>
  <c r="T34" i="5"/>
  <c r="S34" i="5"/>
  <c r="Q34" i="5"/>
  <c r="P34" i="5"/>
  <c r="AC33" i="5"/>
  <c r="AB33" i="5"/>
  <c r="Z33" i="5"/>
  <c r="Y33" i="5"/>
  <c r="W33" i="5"/>
  <c r="V33" i="5"/>
  <c r="T33" i="5"/>
  <c r="S33" i="5"/>
  <c r="Q33" i="5"/>
  <c r="AC32" i="5"/>
  <c r="AB32" i="5"/>
  <c r="Z32" i="5"/>
  <c r="Y32" i="5"/>
  <c r="W32" i="5"/>
  <c r="T32" i="5"/>
  <c r="S32" i="5"/>
  <c r="Q32" i="5"/>
  <c r="AC31" i="5"/>
  <c r="Z31" i="5"/>
  <c r="Y31" i="5"/>
  <c r="W31" i="5"/>
  <c r="V31" i="5"/>
  <c r="T31" i="5"/>
  <c r="Q31" i="5"/>
  <c r="E45" i="2"/>
  <c r="F45" i="2"/>
  <c r="G45" i="2"/>
  <c r="H45" i="2"/>
  <c r="J45" i="2"/>
  <c r="K45" i="2"/>
  <c r="L45" i="2"/>
  <c r="M45" i="2"/>
  <c r="I45" i="2"/>
  <c r="S53" i="2"/>
  <c r="S45" i="2"/>
  <c r="F51" i="2"/>
  <c r="E49" i="2"/>
  <c r="F49" i="2"/>
  <c r="H49" i="2"/>
  <c r="I49" i="2"/>
  <c r="J49" i="2"/>
  <c r="K49" i="2"/>
  <c r="L49" i="2"/>
  <c r="M49" i="2"/>
  <c r="E50" i="2"/>
  <c r="F50" i="2"/>
  <c r="G50" i="2"/>
  <c r="H50" i="2"/>
  <c r="I50" i="2"/>
  <c r="J50" i="2"/>
  <c r="K50" i="2"/>
  <c r="L50" i="2"/>
  <c r="M50" i="2"/>
  <c r="D50" i="2"/>
  <c r="D49" i="2"/>
  <c r="E51" i="2"/>
  <c r="H51" i="2"/>
  <c r="I51" i="2"/>
  <c r="J51" i="2"/>
  <c r="K51" i="2"/>
  <c r="L51" i="2"/>
  <c r="M51" i="2"/>
  <c r="E52" i="2"/>
  <c r="F52" i="2"/>
  <c r="G52" i="2"/>
  <c r="H52" i="2"/>
  <c r="I52" i="2"/>
  <c r="J52" i="2"/>
  <c r="K52" i="2"/>
  <c r="L52" i="2"/>
  <c r="M52" i="2"/>
  <c r="D52" i="2"/>
  <c r="D51" i="2"/>
  <c r="N30" i="2" l="1"/>
  <c r="P45" i="2"/>
  <c r="Q45" i="2"/>
  <c r="O45" i="2"/>
  <c r="N45" i="2" s="1"/>
  <c r="R52" i="2" l="1"/>
  <c r="S46" i="2"/>
  <c r="S51" i="2"/>
  <c r="S49" i="2"/>
  <c r="E47" i="2"/>
  <c r="F47" i="2"/>
  <c r="G47" i="2"/>
  <c r="H47" i="2"/>
  <c r="I47" i="2"/>
  <c r="J47" i="2"/>
  <c r="K47" i="2"/>
  <c r="L47" i="2"/>
  <c r="M47" i="2"/>
  <c r="D47" i="2"/>
  <c r="O53" i="2" l="1"/>
  <c r="Q53" i="2"/>
  <c r="P53" i="2"/>
  <c r="O52" i="2"/>
  <c r="O51" i="2"/>
  <c r="I28" i="17"/>
  <c r="N52" i="2" l="1"/>
  <c r="F32" i="17"/>
  <c r="E32" i="10" l="1"/>
  <c r="B84" i="2" l="1"/>
  <c r="R51" i="2" l="1"/>
  <c r="N53" i="2" s="1"/>
  <c r="O50" i="2" l="1"/>
  <c r="P49" i="2"/>
  <c r="P50" i="2"/>
  <c r="Q50" i="2"/>
  <c r="O49" i="2"/>
  <c r="Q49" i="2"/>
  <c r="S47" i="2"/>
  <c r="N50" i="2" l="1"/>
  <c r="P47" i="2"/>
  <c r="Q47" i="2"/>
  <c r="O47" i="2"/>
  <c r="N47" i="2" s="1"/>
  <c r="B35" i="4"/>
  <c r="B40" i="4" s="1"/>
  <c r="E31" i="10" l="1"/>
  <c r="F22" i="17" l="1"/>
  <c r="F23" i="17" s="1"/>
  <c r="H42" i="2"/>
  <c r="H46" i="2" s="1"/>
  <c r="H25" i="4"/>
  <c r="E42" i="2"/>
  <c r="E46" i="2" s="1"/>
  <c r="K3" i="5" l="1"/>
  <c r="J3" i="5"/>
  <c r="I25" i="4" s="1"/>
  <c r="I27" i="4" s="1"/>
  <c r="Q51" i="2"/>
  <c r="P52" i="2"/>
  <c r="Q52" i="2"/>
  <c r="P51" i="2"/>
  <c r="G33" i="10"/>
  <c r="F33" i="17" l="1"/>
  <c r="I13" i="17" s="1"/>
  <c r="F23" i="10"/>
  <c r="G23" i="10"/>
  <c r="H23" i="10"/>
  <c r="I23" i="10"/>
  <c r="J23" i="10"/>
  <c r="K23" i="10"/>
  <c r="L23" i="10"/>
  <c r="M23" i="10"/>
  <c r="N23" i="10"/>
  <c r="E23" i="10"/>
  <c r="E35" i="10"/>
  <c r="E36" i="10" s="1"/>
  <c r="O55" i="5" l="1"/>
  <c r="O40" i="5"/>
  <c r="O39" i="5"/>
  <c r="O38" i="5"/>
  <c r="O37" i="5"/>
  <c r="O36" i="5"/>
  <c r="O35" i="5"/>
  <c r="O34" i="5"/>
  <c r="O33" i="5"/>
  <c r="O32" i="5"/>
  <c r="P107" i="2" l="1"/>
  <c r="O107" i="2"/>
  <c r="Q107" i="2"/>
  <c r="F33" i="10"/>
  <c r="F34" i="10" s="1"/>
  <c r="G34" i="10"/>
  <c r="H33" i="10"/>
  <c r="H34" i="10" s="1"/>
  <c r="I33" i="10"/>
  <c r="I34" i="10" s="1"/>
  <c r="J33" i="10"/>
  <c r="J34" i="10" s="1"/>
  <c r="K33" i="10"/>
  <c r="K34" i="10" s="1"/>
  <c r="L33" i="10"/>
  <c r="L34" i="10" s="1"/>
  <c r="M33" i="10"/>
  <c r="M34" i="10" s="1"/>
  <c r="N33" i="10"/>
  <c r="N34" i="10" s="1"/>
  <c r="E33" i="10"/>
  <c r="E34" i="10" s="1"/>
  <c r="F32" i="10"/>
  <c r="G32" i="10"/>
  <c r="H32" i="10"/>
  <c r="I32" i="10"/>
  <c r="J32" i="10"/>
  <c r="K32" i="10"/>
  <c r="L32" i="10"/>
  <c r="M32" i="10"/>
  <c r="N32" i="10"/>
  <c r="H31" i="10"/>
  <c r="F31" i="10"/>
  <c r="G31" i="10"/>
  <c r="I31" i="10"/>
  <c r="I35" i="10" s="1"/>
  <c r="J31" i="10"/>
  <c r="K31" i="10"/>
  <c r="L31" i="10"/>
  <c r="M31" i="10"/>
  <c r="N31" i="10"/>
  <c r="N35" i="10" s="1"/>
  <c r="O54" i="5"/>
  <c r="O53" i="5"/>
  <c r="O52" i="5"/>
  <c r="O51" i="5"/>
  <c r="O50" i="5"/>
  <c r="O49" i="5"/>
  <c r="O48" i="5"/>
  <c r="O47" i="5"/>
  <c r="O46" i="5"/>
  <c r="H35" i="10" l="1"/>
  <c r="G35" i="10"/>
  <c r="K35" i="10"/>
  <c r="K36" i="10" s="1"/>
  <c r="J35" i="10"/>
  <c r="J36" i="10" s="1"/>
  <c r="F35" i="10"/>
  <c r="F36" i="10" s="1"/>
  <c r="L35" i="10"/>
  <c r="L36" i="10" s="1"/>
  <c r="M35" i="10"/>
  <c r="M36" i="10" s="1"/>
  <c r="R55" i="5"/>
  <c r="X32" i="5"/>
  <c r="AD32" i="5"/>
  <c r="X34" i="5"/>
  <c r="AD34" i="5"/>
  <c r="X38" i="5"/>
  <c r="AD38" i="5"/>
  <c r="X40" i="5"/>
  <c r="AD40" i="5"/>
  <c r="I36" i="10"/>
  <c r="AA34" i="5"/>
  <c r="AD49" i="5"/>
  <c r="R53" i="5"/>
  <c r="AD53" i="5"/>
  <c r="R48" i="5"/>
  <c r="AD48" i="5"/>
  <c r="R52" i="5"/>
  <c r="AD52" i="5"/>
  <c r="R46" i="5"/>
  <c r="AD46" i="5"/>
  <c r="R50" i="5"/>
  <c r="AD50" i="5"/>
  <c r="AA53" i="5"/>
  <c r="G36" i="10"/>
  <c r="N36" i="10"/>
  <c r="R49" i="5"/>
  <c r="AA49" i="5"/>
  <c r="U35" i="5"/>
  <c r="X55" i="5"/>
  <c r="AD55" i="5"/>
  <c r="R54" i="5"/>
  <c r="AD54" i="5"/>
  <c r="AA48" i="5"/>
  <c r="AA52" i="5"/>
  <c r="AA55" i="5"/>
  <c r="AA47" i="5"/>
  <c r="AA51" i="5"/>
  <c r="AA46" i="5"/>
  <c r="R47" i="5"/>
  <c r="AD47" i="5"/>
  <c r="AA50" i="5"/>
  <c r="R51" i="5"/>
  <c r="AD51" i="5"/>
  <c r="AA54" i="5"/>
  <c r="U39" i="5"/>
  <c r="AA40" i="5"/>
  <c r="AA38" i="5"/>
  <c r="AA32" i="5"/>
  <c r="X36" i="5"/>
  <c r="AD36" i="5"/>
  <c r="AA36" i="5"/>
  <c r="R32" i="5"/>
  <c r="U37" i="5"/>
  <c r="J102" i="2" s="1"/>
  <c r="J103" i="2" s="1"/>
  <c r="U33" i="5"/>
  <c r="U31" i="5"/>
  <c r="X46" i="5"/>
  <c r="X47" i="5"/>
  <c r="X48" i="5"/>
  <c r="X49" i="5"/>
  <c r="X50" i="5"/>
  <c r="X51" i="5"/>
  <c r="X52" i="5"/>
  <c r="X53" i="5"/>
  <c r="X54" i="5"/>
  <c r="U46" i="5"/>
  <c r="U47" i="5"/>
  <c r="U48" i="5"/>
  <c r="U49" i="5"/>
  <c r="U50" i="5"/>
  <c r="U51" i="5"/>
  <c r="U52" i="5"/>
  <c r="U53" i="5"/>
  <c r="U54" i="5"/>
  <c r="U55" i="5"/>
  <c r="AA31" i="5"/>
  <c r="U32" i="5"/>
  <c r="X33" i="5"/>
  <c r="AD33" i="5"/>
  <c r="AA35" i="5"/>
  <c r="U36" i="5"/>
  <c r="X37" i="5"/>
  <c r="AD37" i="5"/>
  <c r="AA39" i="5"/>
  <c r="R31" i="5"/>
  <c r="X31" i="5"/>
  <c r="AD31" i="5"/>
  <c r="AA33" i="5"/>
  <c r="U34" i="5"/>
  <c r="X35" i="5"/>
  <c r="AD35" i="5"/>
  <c r="AA37" i="5"/>
  <c r="U38" i="5"/>
  <c r="X39" i="5"/>
  <c r="AD39" i="5"/>
  <c r="R33" i="5"/>
  <c r="R34" i="5"/>
  <c r="R35" i="5"/>
  <c r="R36" i="5"/>
  <c r="R37" i="5"/>
  <c r="R38" i="5"/>
  <c r="R39" i="5"/>
  <c r="R40" i="5"/>
  <c r="U40" i="5"/>
  <c r="H102" i="2" l="1"/>
  <c r="H103" i="2" s="1"/>
  <c r="I102" i="2"/>
  <c r="I103" i="2" s="1"/>
  <c r="E102" i="2"/>
  <c r="E103" i="2" s="1"/>
  <c r="G102" i="2"/>
  <c r="G103" i="2" s="1"/>
  <c r="F102" i="2"/>
  <c r="F103" i="2" s="1"/>
  <c r="K102" i="2"/>
  <c r="K103" i="2" s="1"/>
  <c r="M102" i="2"/>
  <c r="M103" i="2" s="1"/>
  <c r="L102" i="2"/>
  <c r="L103" i="2" s="1"/>
  <c r="D102" i="2"/>
  <c r="D103" i="2" s="1"/>
  <c r="E125" i="2"/>
  <c r="G125" i="2" l="1"/>
  <c r="D125" i="2"/>
  <c r="F125" i="2"/>
  <c r="F42" i="2" l="1"/>
  <c r="F46" i="2" s="1"/>
  <c r="G42" i="2"/>
  <c r="G46" i="2" s="1"/>
  <c r="I42" i="2"/>
  <c r="I46" i="2" s="1"/>
  <c r="J42" i="2"/>
  <c r="J46" i="2" s="1"/>
  <c r="K42" i="2"/>
  <c r="K46" i="2" s="1"/>
  <c r="L42" i="2"/>
  <c r="L46" i="2" s="1"/>
  <c r="M42" i="2"/>
  <c r="M46" i="2" s="1"/>
  <c r="D42" i="2"/>
  <c r="D46" i="2" s="1"/>
  <c r="P46" i="2" l="1"/>
  <c r="O46" i="2"/>
  <c r="N46" i="2" s="1"/>
  <c r="R46" i="2"/>
  <c r="H65" i="4"/>
  <c r="H93" i="4"/>
  <c r="H91" i="4"/>
  <c r="B89" i="4"/>
  <c r="B87" i="4"/>
  <c r="B92" i="4" s="1"/>
  <c r="H80" i="4"/>
  <c r="H78" i="4"/>
  <c r="B76" i="4"/>
  <c r="B74" i="4"/>
  <c r="B79" i="4" s="1"/>
  <c r="H67" i="4"/>
  <c r="B63" i="4"/>
  <c r="B61" i="4"/>
  <c r="B66" i="4" s="1"/>
  <c r="I91" i="4" l="1"/>
  <c r="I93" i="4" s="1"/>
  <c r="J25" i="5"/>
  <c r="J28" i="5"/>
  <c r="K46" i="5"/>
  <c r="J49" i="5"/>
  <c r="J45" i="5"/>
  <c r="J46" i="5"/>
  <c r="K49" i="5"/>
  <c r="K45" i="5"/>
  <c r="J48" i="5"/>
  <c r="J44" i="5"/>
  <c r="K43" i="5"/>
  <c r="K48" i="5"/>
  <c r="K44" i="5"/>
  <c r="J47" i="5"/>
  <c r="J43" i="5"/>
  <c r="K47" i="5"/>
  <c r="K39" i="5"/>
  <c r="K35" i="5"/>
  <c r="J38" i="5"/>
  <c r="J34" i="5"/>
  <c r="J39" i="5"/>
  <c r="K38" i="5"/>
  <c r="K34" i="5"/>
  <c r="J37" i="5"/>
  <c r="I78" i="4" s="1"/>
  <c r="I80" i="4" s="1"/>
  <c r="K36" i="5"/>
  <c r="K37" i="5"/>
  <c r="J40" i="5"/>
  <c r="J36" i="5"/>
  <c r="K40" i="5"/>
  <c r="J35" i="5"/>
  <c r="K28" i="5"/>
  <c r="J31" i="5"/>
  <c r="J27" i="5"/>
  <c r="K30" i="5"/>
  <c r="J29" i="5"/>
  <c r="I65" i="4" s="1"/>
  <c r="I67" i="4" s="1"/>
  <c r="K29" i="5"/>
  <c r="K31" i="5"/>
  <c r="K27" i="5"/>
  <c r="J30" i="5"/>
  <c r="J26" i="5"/>
  <c r="K26" i="5"/>
  <c r="K25" i="5"/>
  <c r="Q46" i="2"/>
  <c r="G12" i="5"/>
  <c r="H36" i="10" l="1"/>
  <c r="I19" i="10" s="1"/>
  <c r="H27" i="4"/>
  <c r="H52" i="4"/>
  <c r="H41" i="4"/>
  <c r="H39" i="4"/>
  <c r="I39" i="4" s="1"/>
  <c r="I41" i="4" s="1"/>
  <c r="I52" i="4" l="1"/>
  <c r="I54" i="4" s="1"/>
  <c r="G16" i="4" s="1"/>
  <c r="K11" i="5"/>
  <c r="L11" i="5"/>
  <c r="J11" i="5"/>
  <c r="J4" i="5"/>
  <c r="J6" i="5"/>
  <c r="J17" i="5"/>
  <c r="J5" i="5"/>
  <c r="J18" i="5"/>
  <c r="J10" i="5"/>
  <c r="K10" i="5"/>
  <c r="K20" i="5"/>
  <c r="J20" i="5"/>
  <c r="K5" i="5"/>
  <c r="K19" i="5"/>
  <c r="J19" i="5"/>
  <c r="K4" i="5"/>
  <c r="K21" i="5"/>
  <c r="K18" i="5"/>
  <c r="J21" i="5"/>
  <c r="J12" i="5"/>
  <c r="K14" i="5"/>
  <c r="K13" i="5"/>
  <c r="J14" i="5"/>
  <c r="K17" i="5"/>
  <c r="K12" i="5"/>
  <c r="J13" i="5"/>
  <c r="D126" i="2" l="1"/>
  <c r="B48" i="4" l="1"/>
  <c r="B53" i="4" l="1"/>
  <c r="H54" i="4" l="1"/>
  <c r="B50" i="4"/>
  <c r="B37" i="4"/>
  <c r="B23" i="4"/>
  <c r="N117" i="2"/>
  <c r="N94" i="2"/>
  <c r="E7" i="5"/>
  <c r="C24" i="5"/>
  <c r="C25" i="5"/>
  <c r="C26" i="5"/>
  <c r="C27" i="5"/>
  <c r="C31" i="5"/>
  <c r="C32" i="5"/>
  <c r="C33" i="5"/>
  <c r="K6" i="5" l="1"/>
  <c r="E33" i="5"/>
  <c r="E28" i="5"/>
  <c r="C28" i="5" s="1"/>
  <c r="E27" i="5"/>
  <c r="J125" i="2" l="1"/>
  <c r="J126" i="2" s="1"/>
  <c r="E126" i="2"/>
  <c r="G126" i="2"/>
  <c r="I125" i="2"/>
  <c r="I126" i="2" s="1"/>
  <c r="L125" i="2"/>
  <c r="L126" i="2" s="1"/>
  <c r="K125" i="2"/>
  <c r="K126" i="2" s="1"/>
  <c r="M125" i="2"/>
  <c r="M126" i="2" s="1"/>
  <c r="H125" i="2"/>
  <c r="H126" i="2" s="1"/>
  <c r="F126" i="2"/>
  <c r="N103" i="2" l="1"/>
  <c r="N126" i="2"/>
  <c r="H86" i="2" s="1"/>
  <c r="N125" i="2"/>
  <c r="N102" i="2"/>
  <c r="N29" i="2" l="1"/>
  <c r="N41" i="2"/>
  <c r="N40" i="2"/>
  <c r="N39" i="2"/>
  <c r="N28" i="2"/>
  <c r="H19" i="2" s="1"/>
  <c r="N27" i="2"/>
</calcChain>
</file>

<file path=xl/comments1.xml><?xml version="1.0" encoding="utf-8"?>
<comments xmlns="http://schemas.openxmlformats.org/spreadsheetml/2006/main">
  <authors>
    <author>PC20A06JR003</author>
  </authors>
  <commentList>
    <comment ref="B29" authorId="0" shapeId="0">
      <text>
        <r>
          <rPr>
            <sz val="12"/>
            <color indexed="10"/>
            <rFont val="メイリオ"/>
            <family val="3"/>
            <charset val="128"/>
          </rPr>
          <t>【有効換気量を記入する場合】
　</t>
        </r>
        <r>
          <rPr>
            <sz val="12"/>
            <color indexed="81"/>
            <rFont val="メイリオ"/>
            <family val="3"/>
            <charset val="128"/>
          </rPr>
          <t>常時使用できる最大風量時の有効換気量を記入してください。</t>
        </r>
        <r>
          <rPr>
            <sz val="12"/>
            <color indexed="10"/>
            <rFont val="メイリオ"/>
            <family val="3"/>
            <charset val="128"/>
          </rPr>
          <t xml:space="preserve">
【１の室に給気と排気の機械換気設備がある場合】
</t>
        </r>
        <r>
          <rPr>
            <sz val="12"/>
            <color indexed="81"/>
            <rFont val="メイリオ"/>
            <family val="3"/>
            <charset val="128"/>
          </rPr>
          <t xml:space="preserve">　換気量の多い給気又は排気設備の有効換気量をご記入ください。
</t>
        </r>
        <r>
          <rPr>
            <sz val="16"/>
            <color indexed="10"/>
            <rFont val="メイリオ"/>
            <family val="3"/>
            <charset val="128"/>
          </rPr>
          <t>※既設・更新を含め設置された又は設置する
【全ての換気量】を記入してください。</t>
        </r>
      </text>
    </comment>
  </commentList>
</comments>
</file>

<file path=xl/comments2.xml><?xml version="1.0" encoding="utf-8"?>
<comments xmlns="http://schemas.openxmlformats.org/spreadsheetml/2006/main">
  <authors>
    <author>鈴木 行雄</author>
    <author>PC20A06JR003</author>
  </authors>
  <commentList>
    <comment ref="N21" authorId="0" shapeId="0">
      <text>
        <r>
          <rPr>
            <sz val="16"/>
            <color indexed="10"/>
            <rFont val="メイリオ"/>
            <family val="3"/>
            <charset val="128"/>
          </rPr>
          <t>※既設・更新を含め設置された又は設置する
【全ての換気設備】を記入してください。</t>
        </r>
      </text>
    </comment>
    <comment ref="F58" authorId="1" shapeId="0">
      <text>
        <r>
          <rPr>
            <sz val="12"/>
            <color indexed="10"/>
            <rFont val="メイリオ"/>
            <family val="3"/>
            <charset val="128"/>
          </rPr>
          <t>＜平面図記載記号入について＞</t>
        </r>
        <r>
          <rPr>
            <sz val="12"/>
            <color indexed="81"/>
            <rFont val="メイリオ"/>
            <family val="3"/>
            <charset val="128"/>
          </rPr>
          <t xml:space="preserve">
平面図に記載した設備記号を記入してください。
なお、室及び換気設備ごとに記号を分けて、
重複しないように記入してください。</t>
        </r>
      </text>
    </comment>
    <comment ref="M70" authorId="1" shapeId="0">
      <text>
        <r>
          <rPr>
            <sz val="12"/>
            <color indexed="10"/>
            <rFont val="メイリオ"/>
            <family val="3"/>
            <charset val="128"/>
          </rPr>
          <t>【換気・空調一体型設備】</t>
        </r>
        <r>
          <rPr>
            <sz val="12"/>
            <color indexed="81"/>
            <rFont val="メイリオ"/>
            <family val="3"/>
            <charset val="128"/>
          </rPr>
          <t>を</t>
        </r>
        <r>
          <rPr>
            <sz val="12"/>
            <color indexed="10"/>
            <rFont val="メイリオ"/>
            <family val="3"/>
            <charset val="128"/>
          </rPr>
          <t>導入</t>
        </r>
        <r>
          <rPr>
            <sz val="12"/>
            <color indexed="81"/>
            <rFont val="メイリオ"/>
            <family val="3"/>
            <charset val="128"/>
          </rPr>
          <t>の場合のみ
設備要件を選択してください。
なお、設備要件は該当する高効率空調設備の要件を
プルダウンメニューより選択してください。</t>
        </r>
      </text>
    </comment>
    <comment ref="G83" authorId="0" shapeId="0">
      <text>
        <r>
          <rPr>
            <sz val="12"/>
            <color indexed="10"/>
            <rFont val="メイリオ"/>
            <family val="3"/>
            <charset val="128"/>
          </rPr>
          <t>＜空調設備更新の有無＞</t>
        </r>
        <r>
          <rPr>
            <sz val="12"/>
            <color indexed="81"/>
            <rFont val="メイリオ"/>
            <family val="3"/>
            <charset val="128"/>
          </rPr>
          <t>をプルダウンメニューより選択してください。</t>
        </r>
      </text>
    </comment>
    <comment ref="H86" authorId="0" shapeId="0">
      <text>
        <r>
          <rPr>
            <sz val="12"/>
            <color indexed="32"/>
            <rFont val="メイリオ"/>
            <family val="3"/>
            <charset val="128"/>
          </rPr>
          <t xml:space="preserve">空調設備の更新を選択した場合のみ、
</t>
        </r>
        <r>
          <rPr>
            <sz val="12"/>
            <color indexed="10"/>
            <rFont val="メイリオ"/>
            <family val="3"/>
            <charset val="128"/>
          </rPr>
          <t>＜導入要件＞</t>
        </r>
        <r>
          <rPr>
            <sz val="12"/>
            <color indexed="32"/>
            <rFont val="メイリオ"/>
            <family val="3"/>
            <charset val="128"/>
          </rPr>
          <t>を判定します。
また、入力の不備を確認します。</t>
        </r>
      </text>
    </comment>
    <comment ref="F136" authorId="1" shapeId="0">
      <text>
        <r>
          <rPr>
            <sz val="12"/>
            <color indexed="10"/>
            <rFont val="メイリオ"/>
            <family val="3"/>
            <charset val="128"/>
          </rPr>
          <t>＜平面図記載記号入について＞</t>
        </r>
        <r>
          <rPr>
            <sz val="12"/>
            <color indexed="81"/>
            <rFont val="メイリオ"/>
            <family val="3"/>
            <charset val="128"/>
          </rPr>
          <t xml:space="preserve">
平面図に記載した設備記号を記入してください。
なお、室及び空調設備ごとに記号を分けて、
重複しないように記入してください。</t>
        </r>
      </text>
    </comment>
    <comment ref="M148" authorId="1" shapeId="0">
      <text>
        <r>
          <rPr>
            <sz val="12"/>
            <color indexed="81"/>
            <rFont val="メイリオ"/>
            <family val="3"/>
            <charset val="128"/>
          </rPr>
          <t>設備要件は該当する高効率空調設備の要件を
プルダウンメニューより選択してください。</t>
        </r>
      </text>
    </comment>
  </commentList>
</comments>
</file>

<file path=xl/comments3.xml><?xml version="1.0" encoding="utf-8"?>
<comments xmlns="http://schemas.openxmlformats.org/spreadsheetml/2006/main">
  <authors>
    <author>鈴木 行雄</author>
  </authors>
  <commentList>
    <comment ref="B18" authorId="0" shapeId="0">
      <text>
        <r>
          <rPr>
            <sz val="12"/>
            <color indexed="10"/>
            <rFont val="メイリオ"/>
            <family val="3"/>
            <charset val="128"/>
          </rPr>
          <t>年度をプルダウンメニューより選択</t>
        </r>
      </text>
    </comment>
    <comment ref="E31" authorId="0" shapeId="0">
      <text>
        <r>
          <rPr>
            <sz val="12"/>
            <color indexed="10"/>
            <rFont val="メイリオ"/>
            <family val="3"/>
            <charset val="128"/>
          </rPr>
          <t>ガス種別をプルダウンメニューより選択</t>
        </r>
      </text>
    </comment>
    <comment ref="F31" authorId="0" shapeId="0">
      <text>
        <r>
          <rPr>
            <sz val="12"/>
            <color indexed="10"/>
            <rFont val="メイリオ"/>
            <family val="3"/>
            <charset val="128"/>
          </rPr>
          <t>単位をプルダウンメニューより選択</t>
        </r>
      </text>
    </comment>
    <comment ref="B32" authorId="0" shapeId="0">
      <text>
        <r>
          <rPr>
            <sz val="12"/>
            <color indexed="10"/>
            <rFont val="メイリオ"/>
            <family val="3"/>
            <charset val="128"/>
          </rPr>
          <t>年度をプルダウンメニューより選択</t>
        </r>
      </text>
    </comment>
    <comment ref="E44" authorId="0" shapeId="0">
      <text>
        <r>
          <rPr>
            <sz val="12"/>
            <color indexed="10"/>
            <rFont val="メイリオ"/>
            <family val="3"/>
            <charset val="128"/>
          </rPr>
          <t>使用エネルギーをプルダウンメニューより選択</t>
        </r>
      </text>
    </comment>
    <comment ref="B45" authorId="0" shapeId="0">
      <text>
        <r>
          <rPr>
            <sz val="12"/>
            <color indexed="10"/>
            <rFont val="メイリオ"/>
            <family val="3"/>
            <charset val="128"/>
          </rPr>
          <t>年度をプルダウンメニューより選択</t>
        </r>
      </text>
    </comment>
    <comment ref="E57" authorId="0" shapeId="0">
      <text>
        <r>
          <rPr>
            <sz val="12"/>
            <color indexed="10"/>
            <rFont val="メイリオ"/>
            <family val="3"/>
            <charset val="128"/>
          </rPr>
          <t>使用エネルギーをプルダウンメニューより選択</t>
        </r>
      </text>
    </comment>
    <comment ref="B58" authorId="0" shapeId="0">
      <text>
        <r>
          <rPr>
            <sz val="12"/>
            <color indexed="10"/>
            <rFont val="メイリオ"/>
            <family val="3"/>
            <charset val="128"/>
          </rPr>
          <t>年度をプルダウンメニューより選択</t>
        </r>
      </text>
    </comment>
    <comment ref="E70" authorId="0" shapeId="0">
      <text>
        <r>
          <rPr>
            <sz val="12"/>
            <color indexed="10"/>
            <rFont val="メイリオ"/>
            <family val="3"/>
            <charset val="128"/>
          </rPr>
          <t>使用エネルギーをプルダウンメニューより選択</t>
        </r>
      </text>
    </comment>
    <comment ref="B71" authorId="0" shapeId="0">
      <text>
        <r>
          <rPr>
            <sz val="12"/>
            <color indexed="10"/>
            <rFont val="メイリオ"/>
            <family val="3"/>
            <charset val="128"/>
          </rPr>
          <t>年度をプルダウンメニューより選択</t>
        </r>
      </text>
    </comment>
    <comment ref="E83" authorId="0" shapeId="0">
      <text>
        <r>
          <rPr>
            <sz val="12"/>
            <color indexed="10"/>
            <rFont val="メイリオ"/>
            <family val="3"/>
            <charset val="128"/>
          </rPr>
          <t>使用エネルギーをプルダウンメニューより選択</t>
        </r>
      </text>
    </comment>
    <comment ref="B84" authorId="0" shapeId="0">
      <text>
        <r>
          <rPr>
            <sz val="12"/>
            <color indexed="10"/>
            <rFont val="メイリオ"/>
            <family val="3"/>
            <charset val="128"/>
          </rPr>
          <t>年度をプルダウンメニューより選択</t>
        </r>
      </text>
    </comment>
  </commentList>
</comments>
</file>

<file path=xl/comments4.xml><?xml version="1.0" encoding="utf-8"?>
<comments xmlns="http://schemas.openxmlformats.org/spreadsheetml/2006/main">
  <authors>
    <author>鈴木 行雄</author>
  </authors>
  <commentList>
    <comment ref="I13" authorId="0" shapeId="0">
      <text>
        <r>
          <rPr>
            <sz val="12"/>
            <color indexed="81"/>
            <rFont val="メイリオ"/>
            <family val="3"/>
            <charset val="128"/>
          </rPr>
          <t>【４．年間エネルギー使用量】を
　入力できる申請者は、
　本シートの入力は、不要です。</t>
        </r>
      </text>
    </comment>
    <comment ref="I15" authorId="0" shapeId="0">
      <text>
        <r>
          <rPr>
            <sz val="12"/>
            <color indexed="81"/>
            <rFont val="メイリオ"/>
            <family val="3"/>
            <charset val="128"/>
          </rPr>
          <t xml:space="preserve">プルダウンメニューより
</t>
        </r>
        <r>
          <rPr>
            <sz val="12"/>
            <color indexed="10"/>
            <rFont val="メイリオ"/>
            <family val="3"/>
            <charset val="128"/>
          </rPr>
          <t>＜設置の有無＞</t>
        </r>
        <r>
          <rPr>
            <sz val="12"/>
            <color indexed="81"/>
            <rFont val="メイリオ"/>
            <family val="3"/>
            <charset val="128"/>
          </rPr>
          <t>を
選択してください。</t>
        </r>
      </text>
    </comment>
  </commentList>
</comments>
</file>

<file path=xl/sharedStrings.xml><?xml version="1.0" encoding="utf-8"?>
<sst xmlns="http://schemas.openxmlformats.org/spreadsheetml/2006/main" count="830" uniqueCount="398">
  <si>
    <t>計</t>
    <rPh sb="0" eb="1">
      <t>ケイ</t>
    </rPh>
    <phoneticPr fontId="2"/>
  </si>
  <si>
    <t>換気設備の種類</t>
    <rPh sb="0" eb="2">
      <t>カンキ</t>
    </rPh>
    <rPh sb="2" eb="4">
      <t>セツビ</t>
    </rPh>
    <rPh sb="5" eb="7">
      <t>シュルイ</t>
    </rPh>
    <phoneticPr fontId="2"/>
  </si>
  <si>
    <t>型番</t>
    <rPh sb="0" eb="2">
      <t>カタバン</t>
    </rPh>
    <phoneticPr fontId="2"/>
  </si>
  <si>
    <t>台数</t>
    <rPh sb="0" eb="2">
      <t>ダイスウ</t>
    </rPh>
    <phoneticPr fontId="2"/>
  </si>
  <si>
    <t>換気量[㎥/h]</t>
    <rPh sb="0" eb="2">
      <t>カンキ</t>
    </rPh>
    <rPh sb="2" eb="3">
      <t>リョウ</t>
    </rPh>
    <phoneticPr fontId="2"/>
  </si>
  <si>
    <t>消費電力[W]</t>
    <rPh sb="0" eb="2">
      <t>ショウヒ</t>
    </rPh>
    <rPh sb="2" eb="4">
      <t>デンリョク</t>
    </rPh>
    <phoneticPr fontId="2"/>
  </si>
  <si>
    <t>顕熱交換器</t>
  </si>
  <si>
    <t>冷房</t>
    <phoneticPr fontId="2"/>
  </si>
  <si>
    <t>暖房</t>
    <phoneticPr fontId="2"/>
  </si>
  <si>
    <t>導入の区分</t>
    <rPh sb="0" eb="2">
      <t>ドウニュウ</t>
    </rPh>
    <rPh sb="3" eb="5">
      <t>クブン</t>
    </rPh>
    <phoneticPr fontId="2"/>
  </si>
  <si>
    <t>---</t>
    <phoneticPr fontId="2"/>
  </si>
  <si>
    <t>その他</t>
    <rPh sb="2" eb="3">
      <t>タ</t>
    </rPh>
    <phoneticPr fontId="2"/>
  </si>
  <si>
    <t>[%]　</t>
    <phoneticPr fontId="2"/>
  </si>
  <si>
    <t>比消費電力[W/(㎥/h)]</t>
    <rPh sb="0" eb="1">
      <t>ヒ</t>
    </rPh>
    <rPh sb="1" eb="3">
      <t>ショウヒ</t>
    </rPh>
    <rPh sb="3" eb="5">
      <t>デンリョク</t>
    </rPh>
    <phoneticPr fontId="2"/>
  </si>
  <si>
    <t>電気式パッケージ形空調機</t>
  </si>
  <si>
    <t>ガスヒートポンプ式空調機</t>
    <phoneticPr fontId="2"/>
  </si>
  <si>
    <t>エネルギー種別</t>
    <rPh sb="5" eb="7">
      <t>シュベツ</t>
    </rPh>
    <phoneticPr fontId="2"/>
  </si>
  <si>
    <t>ルームエアコン</t>
  </si>
  <si>
    <t>料金[円]</t>
    <rPh sb="0" eb="2">
      <t>リョウキン</t>
    </rPh>
    <rPh sb="3" eb="4">
      <t>エン</t>
    </rPh>
    <phoneticPr fontId="2"/>
  </si>
  <si>
    <t>使用量</t>
    <rPh sb="0" eb="3">
      <t>シヨウリョウ</t>
    </rPh>
    <phoneticPr fontId="2"/>
  </si>
  <si>
    <t>［kL］</t>
    <phoneticPr fontId="12"/>
  </si>
  <si>
    <t>使用期間</t>
    <rPh sb="0" eb="2">
      <t>シヨウ</t>
    </rPh>
    <rPh sb="2" eb="4">
      <t>キカン</t>
    </rPh>
    <phoneticPr fontId="12"/>
  </si>
  <si>
    <t>CO2換算</t>
    <phoneticPr fontId="12"/>
  </si>
  <si>
    <t>原油換算</t>
    <phoneticPr fontId="12"/>
  </si>
  <si>
    <t>3月</t>
  </si>
  <si>
    <t>2月</t>
  </si>
  <si>
    <t>1月</t>
    <phoneticPr fontId="2"/>
  </si>
  <si>
    <t>12月</t>
  </si>
  <si>
    <t>11月</t>
  </si>
  <si>
    <t>10月</t>
  </si>
  <si>
    <t>9月</t>
  </si>
  <si>
    <t>8月</t>
  </si>
  <si>
    <t>7月</t>
  </si>
  <si>
    <t>6月</t>
    <rPh sb="1" eb="2">
      <t>ガツ</t>
    </rPh>
    <phoneticPr fontId="2"/>
  </si>
  <si>
    <t>5月</t>
    <rPh sb="1" eb="2">
      <t>ガツ</t>
    </rPh>
    <phoneticPr fontId="2"/>
  </si>
  <si>
    <t>4月</t>
    <phoneticPr fontId="2"/>
  </si>
  <si>
    <t>ガス料金[円]</t>
    <rPh sb="2" eb="4">
      <t>リョウキン</t>
    </rPh>
    <rPh sb="5" eb="6">
      <t>エン</t>
    </rPh>
    <phoneticPr fontId="2"/>
  </si>
  <si>
    <t>ガス使用量</t>
    <rPh sb="2" eb="5">
      <t>シヨウリョウ</t>
    </rPh>
    <phoneticPr fontId="2"/>
  </si>
  <si>
    <t>●ガス使用量・ガス料金</t>
    <rPh sb="3" eb="6">
      <t>シヨウリョウ</t>
    </rPh>
    <rPh sb="9" eb="11">
      <t>リョウキン</t>
    </rPh>
    <phoneticPr fontId="2"/>
  </si>
  <si>
    <t>※電灯と動力がある場合、合算して記入してください。</t>
    <rPh sb="1" eb="3">
      <t>デントウ</t>
    </rPh>
    <rPh sb="4" eb="6">
      <t>ドウリョク</t>
    </rPh>
    <rPh sb="9" eb="11">
      <t>バアイ</t>
    </rPh>
    <rPh sb="12" eb="14">
      <t xml:space="preserve">ガッサンシテ </t>
    </rPh>
    <rPh sb="16" eb="18">
      <t>キニュウ</t>
    </rPh>
    <phoneticPr fontId="2"/>
  </si>
  <si>
    <t>電気料金[円]</t>
    <rPh sb="0" eb="2">
      <t>デンキ</t>
    </rPh>
    <rPh sb="2" eb="4">
      <t>リョウキン</t>
    </rPh>
    <rPh sb="5" eb="6">
      <t>エン</t>
    </rPh>
    <phoneticPr fontId="2"/>
  </si>
  <si>
    <t>［kWh］</t>
  </si>
  <si>
    <t>電気使用量</t>
    <rPh sb="0" eb="2">
      <t>デンキ</t>
    </rPh>
    <rPh sb="2" eb="5">
      <t>シヨウリョウ</t>
    </rPh>
    <phoneticPr fontId="2"/>
  </si>
  <si>
    <t>●電気使用量・電気料金</t>
    <rPh sb="1" eb="3">
      <t>デンキ</t>
    </rPh>
    <rPh sb="3" eb="6">
      <t>シヨウリョウ</t>
    </rPh>
    <rPh sb="7" eb="9">
      <t>デンキ</t>
    </rPh>
    <rPh sb="9" eb="11">
      <t>リョウキン</t>
    </rPh>
    <phoneticPr fontId="2"/>
  </si>
  <si>
    <t>倍</t>
    <rPh sb="0" eb="1">
      <t>バイ</t>
    </rPh>
    <phoneticPr fontId="12"/>
  </si>
  <si>
    <t>m3</t>
    <phoneticPr fontId="12"/>
  </si>
  <si>
    <t>トン</t>
  </si>
  <si>
    <t>東京ガスＨＰ出典：LNG14万7千m3≒LNG6.7万トン≒天然ガス81百万m3</t>
    <rPh sb="0" eb="2">
      <t>トウキョウ</t>
    </rPh>
    <rPh sb="6" eb="8">
      <t>シュッテン</t>
    </rPh>
    <phoneticPr fontId="12"/>
  </si>
  <si>
    <t>LNG</t>
    <phoneticPr fontId="12"/>
  </si>
  <si>
    <t>天然ガス</t>
    <phoneticPr fontId="12"/>
  </si>
  <si>
    <t>プロパン・ブタンの混合</t>
  </si>
  <si>
    <t>ブタン</t>
  </si>
  <si>
    <t>プロパン</t>
  </si>
  <si>
    <t>1立方メートル当たりのトンへの換算係数</t>
  </si>
  <si>
    <t>LPGの種類</t>
  </si>
  <si>
    <t>t-C/GJ</t>
  </si>
  <si>
    <t>GJ/ kL</t>
  </si>
  <si>
    <t>B・Ｃ重油［L］：</t>
    <rPh sb="3" eb="5">
      <t>ジュウユ</t>
    </rPh>
    <phoneticPr fontId="15"/>
  </si>
  <si>
    <t>A重油［L］：</t>
    <rPh sb="1" eb="3">
      <t>ジュウユ</t>
    </rPh>
    <phoneticPr fontId="15"/>
  </si>
  <si>
    <t>軽油［L］：</t>
    <rPh sb="0" eb="2">
      <t>ケイユ</t>
    </rPh>
    <phoneticPr fontId="15"/>
  </si>
  <si>
    <t>灯油［L］：</t>
    <rPh sb="0" eb="2">
      <t>トウユ</t>
    </rPh>
    <phoneticPr fontId="15"/>
  </si>
  <si>
    <t>t-C/GJ</t>
    <phoneticPr fontId="12"/>
  </si>
  <si>
    <t>GJ/ kL</t>
    <phoneticPr fontId="12"/>
  </si>
  <si>
    <t>原油［L］：</t>
    <rPh sb="0" eb="2">
      <t>ゲンユ</t>
    </rPh>
    <phoneticPr fontId="12"/>
  </si>
  <si>
    <t>GJ/千m3</t>
  </si>
  <si>
    <t>その他天然ガス［Nm3］：</t>
    <rPh sb="2" eb="3">
      <t>タ</t>
    </rPh>
    <rPh sb="3" eb="5">
      <t>テンネン</t>
    </rPh>
    <phoneticPr fontId="12"/>
  </si>
  <si>
    <t>石油系炭化水素ガス［Nm3］：</t>
    <phoneticPr fontId="12"/>
  </si>
  <si>
    <t>GJ/ｔ</t>
    <phoneticPr fontId="12"/>
  </si>
  <si>
    <t>ＬＮＧ［m3］：</t>
    <phoneticPr fontId="12"/>
  </si>
  <si>
    <t>B・Ｃ重油</t>
    <phoneticPr fontId="12"/>
  </si>
  <si>
    <t>m3/t</t>
    <phoneticPr fontId="12"/>
  </si>
  <si>
    <t>ＬＰＧ［m3］：</t>
    <phoneticPr fontId="12"/>
  </si>
  <si>
    <t>A重油</t>
    <phoneticPr fontId="12"/>
  </si>
  <si>
    <t>都市ガス［Nm3］：</t>
    <rPh sb="0" eb="2">
      <t>トシ</t>
    </rPh>
    <phoneticPr fontId="12"/>
  </si>
  <si>
    <t>軽油</t>
    <phoneticPr fontId="12"/>
  </si>
  <si>
    <t>単位発熱量</t>
    <rPh sb="0" eb="2">
      <t>タンイ</t>
    </rPh>
    <rPh sb="2" eb="4">
      <t>ハツネツ</t>
    </rPh>
    <rPh sb="4" eb="5">
      <t>リョウ</t>
    </rPh>
    <phoneticPr fontId="12"/>
  </si>
  <si>
    <t>灯油</t>
    <phoneticPr fontId="12"/>
  </si>
  <si>
    <t>水素ガス</t>
    <phoneticPr fontId="12"/>
  </si>
  <si>
    <t>CO2分子量</t>
    <rPh sb="3" eb="6">
      <t>ブンシリョウ</t>
    </rPh>
    <phoneticPr fontId="12"/>
  </si>
  <si>
    <t>kL/GJ</t>
  </si>
  <si>
    <t>原油換算［kL］：</t>
    <rPh sb="0" eb="2">
      <t>ゲンユ</t>
    </rPh>
    <rPh sb="2" eb="4">
      <t>カンサン</t>
    </rPh>
    <phoneticPr fontId="12"/>
  </si>
  <si>
    <t>産業用蒸気</t>
    <phoneticPr fontId="12"/>
  </si>
  <si>
    <t>LPG</t>
    <phoneticPr fontId="12"/>
  </si>
  <si>
    <t>t-CO2/GJ</t>
  </si>
  <si>
    <t>GJ/GJ</t>
  </si>
  <si>
    <t>産業用以外の蒸気［MJ］：</t>
    <rPh sb="0" eb="3">
      <t>サンギョウヨウ</t>
    </rPh>
    <rPh sb="3" eb="5">
      <t>イガイ</t>
    </rPh>
    <rPh sb="6" eb="8">
      <t>ジョウキ</t>
    </rPh>
    <phoneticPr fontId="15"/>
  </si>
  <si>
    <t>温水・冷水</t>
    <phoneticPr fontId="12"/>
  </si>
  <si>
    <t>都市ガス</t>
    <phoneticPr fontId="12"/>
  </si>
  <si>
    <t>産業用蒸気［MJ］：</t>
    <rPh sb="0" eb="3">
      <t>サンギョウヨウ</t>
    </rPh>
    <rPh sb="3" eb="5">
      <t>ジョウキ</t>
    </rPh>
    <phoneticPr fontId="15"/>
  </si>
  <si>
    <t>t-CO2/GJ</t>
    <phoneticPr fontId="12"/>
  </si>
  <si>
    <t>GJ/GJ</t>
    <phoneticPr fontId="15"/>
  </si>
  <si>
    <t>温水・冷水［MJ］：</t>
    <rPh sb="0" eb="2">
      <t>オンスイ</t>
    </rPh>
    <rPh sb="3" eb="5">
      <t>レイスイ</t>
    </rPh>
    <phoneticPr fontId="12"/>
  </si>
  <si>
    <t>種別を選択</t>
    <phoneticPr fontId="12"/>
  </si>
  <si>
    <t>t-CO2/千kWh</t>
    <rPh sb="6" eb="7">
      <t>セン</t>
    </rPh>
    <phoneticPr fontId="15"/>
  </si>
  <si>
    <t>GJ/千kWh</t>
    <rPh sb="3" eb="4">
      <t>セン</t>
    </rPh>
    <phoneticPr fontId="15"/>
  </si>
  <si>
    <t>電気：</t>
    <rPh sb="0" eb="2">
      <t>デンキ</t>
    </rPh>
    <phoneticPr fontId="12"/>
  </si>
  <si>
    <t>プルダウンリスト</t>
    <phoneticPr fontId="12"/>
  </si>
  <si>
    <t>1次エネルギー換算係数</t>
    <rPh sb="1" eb="2">
      <t>ジ</t>
    </rPh>
    <rPh sb="7" eb="9">
      <t>カンサン</t>
    </rPh>
    <rPh sb="9" eb="11">
      <t>ケイスウ</t>
    </rPh>
    <phoneticPr fontId="12"/>
  </si>
  <si>
    <t>【省エネ法換算係数】</t>
    <phoneticPr fontId="12"/>
  </si>
  <si>
    <t>新設</t>
    <rPh sb="0" eb="2">
      <t>シンセツ</t>
    </rPh>
    <phoneticPr fontId="2"/>
  </si>
  <si>
    <t>増設</t>
    <rPh sb="0" eb="2">
      <t>ゾウセツ</t>
    </rPh>
    <phoneticPr fontId="2"/>
  </si>
  <si>
    <t>更新</t>
    <rPh sb="0" eb="2">
      <t>コウシン</t>
    </rPh>
    <phoneticPr fontId="2"/>
  </si>
  <si>
    <t>継続</t>
    <rPh sb="0" eb="2">
      <t>ケイゾク</t>
    </rPh>
    <phoneticPr fontId="2"/>
  </si>
  <si>
    <r>
      <t>熱交換率</t>
    </r>
    <r>
      <rPr>
        <vertAlign val="superscript"/>
        <sz val="12"/>
        <color theme="1"/>
        <rFont val="メイリオ"/>
        <family val="3"/>
        <charset val="128"/>
      </rPr>
      <t>※</t>
    </r>
    <rPh sb="0" eb="1">
      <t>ネツ</t>
    </rPh>
    <rPh sb="1" eb="3">
      <t>コウカン</t>
    </rPh>
    <rPh sb="3" eb="4">
      <t>リツ</t>
    </rPh>
    <phoneticPr fontId="2"/>
  </si>
  <si>
    <t>単位</t>
    <rPh sb="0" eb="2">
      <t>タンイ</t>
    </rPh>
    <phoneticPr fontId="2"/>
  </si>
  <si>
    <t>電気</t>
    <rPh sb="0" eb="2">
      <t>デンキ</t>
    </rPh>
    <phoneticPr fontId="2"/>
  </si>
  <si>
    <t>事務所</t>
    <rPh sb="0" eb="3">
      <t>ジムショ</t>
    </rPh>
    <phoneticPr fontId="12"/>
  </si>
  <si>
    <t>年間</t>
    <rPh sb="0" eb="2">
      <t>ネンカン</t>
    </rPh>
    <phoneticPr fontId="12"/>
  </si>
  <si>
    <t>暖房</t>
    <rPh sb="0" eb="2">
      <t>ダンボウ</t>
    </rPh>
    <phoneticPr fontId="12"/>
  </si>
  <si>
    <t>冷房</t>
    <rPh sb="0" eb="2">
      <t>レイボウ</t>
    </rPh>
    <phoneticPr fontId="12"/>
  </si>
  <si>
    <t>㎏/h</t>
    <phoneticPr fontId="2"/>
  </si>
  <si>
    <t>その他</t>
    <rPh sb="2" eb="3">
      <t>タ</t>
    </rPh>
    <phoneticPr fontId="12"/>
  </si>
  <si>
    <t>文化・娯楽施設</t>
    <rPh sb="0" eb="2">
      <t>ブンカ</t>
    </rPh>
    <rPh sb="3" eb="7">
      <t>ゴラクシセツ</t>
    </rPh>
    <phoneticPr fontId="12"/>
  </si>
  <si>
    <t>医療施設</t>
    <rPh sb="0" eb="4">
      <t>イリョウシセツ</t>
    </rPh>
    <phoneticPr fontId="12"/>
  </si>
  <si>
    <t>教育施設</t>
    <rPh sb="0" eb="4">
      <t>キョウイクシセツ</t>
    </rPh>
    <phoneticPr fontId="12"/>
  </si>
  <si>
    <t>宿泊施設</t>
    <rPh sb="0" eb="4">
      <t>シュクハクシセツ</t>
    </rPh>
    <phoneticPr fontId="12"/>
  </si>
  <si>
    <t>商業施設（飲食）</t>
    <rPh sb="0" eb="4">
      <t>ショウギョウシセツ</t>
    </rPh>
    <rPh sb="5" eb="7">
      <t>インショク</t>
    </rPh>
    <phoneticPr fontId="12"/>
  </si>
  <si>
    <t>商業施設（物販）</t>
    <rPh sb="0" eb="4">
      <t>ショウギョウシセツ</t>
    </rPh>
    <rPh sb="5" eb="7">
      <t>ブッパン</t>
    </rPh>
    <phoneticPr fontId="12"/>
  </si>
  <si>
    <t>全負荷相当時間（h/年）</t>
    <rPh sb="0" eb="1">
      <t>ゼン</t>
    </rPh>
    <rPh sb="1" eb="3">
      <t>フカ</t>
    </rPh>
    <rPh sb="3" eb="5">
      <t>ソウトウ</t>
    </rPh>
    <rPh sb="5" eb="7">
      <t>ジカン</t>
    </rPh>
    <rPh sb="10" eb="11">
      <t>ネン</t>
    </rPh>
    <phoneticPr fontId="12"/>
  </si>
  <si>
    <t>中小クレジット算定ガイドライン</t>
    <rPh sb="0" eb="2">
      <t>チュウショウ</t>
    </rPh>
    <rPh sb="7" eb="9">
      <t>サンテイ</t>
    </rPh>
    <phoneticPr fontId="12"/>
  </si>
  <si>
    <t>設備を選択</t>
    <rPh sb="0" eb="2">
      <t>セツビ</t>
    </rPh>
    <rPh sb="3" eb="5">
      <t>センタク</t>
    </rPh>
    <phoneticPr fontId="2"/>
  </si>
  <si>
    <t>区分を選択</t>
    <rPh sb="0" eb="2">
      <t>クブン</t>
    </rPh>
    <rPh sb="3" eb="5">
      <t>センタク</t>
    </rPh>
    <phoneticPr fontId="2"/>
  </si>
  <si>
    <t>単位を選択</t>
    <rPh sb="0" eb="2">
      <t>タンイ</t>
    </rPh>
    <rPh sb="3" eb="5">
      <t>センタク</t>
    </rPh>
    <phoneticPr fontId="12"/>
  </si>
  <si>
    <t>室用途を選択</t>
    <rPh sb="0" eb="3">
      <t>シツヨウト</t>
    </rPh>
    <rPh sb="4" eb="6">
      <t>センタク</t>
    </rPh>
    <phoneticPr fontId="12"/>
  </si>
  <si>
    <t>室用途</t>
    <rPh sb="0" eb="1">
      <t>シツ</t>
    </rPh>
    <rPh sb="1" eb="3">
      <t>ヨウト</t>
    </rPh>
    <phoneticPr fontId="2"/>
  </si>
  <si>
    <t>3（GHP・都市ガス・ｍ3N/h）</t>
    <rPh sb="6" eb="8">
      <t>トシ</t>
    </rPh>
    <phoneticPr fontId="2"/>
  </si>
  <si>
    <t>４（GHP・LPG・㎾）</t>
    <phoneticPr fontId="2"/>
  </si>
  <si>
    <t>５（GHP・LPG・㎏/h）</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</si>
  <si>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</si>
  <si>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</si>
  <si>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</si>
  <si>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</si>
  <si>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</si>
  <si>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</si>
  <si>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</si>
  <si>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</si>
  <si>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</si>
  <si>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新設備</t>
    <phoneticPr fontId="2"/>
  </si>
  <si>
    <t>旧設備</t>
    <phoneticPr fontId="2"/>
  </si>
  <si>
    <t>換気範囲の室</t>
    <rPh sb="0" eb="2">
      <t>カンキ</t>
    </rPh>
    <rPh sb="2" eb="4">
      <t>ハンイ</t>
    </rPh>
    <rPh sb="5" eb="6">
      <t>シツ</t>
    </rPh>
    <phoneticPr fontId="2"/>
  </si>
  <si>
    <t>平面図記載記号</t>
    <rPh sb="0" eb="3">
      <t>ヘイメンズ</t>
    </rPh>
    <rPh sb="3" eb="5">
      <t>キサイ</t>
    </rPh>
    <rPh sb="5" eb="7">
      <t>キゴウ</t>
    </rPh>
    <phoneticPr fontId="2"/>
  </si>
  <si>
    <t>産業用以外の蒸気</t>
    <phoneticPr fontId="12"/>
  </si>
  <si>
    <t>セルに必要事項を入力してください。</t>
    <rPh sb="3" eb="5">
      <t>ヒツヨウ</t>
    </rPh>
    <rPh sb="5" eb="7">
      <t>ジコウ</t>
    </rPh>
    <rPh sb="8" eb="10">
      <t>ニュウリョク</t>
    </rPh>
    <phoneticPr fontId="2"/>
  </si>
  <si>
    <t>数式により自動計算します。入力できません。</t>
    <rPh sb="0" eb="2">
      <t>スウシキ</t>
    </rPh>
    <rPh sb="5" eb="7">
      <t>ジドウ</t>
    </rPh>
    <rPh sb="7" eb="9">
      <t>ケイサン</t>
    </rPh>
    <rPh sb="13" eb="15">
      <t>ニュウリョク</t>
    </rPh>
    <phoneticPr fontId="2"/>
  </si>
  <si>
    <t>室</t>
    <rPh sb="0" eb="1">
      <t>シツ</t>
    </rPh>
    <phoneticPr fontId="12"/>
  </si>
  <si>
    <t>室①</t>
    <rPh sb="0" eb="1">
      <t>シツ</t>
    </rPh>
    <phoneticPr fontId="12"/>
  </si>
  <si>
    <t>室②</t>
    <rPh sb="0" eb="1">
      <t>シツ</t>
    </rPh>
    <phoneticPr fontId="12"/>
  </si>
  <si>
    <t>室③</t>
    <rPh sb="0" eb="1">
      <t>シツ</t>
    </rPh>
    <phoneticPr fontId="12"/>
  </si>
  <si>
    <t>室④</t>
    <rPh sb="0" eb="1">
      <t>シツ</t>
    </rPh>
    <phoneticPr fontId="12"/>
  </si>
  <si>
    <t>室⑤</t>
    <rPh sb="0" eb="1">
      <t>シツ</t>
    </rPh>
    <phoneticPr fontId="12"/>
  </si>
  <si>
    <t>室⑥</t>
    <rPh sb="0" eb="1">
      <t>シツ</t>
    </rPh>
    <phoneticPr fontId="12"/>
  </si>
  <si>
    <t>室⑦</t>
    <rPh sb="0" eb="1">
      <t>シツ</t>
    </rPh>
    <phoneticPr fontId="12"/>
  </si>
  <si>
    <t>室用途</t>
    <rPh sb="0" eb="1">
      <t>シツ</t>
    </rPh>
    <rPh sb="1" eb="3">
      <t>ヨウト</t>
    </rPh>
    <phoneticPr fontId="12"/>
  </si>
  <si>
    <t>その他
（工場、倉庫等）</t>
    <rPh sb="2" eb="3">
      <t>タ</t>
    </rPh>
    <rPh sb="5" eb="7">
      <t>コウジョウ</t>
    </rPh>
    <rPh sb="8" eb="10">
      <t>ソウコ</t>
    </rPh>
    <rPh sb="10" eb="11">
      <t>トウ</t>
    </rPh>
    <phoneticPr fontId="12"/>
  </si>
  <si>
    <t>事務所</t>
    <phoneticPr fontId="12"/>
  </si>
  <si>
    <t>機械換気</t>
    <rPh sb="0" eb="4">
      <t>キカイカンキ</t>
    </rPh>
    <phoneticPr fontId="12"/>
  </si>
  <si>
    <t>床面積
（㎡）</t>
    <rPh sb="0" eb="1">
      <t>ユカ</t>
    </rPh>
    <rPh sb="1" eb="3">
      <t>メンセキ</t>
    </rPh>
    <phoneticPr fontId="12"/>
  </si>
  <si>
    <t>商業施設
（物販）</t>
    <phoneticPr fontId="12"/>
  </si>
  <si>
    <t>自然換気</t>
    <rPh sb="0" eb="4">
      <t>シゼンカンキ</t>
    </rPh>
    <phoneticPr fontId="12"/>
  </si>
  <si>
    <t>高さ
（m）</t>
    <rPh sb="0" eb="1">
      <t>タカ</t>
    </rPh>
    <phoneticPr fontId="12"/>
  </si>
  <si>
    <t>商業施設
（飲食）</t>
    <rPh sb="6" eb="8">
      <t>インショク</t>
    </rPh>
    <phoneticPr fontId="12"/>
  </si>
  <si>
    <t>宿泊施設</t>
    <phoneticPr fontId="12"/>
  </si>
  <si>
    <t>利用人数
（人/室）</t>
    <rPh sb="0" eb="2">
      <t>リヨウ</t>
    </rPh>
    <rPh sb="2" eb="4">
      <t>ニンズウ</t>
    </rPh>
    <rPh sb="6" eb="7">
      <t>ヒト</t>
    </rPh>
    <rPh sb="8" eb="9">
      <t>シツ</t>
    </rPh>
    <phoneticPr fontId="12"/>
  </si>
  <si>
    <t>現況</t>
    <rPh sb="0" eb="2">
      <t>ゲンキョウ</t>
    </rPh>
    <phoneticPr fontId="12"/>
  </si>
  <si>
    <t>教育施設</t>
    <phoneticPr fontId="12"/>
  </si>
  <si>
    <t>医療施設</t>
    <phoneticPr fontId="12"/>
  </si>
  <si>
    <t>文化・
娯楽施設</t>
    <phoneticPr fontId="12"/>
  </si>
  <si>
    <t>１人あたり
換気量
（㎥/h・人）</t>
    <phoneticPr fontId="12"/>
  </si>
  <si>
    <t>D</t>
    <phoneticPr fontId="2"/>
  </si>
  <si>
    <t>V_1</t>
    <phoneticPr fontId="2"/>
  </si>
  <si>
    <t>V_2</t>
  </si>
  <si>
    <t>V_3</t>
  </si>
  <si>
    <t>V_4</t>
  </si>
  <si>
    <t>V_5</t>
  </si>
  <si>
    <t>V_6</t>
  </si>
  <si>
    <t>V_7</t>
  </si>
  <si>
    <t>V_8</t>
  </si>
  <si>
    <t>V_9</t>
  </si>
  <si>
    <t>V_10</t>
  </si>
  <si>
    <t>A_1</t>
    <phoneticPr fontId="2"/>
  </si>
  <si>
    <t>A_2</t>
  </si>
  <si>
    <t>A_3</t>
  </si>
  <si>
    <t>A_4</t>
  </si>
  <si>
    <t>A_5</t>
  </si>
  <si>
    <t>A_6</t>
  </si>
  <si>
    <t>A_7</t>
  </si>
  <si>
    <t>A_8</t>
  </si>
  <si>
    <t>A_9</t>
  </si>
  <si>
    <t>A_10</t>
  </si>
  <si>
    <t>A_11</t>
    <phoneticPr fontId="2"/>
  </si>
  <si>
    <t>A_12</t>
  </si>
  <si>
    <t>A_13</t>
  </si>
  <si>
    <t>A_14</t>
  </si>
  <si>
    <t>A_15</t>
  </si>
  <si>
    <t>A_16</t>
  </si>
  <si>
    <t>A_17</t>
  </si>
  <si>
    <t>A_18</t>
  </si>
  <si>
    <t>A_19</t>
  </si>
  <si>
    <t>A_20</t>
  </si>
  <si>
    <t>V_11</t>
    <phoneticPr fontId="2"/>
  </si>
  <si>
    <t>V_12</t>
  </si>
  <si>
    <t>V_13</t>
  </si>
  <si>
    <t>V_14</t>
  </si>
  <si>
    <t>V_15</t>
  </si>
  <si>
    <t>V_16</t>
  </si>
  <si>
    <t>V_17</t>
  </si>
  <si>
    <t>V_18</t>
  </si>
  <si>
    <t>V_19</t>
  </si>
  <si>
    <t>V_20</t>
  </si>
  <si>
    <t>エネルギー使用量</t>
    <rPh sb="5" eb="8">
      <t>シヨウリョウ</t>
    </rPh>
    <phoneticPr fontId="2"/>
  </si>
  <si>
    <t>一次エネルギー消費量（GJ/年）</t>
    <rPh sb="0" eb="2">
      <t>イチジ</t>
    </rPh>
    <rPh sb="7" eb="10">
      <t>ショウヒリョウ</t>
    </rPh>
    <rPh sb="14" eb="15">
      <t>ネン</t>
    </rPh>
    <phoneticPr fontId="12"/>
  </si>
  <si>
    <t>kW</t>
    <phoneticPr fontId="2"/>
  </si>
  <si>
    <t>2（GHP・都市ガス・㎾）</t>
    <rPh sb="6" eb="8">
      <t>トシ</t>
    </rPh>
    <phoneticPr fontId="2"/>
  </si>
  <si>
    <t>1（EHP・電力・㎾）</t>
    <rPh sb="6" eb="8">
      <t>デンリョク</t>
    </rPh>
    <phoneticPr fontId="2"/>
  </si>
  <si>
    <t>＜入力時の注意事項＞</t>
    <rPh sb="1" eb="3">
      <t>ニュウリョク</t>
    </rPh>
    <rPh sb="3" eb="4">
      <t>ジ</t>
    </rPh>
    <rPh sb="5" eb="7">
      <t>チュウイ</t>
    </rPh>
    <rPh sb="7" eb="9">
      <t>ジコウ</t>
    </rPh>
    <phoneticPr fontId="2"/>
  </si>
  <si>
    <t>＜セルの説明＞</t>
    <rPh sb="4" eb="6">
      <t>セツメイ</t>
    </rPh>
    <phoneticPr fontId="2"/>
  </si>
  <si>
    <t>換気設備
導入後</t>
    <rPh sb="0" eb="4">
      <t>カンキセツビ</t>
    </rPh>
    <rPh sb="5" eb="8">
      <t>ドウニュウゴ</t>
    </rPh>
    <phoneticPr fontId="12"/>
  </si>
  <si>
    <t>室⑧</t>
    <rPh sb="0" eb="1">
      <t>シツ</t>
    </rPh>
    <phoneticPr fontId="12"/>
  </si>
  <si>
    <t>室⑨</t>
    <rPh sb="0" eb="1">
      <t>シツ</t>
    </rPh>
    <phoneticPr fontId="12"/>
  </si>
  <si>
    <t>室⑩</t>
    <rPh sb="0" eb="1">
      <t>シツ</t>
    </rPh>
    <phoneticPr fontId="12"/>
  </si>
  <si>
    <t>J=W*S(3600)</t>
    <phoneticPr fontId="2"/>
  </si>
  <si>
    <t>kJ=W*3.6</t>
    <phoneticPr fontId="2"/>
  </si>
  <si>
    <r>
      <t>ｍ</t>
    </r>
    <r>
      <rPr>
        <vertAlign val="superscript"/>
        <sz val="11"/>
        <color theme="1"/>
        <rFont val="メイリオ"/>
        <family val="3"/>
        <charset val="128"/>
      </rPr>
      <t>3</t>
    </r>
    <r>
      <rPr>
        <sz val="11"/>
        <color theme="1"/>
        <rFont val="メイリオ"/>
        <family val="3"/>
        <charset val="128"/>
      </rPr>
      <t>N/h</t>
    </r>
    <phoneticPr fontId="2"/>
  </si>
  <si>
    <t>↓中小クレジット算定ガイドラインの換気</t>
    <rPh sb="1" eb="3">
      <t>チュウショウ</t>
    </rPh>
    <rPh sb="8" eb="10">
      <t>サンテイ</t>
    </rPh>
    <rPh sb="17" eb="19">
      <t>カンキ</t>
    </rPh>
    <phoneticPr fontId="12"/>
  </si>
  <si>
    <t>現状の
換気方法</t>
    <phoneticPr fontId="12"/>
  </si>
  <si>
    <t>１．建屋内で区切られた部屋を１の室として記入してください。</t>
    <phoneticPr fontId="2"/>
  </si>
  <si>
    <t>２．１の室に複数の換気設備がある場合は、その合計を記入してください。</t>
    <rPh sb="4" eb="5">
      <t>シツ</t>
    </rPh>
    <rPh sb="6" eb="8">
      <t>フクスウ</t>
    </rPh>
    <rPh sb="9" eb="11">
      <t>カンキ</t>
    </rPh>
    <rPh sb="11" eb="13">
      <t>セツビ</t>
    </rPh>
    <rPh sb="16" eb="18">
      <t>バアイ</t>
    </rPh>
    <rPh sb="22" eb="24">
      <t>ゴウケイ</t>
    </rPh>
    <rPh sb="25" eb="27">
      <t>キニュウ</t>
    </rPh>
    <phoneticPr fontId="2"/>
  </si>
  <si>
    <t>４．自然換気の換気量は、「０」を入力してください。</t>
    <rPh sb="2" eb="4">
      <t>シゼン</t>
    </rPh>
    <rPh sb="4" eb="6">
      <t>カンキ</t>
    </rPh>
    <rPh sb="7" eb="9">
      <t>カンキ</t>
    </rPh>
    <rPh sb="9" eb="10">
      <t>リョウ</t>
    </rPh>
    <rPh sb="16" eb="18">
      <t>ニュウリョク</t>
    </rPh>
    <phoneticPr fontId="2"/>
  </si>
  <si>
    <t>　　建築基準法に基づくダクト等の有効換気量は、圧力損失を考慮した換気量になります。</t>
    <phoneticPr fontId="2"/>
  </si>
  <si>
    <t>６．給気または排気を伴わない送風機等の風量は、換気量に含まれません。</t>
    <rPh sb="2" eb="4">
      <t>キュウキ</t>
    </rPh>
    <rPh sb="7" eb="9">
      <t>ハイキ</t>
    </rPh>
    <rPh sb="10" eb="11">
      <t>トモナ</t>
    </rPh>
    <rPh sb="14" eb="17">
      <t>ソウフウキ</t>
    </rPh>
    <rPh sb="17" eb="18">
      <t>トウ</t>
    </rPh>
    <rPh sb="19" eb="21">
      <t>フウリョウ</t>
    </rPh>
    <rPh sb="23" eb="25">
      <t>カンキ</t>
    </rPh>
    <rPh sb="25" eb="26">
      <t>リョウ</t>
    </rPh>
    <rPh sb="27" eb="28">
      <t>フク</t>
    </rPh>
    <phoneticPr fontId="2"/>
  </si>
  <si>
    <t>有効換気量
（㎥/h)</t>
    <rPh sb="0" eb="2">
      <t>ユウコウ</t>
    </rPh>
    <phoneticPr fontId="12"/>
  </si>
  <si>
    <t>［m3］</t>
    <phoneticPr fontId="2"/>
  </si>
  <si>
    <t>［kg］</t>
    <phoneticPr fontId="2"/>
  </si>
  <si>
    <t>単位を選択</t>
    <rPh sb="0" eb="2">
      <t>タンイ</t>
    </rPh>
    <phoneticPr fontId="12"/>
  </si>
  <si>
    <t>型番</t>
    <rPh sb="0" eb="2">
      <t>カタバン</t>
    </rPh>
    <phoneticPr fontId="2"/>
  </si>
  <si>
    <t>メーカー名</t>
    <rPh sb="4" eb="5">
      <t>ナ</t>
    </rPh>
    <phoneticPr fontId="2"/>
  </si>
  <si>
    <t>旧設備</t>
    <rPh sb="0" eb="1">
      <t>キュウ</t>
    </rPh>
    <rPh sb="1" eb="3">
      <t>セツビ</t>
    </rPh>
    <phoneticPr fontId="2"/>
  </si>
  <si>
    <t>新設備</t>
    <rPh sb="0" eb="3">
      <t>シンセツビ</t>
    </rPh>
    <phoneticPr fontId="2"/>
  </si>
  <si>
    <t>V_12</t>
    <phoneticPr fontId="2"/>
  </si>
  <si>
    <t>V_13</t>
    <phoneticPr fontId="2"/>
  </si>
  <si>
    <t>V_20</t>
    <phoneticPr fontId="2"/>
  </si>
  <si>
    <t>灯油</t>
    <rPh sb="0" eb="2">
      <t>トウユ</t>
    </rPh>
    <phoneticPr fontId="15"/>
  </si>
  <si>
    <t>軽油</t>
    <rPh sb="0" eb="2">
      <t>ケイユ</t>
    </rPh>
    <phoneticPr fontId="15"/>
  </si>
  <si>
    <t>A重油</t>
    <rPh sb="1" eb="3">
      <t>ジュウユ</t>
    </rPh>
    <phoneticPr fontId="15"/>
  </si>
  <si>
    <t>B・Ｃ重油</t>
    <rPh sb="3" eb="5">
      <t>ジュウユ</t>
    </rPh>
    <phoneticPr fontId="15"/>
  </si>
  <si>
    <t>温水・冷水</t>
    <rPh sb="0" eb="2">
      <t>オンスイ</t>
    </rPh>
    <rPh sb="3" eb="5">
      <t>レイスイ</t>
    </rPh>
    <phoneticPr fontId="12"/>
  </si>
  <si>
    <t>産業用蒸気</t>
    <rPh sb="0" eb="3">
      <t>サンギョウヨウ</t>
    </rPh>
    <rPh sb="3" eb="5">
      <t>ジョウキ</t>
    </rPh>
    <phoneticPr fontId="15"/>
  </si>
  <si>
    <t>産業用以外の蒸気</t>
    <rPh sb="0" eb="3">
      <t>サンギョウヨウ</t>
    </rPh>
    <rPh sb="3" eb="5">
      <t>イガイ</t>
    </rPh>
    <rPh sb="6" eb="8">
      <t>ジョウキ</t>
    </rPh>
    <phoneticPr fontId="15"/>
  </si>
  <si>
    <t>１．令和2年度（2020年度）のエネルギー使用量を該当する下記の種別表に入力してください。</t>
    <rPh sb="2" eb="4">
      <t>レイワ</t>
    </rPh>
    <rPh sb="5" eb="7">
      <t>ネンド</t>
    </rPh>
    <rPh sb="12" eb="14">
      <t>ネンド</t>
    </rPh>
    <rPh sb="21" eb="24">
      <t>シヨウリョウ</t>
    </rPh>
    <rPh sb="25" eb="27">
      <t>ガイトウ</t>
    </rPh>
    <rPh sb="29" eb="31">
      <t>カキ</t>
    </rPh>
    <rPh sb="32" eb="34">
      <t>シュベツ</t>
    </rPh>
    <rPh sb="34" eb="35">
      <t>ヒョウ</t>
    </rPh>
    <rPh sb="36" eb="38">
      <t>ニュウリョク</t>
    </rPh>
    <phoneticPr fontId="2"/>
  </si>
  <si>
    <t>　　但し、年度途中から営業開始または休業等により2020年度分が無い場合は、直近までの実績分を入力してください。</t>
    <rPh sb="2" eb="3">
      <t>タダ</t>
    </rPh>
    <rPh sb="5" eb="7">
      <t>ネンド</t>
    </rPh>
    <rPh sb="7" eb="9">
      <t>トチュウ</t>
    </rPh>
    <rPh sb="11" eb="13">
      <t>エイギョウ</t>
    </rPh>
    <rPh sb="13" eb="15">
      <t>カイシ</t>
    </rPh>
    <rPh sb="18" eb="20">
      <t>キュウギョウ</t>
    </rPh>
    <rPh sb="20" eb="21">
      <t>トウ</t>
    </rPh>
    <rPh sb="28" eb="30">
      <t>ネンド</t>
    </rPh>
    <rPh sb="30" eb="31">
      <t>ブン</t>
    </rPh>
    <rPh sb="32" eb="33">
      <t>ナ</t>
    </rPh>
    <rPh sb="34" eb="36">
      <t>バアイ</t>
    </rPh>
    <rPh sb="38" eb="40">
      <t>チョッキン</t>
    </rPh>
    <rPh sb="43" eb="45">
      <t>ジッセキ</t>
    </rPh>
    <rPh sb="45" eb="46">
      <t>ブン</t>
    </rPh>
    <rPh sb="47" eb="49">
      <t xml:space="preserve">ニュウリョクシテクダサイ </t>
    </rPh>
    <phoneticPr fontId="2"/>
  </si>
  <si>
    <t>　　なお、入力する値は、提出するエネルギー使用量の証憑等に記載されている必要があります。</t>
    <rPh sb="5" eb="7">
      <t>ニュウリョク</t>
    </rPh>
    <rPh sb="9" eb="10">
      <t>アタイ</t>
    </rPh>
    <rPh sb="12" eb="14">
      <t>テイシュツ</t>
    </rPh>
    <rPh sb="21" eb="24">
      <t>シヨウリョウ</t>
    </rPh>
    <rPh sb="25" eb="27">
      <t>ショウヒョウ</t>
    </rPh>
    <rPh sb="27" eb="28">
      <t>トウ</t>
    </rPh>
    <rPh sb="29" eb="31">
      <t>キサイ</t>
    </rPh>
    <rPh sb="36" eb="38">
      <t>ヒツヨウ</t>
    </rPh>
    <phoneticPr fontId="2"/>
  </si>
  <si>
    <t>　　また、表中の「計」欄は、12か月すべてに入力が無い場合は、12か月分に補正した値が表示されます。</t>
    <rPh sb="5" eb="6">
      <t>ヒョウ</t>
    </rPh>
    <rPh sb="6" eb="7">
      <t>チュウ</t>
    </rPh>
    <rPh sb="9" eb="10">
      <t>ケイ</t>
    </rPh>
    <rPh sb="11" eb="12">
      <t>ラン</t>
    </rPh>
    <rPh sb="17" eb="18">
      <t>ゲツ</t>
    </rPh>
    <rPh sb="22" eb="24">
      <t>ニュウリョク</t>
    </rPh>
    <rPh sb="25" eb="26">
      <t>ナ</t>
    </rPh>
    <rPh sb="27" eb="29">
      <t>バアイ</t>
    </rPh>
    <rPh sb="34" eb="36">
      <t>ゲツブン</t>
    </rPh>
    <rPh sb="37" eb="39">
      <t>ホセイ</t>
    </rPh>
    <rPh sb="41" eb="42">
      <t>アタイ</t>
    </rPh>
    <rPh sb="43" eb="45">
      <t>ヒョウジ</t>
    </rPh>
    <phoneticPr fontId="2"/>
  </si>
  <si>
    <t>●その他のエネルギー１使用量・料金</t>
    <rPh sb="3" eb="4">
      <t>タ</t>
    </rPh>
    <rPh sb="11" eb="14">
      <t>シヨウリョウ</t>
    </rPh>
    <rPh sb="15" eb="17">
      <t>リョウキン</t>
    </rPh>
    <phoneticPr fontId="2"/>
  </si>
  <si>
    <t>●その他のエネルギー２使用量・料金</t>
    <rPh sb="3" eb="4">
      <t>タ</t>
    </rPh>
    <rPh sb="11" eb="14">
      <t>シヨウリョウ</t>
    </rPh>
    <rPh sb="15" eb="17">
      <t>リョウキン</t>
    </rPh>
    <phoneticPr fontId="2"/>
  </si>
  <si>
    <t>●その他のエネルギー３使用量・料金</t>
    <rPh sb="3" eb="4">
      <t>タ</t>
    </rPh>
    <rPh sb="11" eb="14">
      <t>シヨウリョウ</t>
    </rPh>
    <rPh sb="15" eb="17">
      <t>リョウキン</t>
    </rPh>
    <phoneticPr fontId="2"/>
  </si>
  <si>
    <t>●その他のエネルギー４使用量・料金</t>
    <rPh sb="3" eb="4">
      <t>タ</t>
    </rPh>
    <rPh sb="11" eb="14">
      <t>シヨウリョウ</t>
    </rPh>
    <rPh sb="15" eb="17">
      <t>リョウキン</t>
    </rPh>
    <phoneticPr fontId="2"/>
  </si>
  <si>
    <t>　　なお、記入欄が不足する場合は、公社までご相談ください。</t>
    <rPh sb="5" eb="7">
      <t>キニュウ</t>
    </rPh>
    <rPh sb="7" eb="8">
      <t>ラン</t>
    </rPh>
    <rPh sb="9" eb="11">
      <t>フソク</t>
    </rPh>
    <rPh sb="13" eb="15">
      <t>バアイ</t>
    </rPh>
    <rPh sb="17" eb="19">
      <t>コウシャ</t>
    </rPh>
    <rPh sb="22" eb="24">
      <t>ソウダン</t>
    </rPh>
    <phoneticPr fontId="2"/>
  </si>
  <si>
    <t>【１．換気設備導入前後の比較表】</t>
    <rPh sb="3" eb="5">
      <t>カンキ</t>
    </rPh>
    <rPh sb="5" eb="7">
      <t>セツビ</t>
    </rPh>
    <rPh sb="7" eb="9">
      <t>ドウニュウ</t>
    </rPh>
    <rPh sb="9" eb="11">
      <t>ゼンゴ</t>
    </rPh>
    <rPh sb="12" eb="14">
      <t>ヒカク</t>
    </rPh>
    <rPh sb="14" eb="15">
      <t>ヒョウ</t>
    </rPh>
    <phoneticPr fontId="12"/>
  </si>
  <si>
    <t>【２．換気設備の新旧仕様入力表】</t>
    <rPh sb="3" eb="5">
      <t>カンキ</t>
    </rPh>
    <rPh sb="5" eb="7">
      <t>セツビ</t>
    </rPh>
    <rPh sb="8" eb="10">
      <t>シンキュウ</t>
    </rPh>
    <rPh sb="10" eb="12">
      <t>シヨウ</t>
    </rPh>
    <rPh sb="12" eb="14">
      <t>ニュウリョク</t>
    </rPh>
    <rPh sb="14" eb="15">
      <t>ヒョウ</t>
    </rPh>
    <phoneticPr fontId="2"/>
  </si>
  <si>
    <t>【４．年間エネルギー使用量】</t>
    <rPh sb="3" eb="5">
      <t>ネンカン</t>
    </rPh>
    <rPh sb="10" eb="12">
      <t>シヨウ</t>
    </rPh>
    <rPh sb="12" eb="13">
      <t>リョウ</t>
    </rPh>
    <phoneticPr fontId="2"/>
  </si>
  <si>
    <t>機械換気（換気扇等）</t>
    <phoneticPr fontId="2"/>
  </si>
  <si>
    <t>高効率換気設備</t>
    <rPh sb="0" eb="3">
      <t>コウコウリツ</t>
    </rPh>
    <rPh sb="3" eb="5">
      <t>カンキ</t>
    </rPh>
    <rPh sb="5" eb="7">
      <t>セツビ</t>
    </rPh>
    <phoneticPr fontId="2"/>
  </si>
  <si>
    <t>熱交換型換気設備</t>
    <rPh sb="3" eb="4">
      <t>カタ</t>
    </rPh>
    <rPh sb="4" eb="6">
      <t>カンキ</t>
    </rPh>
    <rPh sb="6" eb="8">
      <t>セツビ</t>
    </rPh>
    <phoneticPr fontId="2"/>
  </si>
  <si>
    <t>換気・空調一体型設備</t>
    <rPh sb="0" eb="2">
      <t>カンキ</t>
    </rPh>
    <rPh sb="3" eb="5">
      <t>クウチョウ</t>
    </rPh>
    <rPh sb="5" eb="7">
      <t>イッタイ</t>
    </rPh>
    <rPh sb="7" eb="8">
      <t>カタ</t>
    </rPh>
    <rPh sb="8" eb="10">
      <t>セツビ</t>
    </rPh>
    <phoneticPr fontId="2"/>
  </si>
  <si>
    <t>中小規模事業所の
規模判定</t>
    <rPh sb="0" eb="7">
      <t>チュウショウキボジギョウショ</t>
    </rPh>
    <rPh sb="9" eb="11">
      <t>キボ</t>
    </rPh>
    <rPh sb="11" eb="13">
      <t>ハンテイ</t>
    </rPh>
    <phoneticPr fontId="12"/>
  </si>
  <si>
    <t>【３．空調設備の新旧仕様入力表】</t>
    <rPh sb="3" eb="5">
      <t>クウチョウ</t>
    </rPh>
    <rPh sb="5" eb="7">
      <t>セツビ</t>
    </rPh>
    <rPh sb="8" eb="10">
      <t>シンキュウ</t>
    </rPh>
    <rPh sb="10" eb="12">
      <t>シヨウ</t>
    </rPh>
    <rPh sb="12" eb="14">
      <t>ニュウリョク</t>
    </rPh>
    <rPh sb="14" eb="15">
      <t>ヒョウ</t>
    </rPh>
    <phoneticPr fontId="2"/>
  </si>
  <si>
    <t>設備要件</t>
    <rPh sb="0" eb="2">
      <t>セツビ</t>
    </rPh>
    <rPh sb="2" eb="4">
      <t>ヨウケン</t>
    </rPh>
    <phoneticPr fontId="2"/>
  </si>
  <si>
    <t>型番（室外機）</t>
    <rPh sb="0" eb="2">
      <t>カタバン</t>
    </rPh>
    <rPh sb="3" eb="6">
      <t>シツガイキ</t>
    </rPh>
    <phoneticPr fontId="2"/>
  </si>
  <si>
    <t>APF</t>
    <phoneticPr fontId="2"/>
  </si>
  <si>
    <t>COP</t>
    <phoneticPr fontId="2"/>
  </si>
  <si>
    <t>エネルギー
消費効率</t>
    <phoneticPr fontId="2"/>
  </si>
  <si>
    <t>能力［[kW］</t>
    <rPh sb="0" eb="2">
      <t>ノウリョク</t>
    </rPh>
    <phoneticPr fontId="2"/>
  </si>
  <si>
    <r>
      <t>エネルギー消費量</t>
    </r>
    <r>
      <rPr>
        <sz val="11"/>
        <color theme="1"/>
        <rFont val="メイリオ"/>
        <family val="3"/>
        <charset val="128"/>
      </rPr>
      <t>（単位時間当り）</t>
    </r>
    <rPh sb="5" eb="8">
      <t>ショウヒリョウ</t>
    </rPh>
    <rPh sb="9" eb="11">
      <t>タンイ</t>
    </rPh>
    <rPh sb="11" eb="13">
      <t>ジカン</t>
    </rPh>
    <rPh sb="13" eb="14">
      <t>アタ</t>
    </rPh>
    <phoneticPr fontId="2"/>
  </si>
  <si>
    <t>エネルギー消費量（単位時間当り）</t>
    <rPh sb="5" eb="8">
      <t>ショウヒリョウ</t>
    </rPh>
    <rPh sb="9" eb="11">
      <t>タンイ</t>
    </rPh>
    <rPh sb="11" eb="13">
      <t>ジカン</t>
    </rPh>
    <rPh sb="13" eb="14">
      <t>アタ</t>
    </rPh>
    <phoneticPr fontId="2"/>
  </si>
  <si>
    <t>一次エネルギー
（年換算）［GJ］</t>
    <rPh sb="0" eb="2">
      <t>イチジ</t>
    </rPh>
    <rPh sb="9" eb="10">
      <t>ネン</t>
    </rPh>
    <rPh sb="10" eb="12">
      <t>カンサン</t>
    </rPh>
    <phoneticPr fontId="2"/>
  </si>
  <si>
    <t>原油換算［KL］</t>
    <rPh sb="0" eb="2">
      <t>ゲンユ</t>
    </rPh>
    <rPh sb="2" eb="4">
      <t>カンサン</t>
    </rPh>
    <phoneticPr fontId="2"/>
  </si>
  <si>
    <t>換気量の新旧増減</t>
    <rPh sb="0" eb="3">
      <t>カンキリョウ</t>
    </rPh>
    <rPh sb="4" eb="6">
      <t>シンキュウ</t>
    </rPh>
    <rPh sb="6" eb="8">
      <t>ゾウゲン</t>
    </rPh>
    <phoneticPr fontId="12"/>
  </si>
  <si>
    <t>１人あたりの必要換気量
（30㎥/h・人）</t>
    <rPh sb="1" eb="2">
      <t>ニン</t>
    </rPh>
    <rPh sb="6" eb="8">
      <t>ヒツヨウ</t>
    </rPh>
    <rPh sb="8" eb="11">
      <t>カンキリョウ</t>
    </rPh>
    <phoneticPr fontId="12"/>
  </si>
  <si>
    <t>OR(仕様入力!D$79="電気式パッケージ形空調機",仕様入力!D$79="ルームエアコン")</t>
    <phoneticPr fontId="2"/>
  </si>
  <si>
    <t>１．記入する設備仕様の値を確認ができる資料の抜粋にマーカーなどの印を付けたものを提出してください。</t>
    <rPh sb="2" eb="4">
      <t>キニュウ</t>
    </rPh>
    <rPh sb="6" eb="8">
      <t>セツビ</t>
    </rPh>
    <rPh sb="8" eb="10">
      <t>シヨウ</t>
    </rPh>
    <rPh sb="11" eb="12">
      <t>アタイ</t>
    </rPh>
    <rPh sb="13" eb="15">
      <t>カクニン</t>
    </rPh>
    <rPh sb="19" eb="21">
      <t>シリョウ</t>
    </rPh>
    <rPh sb="22" eb="24">
      <t>バッスイ</t>
    </rPh>
    <rPh sb="32" eb="33">
      <t>シルシ</t>
    </rPh>
    <rPh sb="34" eb="35">
      <t>ツ</t>
    </rPh>
    <rPh sb="40" eb="42">
      <t>テイシュツ</t>
    </rPh>
    <phoneticPr fontId="2"/>
  </si>
  <si>
    <t>　　資料例：カタログ、仕様書、導入推奨機器検索画面のコピーなど。</t>
    <rPh sb="2" eb="4">
      <t>シリョウ</t>
    </rPh>
    <rPh sb="4" eb="5">
      <t>レイ</t>
    </rPh>
    <rPh sb="11" eb="14">
      <t>シヨウショ</t>
    </rPh>
    <rPh sb="15" eb="17">
      <t>ドウニュウ</t>
    </rPh>
    <rPh sb="17" eb="19">
      <t>スイショウ</t>
    </rPh>
    <rPh sb="19" eb="21">
      <t>キキ</t>
    </rPh>
    <rPh sb="21" eb="23">
      <t>ケンサク</t>
    </rPh>
    <rPh sb="23" eb="25">
      <t>ガメン</t>
    </rPh>
    <phoneticPr fontId="12"/>
  </si>
  <si>
    <t>　　　①：導入推奨機器に指定されたもの。</t>
    <phoneticPr fontId="2"/>
  </si>
  <si>
    <t>　　　②：統一省エネルギーラベル４つ星以上であるもの。</t>
    <rPh sb="5" eb="7">
      <t>トウイツ</t>
    </rPh>
    <rPh sb="7" eb="8">
      <t>ショウ</t>
    </rPh>
    <rPh sb="18" eb="19">
      <t>ホシ</t>
    </rPh>
    <rPh sb="19" eb="21">
      <t>イジョウ</t>
    </rPh>
    <phoneticPr fontId="2"/>
  </si>
  <si>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2"/>
  </si>
  <si>
    <t>要件を選択</t>
    <rPh sb="0" eb="2">
      <t>ヨウケン</t>
    </rPh>
    <rPh sb="3" eb="5">
      <t>センタク</t>
    </rPh>
    <phoneticPr fontId="2"/>
  </si>
  <si>
    <t>プルダウンリストから選択してください。</t>
    <rPh sb="10" eb="12">
      <t>センタク</t>
    </rPh>
    <phoneticPr fontId="2"/>
  </si>
  <si>
    <t>実施確認：空調設備の更新を行いますか。</t>
    <rPh sb="0" eb="2">
      <t>ジッシ</t>
    </rPh>
    <rPh sb="2" eb="4">
      <t>カクニン</t>
    </rPh>
    <rPh sb="5" eb="7">
      <t>クウチョウ</t>
    </rPh>
    <rPh sb="7" eb="9">
      <t>セツビ</t>
    </rPh>
    <rPh sb="10" eb="12">
      <t>コウシン</t>
    </rPh>
    <rPh sb="13" eb="14">
      <t>オコナ</t>
    </rPh>
    <phoneticPr fontId="12"/>
  </si>
  <si>
    <t>＜申請時の注意事項＞</t>
    <rPh sb="1" eb="3">
      <t>シンセイ</t>
    </rPh>
    <rPh sb="3" eb="4">
      <t>ジ</t>
    </rPh>
    <rPh sb="5" eb="7">
      <t>チュウイ</t>
    </rPh>
    <rPh sb="7" eb="9">
      <t>ジコウ</t>
    </rPh>
    <phoneticPr fontId="2"/>
  </si>
  <si>
    <t>１．申請の際は、本Excelファイルの電子データを公社へ提出してください。</t>
    <rPh sb="2" eb="4">
      <t>シンセイ</t>
    </rPh>
    <rPh sb="5" eb="6">
      <t>サイ</t>
    </rPh>
    <rPh sb="8" eb="9">
      <t>ホン</t>
    </rPh>
    <rPh sb="19" eb="21">
      <t>デンシ</t>
    </rPh>
    <rPh sb="25" eb="27">
      <t>コウシャ</t>
    </rPh>
    <rPh sb="28" eb="30">
      <t>テイシュツ</t>
    </rPh>
    <phoneticPr fontId="2"/>
  </si>
  <si>
    <t>２．電気、ガス以外のエネルギー使用がある場合は、「その他のエネルギー」欄に入力してください。</t>
    <rPh sb="2" eb="4">
      <t>デンキ</t>
    </rPh>
    <rPh sb="7" eb="9">
      <t>イガイ</t>
    </rPh>
    <rPh sb="15" eb="17">
      <t>シヨウ</t>
    </rPh>
    <rPh sb="20" eb="22">
      <t>バアイ</t>
    </rPh>
    <rPh sb="27" eb="28">
      <t>タ</t>
    </rPh>
    <rPh sb="35" eb="36">
      <t>ラン</t>
    </rPh>
    <rPh sb="37" eb="39">
      <t>ニュウリョク</t>
    </rPh>
    <phoneticPr fontId="2"/>
  </si>
  <si>
    <t>X：</t>
    <phoneticPr fontId="2"/>
  </si>
  <si>
    <t>A：</t>
    <phoneticPr fontId="2"/>
  </si>
  <si>
    <t>B：</t>
    <phoneticPr fontId="2"/>
  </si>
  <si>
    <t>C：</t>
    <phoneticPr fontId="2"/>
  </si>
  <si>
    <t>事業所等における概算エネルギー使用量［GJ］</t>
    <rPh sb="0" eb="3">
      <t>ジギョウショ</t>
    </rPh>
    <rPh sb="3" eb="4">
      <t>トウ</t>
    </rPh>
    <rPh sb="8" eb="10">
      <t>ガイサン</t>
    </rPh>
    <rPh sb="15" eb="18">
      <t>シヨウリョウ</t>
    </rPh>
    <phoneticPr fontId="2"/>
  </si>
  <si>
    <r>
      <t>事業所等の延床面積［ｍ</t>
    </r>
    <r>
      <rPr>
        <vertAlign val="superscript"/>
        <sz val="11"/>
        <color theme="1"/>
        <rFont val="メイリオ"/>
        <family val="3"/>
        <charset val="128"/>
      </rPr>
      <t>2</t>
    </r>
    <r>
      <rPr>
        <sz val="11"/>
        <color theme="1"/>
        <rFont val="メイリオ"/>
        <family val="3"/>
        <charset val="128"/>
      </rPr>
      <t>］</t>
    </r>
    <rPh sb="0" eb="4">
      <t>ジギョウショトウ</t>
    </rPh>
    <rPh sb="5" eb="6">
      <t>ノベ</t>
    </rPh>
    <rPh sb="6" eb="9">
      <t>ユカメンセキ</t>
    </rPh>
    <phoneticPr fontId="2"/>
  </si>
  <si>
    <r>
      <t>事業所等が属する区分におけるエネルギー原単位［MJ/ｍ</t>
    </r>
    <r>
      <rPr>
        <vertAlign val="superscript"/>
        <sz val="11"/>
        <color theme="1"/>
        <rFont val="メイリオ"/>
        <family val="3"/>
        <charset val="128"/>
      </rPr>
      <t>2</t>
    </r>
    <r>
      <rPr>
        <sz val="11"/>
        <color theme="1"/>
        <rFont val="メイリオ"/>
        <family val="3"/>
        <charset val="128"/>
      </rPr>
      <t>・h］</t>
    </r>
    <rPh sb="0" eb="3">
      <t>ジギョウショ</t>
    </rPh>
    <rPh sb="3" eb="4">
      <t>トウ</t>
    </rPh>
    <rPh sb="5" eb="6">
      <t>ゾク</t>
    </rPh>
    <rPh sb="8" eb="10">
      <t>クブン</t>
    </rPh>
    <rPh sb="19" eb="22">
      <t>ゲンタンイ</t>
    </rPh>
    <phoneticPr fontId="2"/>
  </si>
  <si>
    <t>事業所等の総稼働時間［h］</t>
    <rPh sb="0" eb="4">
      <t>ジギョウショトウ</t>
    </rPh>
    <rPh sb="5" eb="6">
      <t>ソウ</t>
    </rPh>
    <rPh sb="6" eb="8">
      <t>カドウ</t>
    </rPh>
    <rPh sb="8" eb="10">
      <t>ジカン</t>
    </rPh>
    <phoneticPr fontId="2"/>
  </si>
  <si>
    <t>事業所等の区分</t>
    <rPh sb="0" eb="4">
      <t>ジギョウショトウ</t>
    </rPh>
    <rPh sb="5" eb="7">
      <t>クブン</t>
    </rPh>
    <phoneticPr fontId="2"/>
  </si>
  <si>
    <t>事業所等の延床面積</t>
    <rPh sb="0" eb="4">
      <t>ジギョウショトウ</t>
    </rPh>
    <rPh sb="5" eb="6">
      <t>ノベ</t>
    </rPh>
    <rPh sb="6" eb="7">
      <t>ユカ</t>
    </rPh>
    <rPh sb="7" eb="9">
      <t>メンセキ</t>
    </rPh>
    <phoneticPr fontId="2"/>
  </si>
  <si>
    <r>
      <t>［ｍ</t>
    </r>
    <r>
      <rPr>
        <vertAlign val="superscript"/>
        <sz val="11"/>
        <color theme="1"/>
        <rFont val="メイリオ"/>
        <family val="3"/>
        <charset val="128"/>
      </rPr>
      <t>2</t>
    </r>
    <r>
      <rPr>
        <sz val="11"/>
        <color theme="1"/>
        <rFont val="メイリオ"/>
        <family val="3"/>
        <charset val="128"/>
      </rPr>
      <t>］</t>
    </r>
    <phoneticPr fontId="2"/>
  </si>
  <si>
    <t>区分を選択</t>
    <rPh sb="0" eb="2">
      <t>クブン</t>
    </rPh>
    <rPh sb="3" eb="5">
      <t>センタク</t>
    </rPh>
    <phoneticPr fontId="2"/>
  </si>
  <si>
    <t>事務所</t>
    <rPh sb="0" eb="2">
      <t>ジム</t>
    </rPh>
    <rPh sb="2" eb="3">
      <t>ショ</t>
    </rPh>
    <phoneticPr fontId="2"/>
  </si>
  <si>
    <t>飲食</t>
    <rPh sb="0" eb="2">
      <t>インショク</t>
    </rPh>
    <phoneticPr fontId="2"/>
  </si>
  <si>
    <t>小売（食品）</t>
    <rPh sb="0" eb="2">
      <t>コウ</t>
    </rPh>
    <rPh sb="3" eb="5">
      <t>ショクヒン</t>
    </rPh>
    <phoneticPr fontId="2"/>
  </si>
  <si>
    <t>その他小売</t>
    <rPh sb="2" eb="3">
      <t>タ</t>
    </rPh>
    <rPh sb="3" eb="5">
      <t>コウ</t>
    </rPh>
    <phoneticPr fontId="2"/>
  </si>
  <si>
    <t>原油換算</t>
    <rPh sb="0" eb="2">
      <t>ゲンユ</t>
    </rPh>
    <rPh sb="2" eb="4">
      <t>カンサン</t>
    </rPh>
    <phoneticPr fontId="2"/>
  </si>
  <si>
    <t>エネルギー概算使用量：　X　＝　A　✕　B　✕　C　／　1000</t>
    <rPh sb="5" eb="7">
      <t>ガイサン</t>
    </rPh>
    <rPh sb="7" eb="10">
      <t>シヨウリョウ</t>
    </rPh>
    <phoneticPr fontId="2"/>
  </si>
  <si>
    <t>　ア　事務所内の区画にサーバーを設置していない。</t>
    <rPh sb="3" eb="5">
      <t>ジム</t>
    </rPh>
    <rPh sb="5" eb="6">
      <t>ショ</t>
    </rPh>
    <rPh sb="6" eb="7">
      <t>ナイ</t>
    </rPh>
    <rPh sb="8" eb="10">
      <t>クカク</t>
    </rPh>
    <rPh sb="16" eb="18">
      <t>セッチ</t>
    </rPh>
    <phoneticPr fontId="2"/>
  </si>
  <si>
    <t>　イ　事務所内の区画にサーバーを設置している。</t>
    <rPh sb="3" eb="5">
      <t>ジム</t>
    </rPh>
    <rPh sb="5" eb="6">
      <t>ショ</t>
    </rPh>
    <rPh sb="6" eb="7">
      <t>ナイ</t>
    </rPh>
    <rPh sb="8" eb="10">
      <t>クカク</t>
    </rPh>
    <rPh sb="16" eb="18">
      <t>セッチ</t>
    </rPh>
    <phoneticPr fontId="2"/>
  </si>
  <si>
    <t>ア　事務所内の区画にサーバーを設置していない。</t>
    <rPh sb="2" eb="4">
      <t>ジム</t>
    </rPh>
    <rPh sb="4" eb="5">
      <t>ショ</t>
    </rPh>
    <rPh sb="5" eb="6">
      <t>ナイ</t>
    </rPh>
    <rPh sb="7" eb="9">
      <t>クカク</t>
    </rPh>
    <rPh sb="15" eb="17">
      <t>セッチ</t>
    </rPh>
    <phoneticPr fontId="2"/>
  </si>
  <si>
    <t>イ　事務所内の区画にサーバーを設置している。</t>
    <rPh sb="2" eb="4">
      <t>ジム</t>
    </rPh>
    <rPh sb="4" eb="5">
      <t>ショ</t>
    </rPh>
    <rPh sb="5" eb="6">
      <t>ナイ</t>
    </rPh>
    <rPh sb="7" eb="9">
      <t>クカク</t>
    </rPh>
    <rPh sb="15" eb="17">
      <t>セッチ</t>
    </rPh>
    <phoneticPr fontId="2"/>
  </si>
  <si>
    <t>事務所の延床面積</t>
    <rPh sb="0" eb="2">
      <t>ジム</t>
    </rPh>
    <rPh sb="2" eb="3">
      <t>ショ</t>
    </rPh>
    <rPh sb="4" eb="5">
      <t>ノベ</t>
    </rPh>
    <rPh sb="5" eb="6">
      <t>ユカ</t>
    </rPh>
    <rPh sb="6" eb="8">
      <t>メンセキ</t>
    </rPh>
    <phoneticPr fontId="2"/>
  </si>
  <si>
    <t>事務所内のサーバーを
設置している延床面積</t>
    <rPh sb="0" eb="2">
      <t>ジム</t>
    </rPh>
    <rPh sb="2" eb="3">
      <t>ショ</t>
    </rPh>
    <rPh sb="3" eb="4">
      <t>ナイ</t>
    </rPh>
    <rPh sb="11" eb="13">
      <t>セッチ</t>
    </rPh>
    <rPh sb="17" eb="18">
      <t>ノベ</t>
    </rPh>
    <rPh sb="18" eb="19">
      <t>ユカ</t>
    </rPh>
    <rPh sb="19" eb="21">
      <t>メンセキ</t>
    </rPh>
    <phoneticPr fontId="2"/>
  </si>
  <si>
    <t>［h/年］</t>
    <rPh sb="3" eb="4">
      <t>ネン</t>
    </rPh>
    <phoneticPr fontId="2"/>
  </si>
  <si>
    <t>［GJ/年］</t>
    <rPh sb="4" eb="5">
      <t>ネン</t>
    </rPh>
    <phoneticPr fontId="2"/>
  </si>
  <si>
    <t>［kL/年］</t>
    <rPh sb="4" eb="5">
      <t>ネン</t>
    </rPh>
    <phoneticPr fontId="2"/>
  </si>
  <si>
    <t>事務所の予想年間
総稼働時間</t>
    <rPh sb="0" eb="2">
      <t>ジム</t>
    </rPh>
    <rPh sb="2" eb="3">
      <t>ショ</t>
    </rPh>
    <rPh sb="4" eb="6">
      <t>ヨソウ</t>
    </rPh>
    <rPh sb="6" eb="8">
      <t>ネンカン</t>
    </rPh>
    <rPh sb="9" eb="10">
      <t>ソウ</t>
    </rPh>
    <rPh sb="10" eb="12">
      <t>カドウ</t>
    </rPh>
    <rPh sb="12" eb="14">
      <t>ジカン</t>
    </rPh>
    <phoneticPr fontId="2"/>
  </si>
  <si>
    <t>事業所等の予想年間
総稼働時間</t>
    <rPh sb="0" eb="4">
      <t>ジギョウショトウ</t>
    </rPh>
    <rPh sb="5" eb="7">
      <t>ヨソウ</t>
    </rPh>
    <rPh sb="7" eb="9">
      <t>ネンカン</t>
    </rPh>
    <rPh sb="10" eb="11">
      <t>ソウ</t>
    </rPh>
    <rPh sb="11" eb="13">
      <t>カドウ</t>
    </rPh>
    <rPh sb="13" eb="15">
      <t>ジカン</t>
    </rPh>
    <phoneticPr fontId="2"/>
  </si>
  <si>
    <t>サーバーの予想年間
総稼働時間</t>
    <rPh sb="5" eb="7">
      <t>ヨソウ</t>
    </rPh>
    <rPh sb="7" eb="9">
      <t>ネンカン</t>
    </rPh>
    <rPh sb="10" eb="11">
      <t>ソウ</t>
    </rPh>
    <rPh sb="11" eb="13">
      <t>カドウ</t>
    </rPh>
    <rPh sb="13" eb="15">
      <t>ジカン</t>
    </rPh>
    <phoneticPr fontId="2"/>
  </si>
  <si>
    <t>区分の原単位</t>
    <rPh sb="0" eb="2">
      <t>クブン</t>
    </rPh>
    <rPh sb="3" eb="6">
      <t>ゲンタンイ</t>
    </rPh>
    <phoneticPr fontId="2"/>
  </si>
  <si>
    <t>２．換気・空調一体型設備は、「２．換気設備の新旧仕様入力表」に記入してください。</t>
    <rPh sb="2" eb="4">
      <t>カンキ</t>
    </rPh>
    <rPh sb="5" eb="7">
      <t>クウチョウ</t>
    </rPh>
    <rPh sb="7" eb="9">
      <t>イッタイ</t>
    </rPh>
    <rPh sb="9" eb="10">
      <t>カタ</t>
    </rPh>
    <rPh sb="10" eb="12">
      <t>セツビ</t>
    </rPh>
    <rPh sb="17" eb="19">
      <t>カンキ</t>
    </rPh>
    <rPh sb="19" eb="21">
      <t>セツビ</t>
    </rPh>
    <rPh sb="22" eb="24">
      <t>シンキュウ</t>
    </rPh>
    <rPh sb="24" eb="26">
      <t>シヨウ</t>
    </rPh>
    <rPh sb="26" eb="28">
      <t>ニュウリョク</t>
    </rPh>
    <rPh sb="28" eb="29">
      <t>ヒョウ</t>
    </rPh>
    <rPh sb="31" eb="33">
      <t>キニュウ</t>
    </rPh>
    <phoneticPr fontId="2"/>
  </si>
  <si>
    <t>１．新設等により全くエネルギーの使用が無い場合は、本シートに記入してください。</t>
    <rPh sb="2" eb="4">
      <t>シンセツ</t>
    </rPh>
    <rPh sb="4" eb="5">
      <t>トウ</t>
    </rPh>
    <rPh sb="8" eb="9">
      <t>マッタ</t>
    </rPh>
    <rPh sb="16" eb="18">
      <t>シヨウ</t>
    </rPh>
    <rPh sb="19" eb="20">
      <t>ナ</t>
    </rPh>
    <rPh sb="21" eb="23">
      <t>バアイ</t>
    </rPh>
    <rPh sb="25" eb="26">
      <t>ホン</t>
    </rPh>
    <rPh sb="30" eb="32">
      <t>キニュウ</t>
    </rPh>
    <phoneticPr fontId="2"/>
  </si>
  <si>
    <t>２．確認事項を選択の上、ア・イのいずれか該当する表を使用してください。</t>
    <rPh sb="2" eb="4">
      <t>カクニン</t>
    </rPh>
    <rPh sb="4" eb="6">
      <t>ジコウ</t>
    </rPh>
    <rPh sb="7" eb="9">
      <t>センタク</t>
    </rPh>
    <rPh sb="10" eb="11">
      <t>ウエ</t>
    </rPh>
    <rPh sb="20" eb="22">
      <t>ガイトウ</t>
    </rPh>
    <rPh sb="24" eb="25">
      <t>ヒョウ</t>
    </rPh>
    <rPh sb="26" eb="28">
      <t>シヨウ</t>
    </rPh>
    <phoneticPr fontId="2"/>
  </si>
  <si>
    <t>【５．年間エネルギー使用量（概算）】</t>
    <rPh sb="3" eb="5">
      <t>ネンカン</t>
    </rPh>
    <rPh sb="10" eb="12">
      <t>シヨウ</t>
    </rPh>
    <rPh sb="12" eb="13">
      <t>リョウ</t>
    </rPh>
    <rPh sb="14" eb="16">
      <t>ガイサン</t>
    </rPh>
    <phoneticPr fontId="2"/>
  </si>
  <si>
    <t>３．新設等により全くエネルギーの使用が無い場合は、別紙「５．年間エネルギー使用量（概算）」に記入の上、提出してください。</t>
    <rPh sb="2" eb="4">
      <t>シンセツ</t>
    </rPh>
    <rPh sb="4" eb="5">
      <t>トウ</t>
    </rPh>
    <rPh sb="8" eb="9">
      <t>マッタ</t>
    </rPh>
    <rPh sb="16" eb="18">
      <t>シヨウ</t>
    </rPh>
    <rPh sb="19" eb="20">
      <t>ナ</t>
    </rPh>
    <rPh sb="21" eb="23">
      <t>バアイ</t>
    </rPh>
    <rPh sb="25" eb="27">
      <t>ベッシ</t>
    </rPh>
    <rPh sb="41" eb="43">
      <t>ガイサン</t>
    </rPh>
    <rPh sb="46" eb="48">
      <t>キニュウ</t>
    </rPh>
    <rPh sb="49" eb="50">
      <t>ウエ</t>
    </rPh>
    <rPh sb="51" eb="53">
      <t>テイシュツ</t>
    </rPh>
    <phoneticPr fontId="2"/>
  </si>
  <si>
    <t>エネルギー使用量（概算）</t>
    <rPh sb="5" eb="8">
      <t>シヨウリョウ</t>
    </rPh>
    <rPh sb="9" eb="11">
      <t>ガイサン</t>
    </rPh>
    <phoneticPr fontId="2"/>
  </si>
  <si>
    <t>①推奨機器</t>
    <rPh sb="1" eb="3">
      <t>スイショウ</t>
    </rPh>
    <rPh sb="3" eb="5">
      <t>キキ</t>
    </rPh>
    <phoneticPr fontId="2"/>
  </si>
  <si>
    <t>②４つ星</t>
    <rPh sb="3" eb="4">
      <t>ホシ</t>
    </rPh>
    <phoneticPr fontId="2"/>
  </si>
  <si>
    <t>③その他</t>
    <rPh sb="3" eb="4">
      <t>タ</t>
    </rPh>
    <phoneticPr fontId="2"/>
  </si>
  <si>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2"/>
  </si>
  <si>
    <t>都市ガス［m3⇒Nm3］換算</t>
    <rPh sb="0" eb="2">
      <t>トシ</t>
    </rPh>
    <phoneticPr fontId="2"/>
  </si>
  <si>
    <t>熱交冷房入力</t>
    <rPh sb="0" eb="2">
      <t>ネツコウ</t>
    </rPh>
    <rPh sb="2" eb="4">
      <t>レイボウ</t>
    </rPh>
    <rPh sb="4" eb="6">
      <t>ニュウリョク</t>
    </rPh>
    <phoneticPr fontId="12"/>
  </si>
  <si>
    <t>熱交暖房入力</t>
    <rPh sb="0" eb="2">
      <t>ネツコウ</t>
    </rPh>
    <rPh sb="2" eb="4">
      <t>ダンボウ</t>
    </rPh>
    <rPh sb="4" eb="6">
      <t>ニュウリョク</t>
    </rPh>
    <phoneticPr fontId="12"/>
  </si>
  <si>
    <t>換気一体入力</t>
    <rPh sb="0" eb="2">
      <t>カンキ</t>
    </rPh>
    <rPh sb="2" eb="4">
      <t>イッタイ</t>
    </rPh>
    <rPh sb="4" eb="6">
      <t>ニュウリョク</t>
    </rPh>
    <phoneticPr fontId="12"/>
  </si>
  <si>
    <t>設備空欄チェック</t>
    <rPh sb="0" eb="2">
      <t>セツビ</t>
    </rPh>
    <rPh sb="2" eb="4">
      <t>クウラン</t>
    </rPh>
    <phoneticPr fontId="12"/>
  </si>
  <si>
    <t>顕熱冷房入力</t>
    <rPh sb="0" eb="2">
      <t>ケンネツ</t>
    </rPh>
    <rPh sb="2" eb="4">
      <t>レイボウ</t>
    </rPh>
    <rPh sb="4" eb="6">
      <t>ニュウリョク</t>
    </rPh>
    <phoneticPr fontId="12"/>
  </si>
  <si>
    <t>顕熱暖房入力</t>
    <rPh sb="0" eb="2">
      <t>ケンネツ</t>
    </rPh>
    <rPh sb="2" eb="4">
      <t>ダンボウ</t>
    </rPh>
    <rPh sb="4" eb="6">
      <t>ニュウリョク</t>
    </rPh>
    <phoneticPr fontId="12"/>
  </si>
  <si>
    <r>
      <rPr>
        <sz val="10"/>
        <color rgb="FFFF0000"/>
        <rFont val="メイリオ"/>
        <family val="3"/>
        <charset val="128"/>
      </rPr>
      <t>空調設備更新前後</t>
    </r>
    <r>
      <rPr>
        <sz val="10"/>
        <color theme="1"/>
        <rFont val="メイリオ"/>
        <family val="3"/>
        <charset val="128"/>
      </rPr>
      <t xml:space="preserve">
の省エネ判定</t>
    </r>
    <rPh sb="0" eb="2">
      <t>クウチョウ</t>
    </rPh>
    <rPh sb="2" eb="4">
      <t>セツビ</t>
    </rPh>
    <rPh sb="4" eb="6">
      <t>コウシン</t>
    </rPh>
    <rPh sb="6" eb="8">
      <t>ゼンゴ</t>
    </rPh>
    <rPh sb="10" eb="11">
      <t>ショウ</t>
    </rPh>
    <rPh sb="13" eb="15">
      <t>ハンテイ</t>
    </rPh>
    <phoneticPr fontId="12"/>
  </si>
  <si>
    <t>使用量!H65</t>
    <phoneticPr fontId="2"/>
  </si>
  <si>
    <t>使用量!H52</t>
    <phoneticPr fontId="2"/>
  </si>
  <si>
    <t>使用量!H78</t>
    <phoneticPr fontId="2"/>
  </si>
  <si>
    <t>使用量!H91</t>
    <phoneticPr fontId="2"/>
  </si>
  <si>
    <t>使用量!H39</t>
    <phoneticPr fontId="2"/>
  </si>
  <si>
    <t>LPG:kg</t>
    <phoneticPr fontId="2"/>
  </si>
  <si>
    <r>
      <rPr>
        <sz val="12"/>
        <color rgb="FFFF0000"/>
        <rFont val="メイリオ"/>
        <family val="3"/>
        <charset val="128"/>
      </rPr>
      <t>必要換気量に係る</t>
    </r>
    <r>
      <rPr>
        <sz val="12"/>
        <color theme="1"/>
        <rFont val="メイリオ"/>
        <family val="3"/>
        <charset val="128"/>
      </rPr>
      <t xml:space="preserve">
要件判定</t>
    </r>
    <rPh sb="0" eb="2">
      <t>ヒツヨウ</t>
    </rPh>
    <rPh sb="2" eb="4">
      <t>カンキ</t>
    </rPh>
    <rPh sb="4" eb="5">
      <t>リョウ</t>
    </rPh>
    <rPh sb="6" eb="7">
      <t>カカ</t>
    </rPh>
    <rPh sb="9" eb="11">
      <t>ヨウケン</t>
    </rPh>
    <rPh sb="11" eb="13">
      <t>ハンテイ</t>
    </rPh>
    <phoneticPr fontId="2"/>
  </si>
  <si>
    <t>種別を選択</t>
  </si>
  <si>
    <r>
      <rPr>
        <sz val="10"/>
        <color rgb="FFFF0000"/>
        <rFont val="メイリオ"/>
        <family val="3"/>
        <charset val="128"/>
      </rPr>
      <t>中小規模事業所</t>
    </r>
    <r>
      <rPr>
        <sz val="10"/>
        <color theme="1"/>
        <rFont val="メイリオ"/>
        <family val="3"/>
        <charset val="128"/>
      </rPr>
      <t xml:space="preserve">
の規模判定</t>
    </r>
    <rPh sb="0" eb="7">
      <t>チュウショウキボジギョウショ</t>
    </rPh>
    <rPh sb="9" eb="11">
      <t>キボ</t>
    </rPh>
    <rPh sb="11" eb="13">
      <t>ハンテイ</t>
    </rPh>
    <phoneticPr fontId="12"/>
  </si>
  <si>
    <t>３．換気設備の換気量及び消費電力は、カタログ等に記載された常時使用できる＜最大風量時の値＞を記入してください。</t>
    <rPh sb="2" eb="4">
      <t>カンキ</t>
    </rPh>
    <rPh sb="4" eb="6">
      <t>セツビ</t>
    </rPh>
    <rPh sb="7" eb="9">
      <t>カンキ</t>
    </rPh>
    <rPh sb="9" eb="10">
      <t>リョウ</t>
    </rPh>
    <rPh sb="10" eb="11">
      <t>オヨ</t>
    </rPh>
    <rPh sb="12" eb="14">
      <t>ショウヒ</t>
    </rPh>
    <rPh sb="14" eb="16">
      <t>デンリョク</t>
    </rPh>
    <rPh sb="22" eb="23">
      <t>トウ</t>
    </rPh>
    <rPh sb="24" eb="26">
      <t>キサイ</t>
    </rPh>
    <rPh sb="29" eb="31">
      <t>ジョウジ</t>
    </rPh>
    <rPh sb="31" eb="33">
      <t>シヨウ</t>
    </rPh>
    <rPh sb="37" eb="39">
      <t>サイダイ</t>
    </rPh>
    <rPh sb="39" eb="41">
      <t>フウリョウ</t>
    </rPh>
    <rPh sb="41" eb="42">
      <t>ジ</t>
    </rPh>
    <rPh sb="43" eb="44">
      <t>アタイ</t>
    </rPh>
    <rPh sb="46" eb="48">
      <t>キニュウ</t>
    </rPh>
    <phoneticPr fontId="2"/>
  </si>
  <si>
    <t>３．機械換気の換気量は、常時使用できる最大風量時の有効換気量を入力してください。</t>
    <rPh sb="2" eb="4">
      <t>キカイ</t>
    </rPh>
    <rPh sb="4" eb="6">
      <t>カンキ</t>
    </rPh>
    <rPh sb="7" eb="9">
      <t>カンキ</t>
    </rPh>
    <rPh sb="9" eb="10">
      <t>リョウ</t>
    </rPh>
    <rPh sb="12" eb="16">
      <t>ジョウジシヨウ</t>
    </rPh>
    <rPh sb="19" eb="21">
      <t>サイダイ</t>
    </rPh>
    <rPh sb="21" eb="23">
      <t>フウリョウ</t>
    </rPh>
    <rPh sb="23" eb="24">
      <t>ジ</t>
    </rPh>
    <rPh sb="25" eb="27">
      <t>ユウコウ</t>
    </rPh>
    <rPh sb="27" eb="29">
      <t>カンキ</t>
    </rPh>
    <rPh sb="29" eb="30">
      <t>リョウ</t>
    </rPh>
    <rPh sb="31" eb="33">
      <t>ニュウリョク</t>
    </rPh>
    <phoneticPr fontId="2"/>
  </si>
  <si>
    <t>５．１の室に給気と排気の機械換気設備がある場合は換気量の多い給気又は排気設備の有効換気量をご記入ください。</t>
    <rPh sb="24" eb="27">
      <t>カンキリョウ</t>
    </rPh>
    <rPh sb="28" eb="29">
      <t>オオ</t>
    </rPh>
    <rPh sb="30" eb="32">
      <t>キュウキ</t>
    </rPh>
    <rPh sb="32" eb="33">
      <t>マタ</t>
    </rPh>
    <rPh sb="34" eb="36">
      <t>ハイキ</t>
    </rPh>
    <rPh sb="36" eb="38">
      <t>セツビ</t>
    </rPh>
    <rPh sb="39" eb="41">
      <t>ユウコウ</t>
    </rPh>
    <rPh sb="41" eb="44">
      <t>カンキリョウ</t>
    </rPh>
    <rPh sb="46" eb="48">
      <t>キニュウ</t>
    </rPh>
    <phoneticPr fontId="2"/>
  </si>
  <si>
    <t>←年度をプルダウンメニューより選択</t>
    <rPh sb="1" eb="3">
      <t>ネンド</t>
    </rPh>
    <rPh sb="15" eb="17">
      <t>センタク</t>
    </rPh>
    <phoneticPr fontId="2"/>
  </si>
  <si>
    <t>年度を選択</t>
  </si>
  <si>
    <t>←ガス種別・単位をプルダウンメニューより選択</t>
    <phoneticPr fontId="2"/>
  </si>
  <si>
    <t>←エネルギー種別をプルダウンメニューより選択</t>
    <rPh sb="6" eb="8">
      <t>シュベツ</t>
    </rPh>
    <phoneticPr fontId="2"/>
  </si>
  <si>
    <t>エネルギー種別を選択</t>
    <rPh sb="5" eb="7">
      <t>シュベツ</t>
    </rPh>
    <phoneticPr fontId="12"/>
  </si>
  <si>
    <t>確認事項：事務所内の区画にサーバーを設置していますか。</t>
    <rPh sb="0" eb="2">
      <t>カクニン</t>
    </rPh>
    <rPh sb="2" eb="4">
      <t>ジコウ</t>
    </rPh>
    <phoneticPr fontId="12"/>
  </si>
  <si>
    <t>※　サーバーを設置していない場合は、「アの表」に入力。
　　サーバーを設置している場合は、　「イの表」に入力。</t>
    <rPh sb="7" eb="9">
      <t>セッチ</t>
    </rPh>
    <rPh sb="14" eb="16">
      <t>バアイ</t>
    </rPh>
    <rPh sb="21" eb="22">
      <t>ヒョウ</t>
    </rPh>
    <rPh sb="24" eb="26">
      <t>ニュウリョク</t>
    </rPh>
    <rPh sb="49" eb="50">
      <t>ヒョウ</t>
    </rPh>
    <phoneticPr fontId="12"/>
  </si>
  <si>
    <t>事務所</t>
    <rPh sb="0" eb="3">
      <t>ジムショ</t>
    </rPh>
    <phoneticPr fontId="2"/>
  </si>
  <si>
    <t>サーバーの設置を確認</t>
  </si>
  <si>
    <t>【空調設備】</t>
    <rPh sb="1" eb="3">
      <t>クウチョウ</t>
    </rPh>
    <rPh sb="3" eb="5">
      <t>セツビ</t>
    </rPh>
    <phoneticPr fontId="2"/>
  </si>
  <si>
    <t>教育施設（私学以外）</t>
    <rPh sb="0" eb="4">
      <t>キョウイクシセツ</t>
    </rPh>
    <rPh sb="5" eb="7">
      <t>シガク</t>
    </rPh>
    <rPh sb="7" eb="9">
      <t>イガイ</t>
    </rPh>
    <phoneticPr fontId="12"/>
  </si>
  <si>
    <t>工場</t>
    <rPh sb="0" eb="2">
      <t>コウジョウ</t>
    </rPh>
    <phoneticPr fontId="2"/>
  </si>
  <si>
    <t>倉庫</t>
    <rPh sb="0" eb="2">
      <t>ソウコ</t>
    </rPh>
    <phoneticPr fontId="12"/>
  </si>
  <si>
    <t>私学学校</t>
    <rPh sb="0" eb="2">
      <t>シガク</t>
    </rPh>
    <rPh sb="2" eb="4">
      <t>ガッコウ</t>
    </rPh>
    <phoneticPr fontId="12"/>
  </si>
  <si>
    <t>高効率換気入力</t>
    <rPh sb="0" eb="1">
      <t>コウ</t>
    </rPh>
    <rPh sb="1" eb="3">
      <t>コウリツ</t>
    </rPh>
    <rPh sb="3" eb="5">
      <t>カンキ</t>
    </rPh>
    <rPh sb="5" eb="7">
      <t>ニュウリョク</t>
    </rPh>
    <phoneticPr fontId="12"/>
  </si>
  <si>
    <t>５．空調設備又は換気・空調一体型設備を記入する場合は、次の①～③の各項目から該当する要件を「設備要件」欄に記入してください。</t>
    <rPh sb="2" eb="4">
      <t>クウチョウ</t>
    </rPh>
    <rPh sb="4" eb="6">
      <t>セツビ</t>
    </rPh>
    <rPh sb="6" eb="7">
      <t>マタ</t>
    </rPh>
    <rPh sb="8" eb="10">
      <t>カンキ</t>
    </rPh>
    <rPh sb="11" eb="13">
      <t>クウチョウ</t>
    </rPh>
    <rPh sb="13" eb="16">
      <t>イッタイガタ</t>
    </rPh>
    <rPh sb="16" eb="18">
      <t>セツビ</t>
    </rPh>
    <rPh sb="19" eb="21">
      <t>キニュウ</t>
    </rPh>
    <rPh sb="23" eb="25">
      <t>バアイ</t>
    </rPh>
    <rPh sb="53" eb="55">
      <t>キニュウ</t>
    </rPh>
    <phoneticPr fontId="2"/>
  </si>
  <si>
    <t>６．中央熱源式空調機を更新する場合は、公社までご相談ください。</t>
    <rPh sb="2" eb="4">
      <t>チュウオウ</t>
    </rPh>
    <rPh sb="4" eb="6">
      <t>ネツゲン</t>
    </rPh>
    <rPh sb="6" eb="7">
      <t>シキ</t>
    </rPh>
    <rPh sb="7" eb="9">
      <t>クウチョウ</t>
    </rPh>
    <rPh sb="9" eb="10">
      <t>キ</t>
    </rPh>
    <rPh sb="11" eb="13">
      <t>コウシン</t>
    </rPh>
    <rPh sb="15" eb="17">
      <t>バアイ</t>
    </rPh>
    <rPh sb="19" eb="21">
      <t>コウシャ</t>
    </rPh>
    <rPh sb="24" eb="26">
      <t>ソウダン</t>
    </rPh>
    <phoneticPr fontId="2"/>
  </si>
  <si>
    <t>４．熱交換型換気設備の導入は、＜工場・倉庫・私学学校＞のみ対象となります。</t>
    <rPh sb="2" eb="3">
      <t>ネツ</t>
    </rPh>
    <rPh sb="3" eb="5">
      <t>コウカン</t>
    </rPh>
    <rPh sb="5" eb="6">
      <t>カタ</t>
    </rPh>
    <rPh sb="6" eb="8">
      <t>カンキ</t>
    </rPh>
    <rPh sb="8" eb="10">
      <t>セツビ</t>
    </rPh>
    <rPh sb="11" eb="13">
      <t>ドウニュウ</t>
    </rPh>
    <rPh sb="16" eb="18">
      <t>コウジョウ</t>
    </rPh>
    <rPh sb="19" eb="21">
      <t>ソウコ</t>
    </rPh>
    <rPh sb="22" eb="24">
      <t>シガク</t>
    </rPh>
    <rPh sb="24" eb="26">
      <t>ガッコウ</t>
    </rPh>
    <rPh sb="29" eb="31">
      <t>タイショウ</t>
    </rPh>
    <phoneticPr fontId="2"/>
  </si>
  <si>
    <t>　　なお、既設の熱交換型換気設備等を継続して使用する場合、導入の区分は必ず＜継続＞を選択してください。</t>
    <rPh sb="5" eb="7">
      <t>キセツ</t>
    </rPh>
    <rPh sb="8" eb="11">
      <t>ネツコウカン</t>
    </rPh>
    <rPh sb="11" eb="12">
      <t>カタ</t>
    </rPh>
    <rPh sb="12" eb="14">
      <t>カンキ</t>
    </rPh>
    <rPh sb="14" eb="16">
      <t>セツビ</t>
    </rPh>
    <rPh sb="16" eb="17">
      <t>トウ</t>
    </rPh>
    <rPh sb="18" eb="20">
      <t>ケイゾク</t>
    </rPh>
    <rPh sb="22" eb="24">
      <t>シヨウ</t>
    </rPh>
    <rPh sb="26" eb="28">
      <t>バアイ</t>
    </rPh>
    <rPh sb="35" eb="36">
      <t>カナラ</t>
    </rPh>
    <rPh sb="42" eb="44">
      <t>センタク</t>
    </rPh>
    <phoneticPr fontId="2"/>
  </si>
  <si>
    <t>【室用途】</t>
    <rPh sb="1" eb="2">
      <t>シツ</t>
    </rPh>
    <rPh sb="2" eb="4">
      <t>ヨウト</t>
    </rPh>
    <phoneticPr fontId="2"/>
  </si>
  <si>
    <t>工場</t>
    <rPh sb="0" eb="2">
      <t>コウジョウ</t>
    </rPh>
    <phoneticPr fontId="12"/>
  </si>
  <si>
    <t>空調設備の種類</t>
    <rPh sb="0" eb="2">
      <t>クウチョウ</t>
    </rPh>
    <rPh sb="2" eb="4">
      <t>セツビ</t>
    </rPh>
    <rPh sb="5" eb="7">
      <t>シュルイ</t>
    </rPh>
    <phoneticPr fontId="2"/>
  </si>
  <si>
    <r>
      <t>＜換気設備の新旧機器リスト入力表＞</t>
    </r>
    <r>
      <rPr>
        <sz val="14"/>
        <color rgb="FFFF0000"/>
        <rFont val="メイリオ"/>
        <family val="3"/>
        <charset val="128"/>
      </rPr>
      <t>（機器型番ごとにまとめて記入すること）</t>
    </r>
    <rPh sb="1" eb="3">
      <t>カンキ</t>
    </rPh>
    <rPh sb="3" eb="5">
      <t>セツビ</t>
    </rPh>
    <rPh sb="6" eb="8">
      <t>シンキュウ</t>
    </rPh>
    <rPh sb="8" eb="10">
      <t>キキ</t>
    </rPh>
    <rPh sb="13" eb="15">
      <t>ニュウリョク</t>
    </rPh>
    <rPh sb="15" eb="16">
      <t>ヒョウ</t>
    </rPh>
    <rPh sb="29" eb="31">
      <t>キニュウ</t>
    </rPh>
    <phoneticPr fontId="2"/>
  </si>
  <si>
    <r>
      <t>＜空調設備の新旧機器リスト入力表＞</t>
    </r>
    <r>
      <rPr>
        <sz val="14"/>
        <color rgb="FFFF0000"/>
        <rFont val="メイリオ"/>
        <family val="3"/>
        <charset val="128"/>
      </rPr>
      <t>（機器型番ごとにまとめて記入すること）</t>
    </r>
    <rPh sb="1" eb="3">
      <t>クウチョウ</t>
    </rPh>
    <rPh sb="3" eb="5">
      <t>セツビ</t>
    </rPh>
    <rPh sb="6" eb="8">
      <t>シンキュウ</t>
    </rPh>
    <rPh sb="8" eb="10">
      <t>キキ</t>
    </rPh>
    <rPh sb="13" eb="15">
      <t>ニュウリョク</t>
    </rPh>
    <rPh sb="15" eb="16">
      <t>ヒョウ</t>
    </rPh>
    <rPh sb="29" eb="31">
      <t>キニュウ</t>
    </rPh>
    <phoneticPr fontId="2"/>
  </si>
  <si>
    <r>
      <t>事業範囲に設置されているすべての換気設備について入力してください。</t>
    </r>
    <r>
      <rPr>
        <sz val="12"/>
        <color rgb="FFFF0000"/>
        <rFont val="メイリオ"/>
        <family val="3"/>
        <charset val="128"/>
      </rPr>
      <t>（機器型番ごとにまとめて記入すること）</t>
    </r>
    <rPh sb="0" eb="2">
      <t>ジギョウ</t>
    </rPh>
    <rPh sb="2" eb="4">
      <t>ハンイ</t>
    </rPh>
    <rPh sb="5" eb="7">
      <t>セッチ</t>
    </rPh>
    <rPh sb="16" eb="18">
      <t>カンキ</t>
    </rPh>
    <rPh sb="34" eb="36">
      <t>キキ</t>
    </rPh>
    <rPh sb="36" eb="38">
      <t>カタバン</t>
    </rPh>
    <rPh sb="45" eb="47">
      <t>キニュウ</t>
    </rPh>
    <phoneticPr fontId="2"/>
  </si>
  <si>
    <r>
      <t>今回新たに新設、更新、増設する換気設備並びに、継続使用する換気設備について入力してください。</t>
    </r>
    <r>
      <rPr>
        <sz val="12"/>
        <color rgb="FFFF0000"/>
        <rFont val="メイリオ"/>
        <family val="3"/>
        <charset val="128"/>
      </rPr>
      <t>（機器型番ごとにまとめて記入すること）</t>
    </r>
    <rPh sb="5" eb="7">
      <t>シンセツ</t>
    </rPh>
    <rPh sb="15" eb="17">
      <t>カンキ</t>
    </rPh>
    <rPh sb="17" eb="19">
      <t>セツビ</t>
    </rPh>
    <rPh sb="29" eb="31">
      <t>カンキ</t>
    </rPh>
    <rPh sb="31" eb="33">
      <t>セツビ</t>
    </rPh>
    <rPh sb="58" eb="60">
      <t>キニュウ</t>
    </rPh>
    <phoneticPr fontId="2"/>
  </si>
  <si>
    <r>
      <t>更新する室内機に接続された既設空調設備の室外機について入力してください。</t>
    </r>
    <r>
      <rPr>
        <sz val="12"/>
        <color rgb="FFFF0000"/>
        <rFont val="メイリオ"/>
        <family val="3"/>
        <charset val="128"/>
      </rPr>
      <t>（機器型番ごとにまとめること）</t>
    </r>
    <rPh sb="0" eb="2">
      <t>コウシン</t>
    </rPh>
    <rPh sb="4" eb="7">
      <t>シツナイキ</t>
    </rPh>
    <rPh sb="8" eb="10">
      <t>セツゾク</t>
    </rPh>
    <rPh sb="13" eb="15">
      <t>キセツ</t>
    </rPh>
    <rPh sb="15" eb="17">
      <t>クウチョウ</t>
    </rPh>
    <rPh sb="17" eb="19">
      <t>セツビ</t>
    </rPh>
    <rPh sb="20" eb="23">
      <t>シツガイキ</t>
    </rPh>
    <phoneticPr fontId="2"/>
  </si>
  <si>
    <r>
      <t>更新後の室内機に接続される更新及び既設空調設備の室外機について入力してください。</t>
    </r>
    <r>
      <rPr>
        <sz val="12"/>
        <color rgb="FFFF0000"/>
        <rFont val="メイリオ"/>
        <family val="3"/>
        <charset val="128"/>
      </rPr>
      <t>（機器型番ごとにまとめること）</t>
    </r>
    <rPh sb="0" eb="2">
      <t>コウシン</t>
    </rPh>
    <rPh sb="2" eb="3">
      <t>ゴ</t>
    </rPh>
    <rPh sb="4" eb="7">
      <t>シツナイキ</t>
    </rPh>
    <rPh sb="8" eb="10">
      <t>セツゾク</t>
    </rPh>
    <rPh sb="13" eb="15">
      <t>コウシン</t>
    </rPh>
    <rPh sb="15" eb="16">
      <t>オヨ</t>
    </rPh>
    <rPh sb="17" eb="19">
      <t>キセツ</t>
    </rPh>
    <rPh sb="19" eb="21">
      <t>クウチョウ</t>
    </rPh>
    <rPh sb="21" eb="23">
      <t>セツビ</t>
    </rPh>
    <rPh sb="24" eb="27">
      <t>シツガイキ</t>
    </rPh>
    <phoneticPr fontId="2"/>
  </si>
  <si>
    <r>
      <t>←プルダウンメニューより</t>
    </r>
    <r>
      <rPr>
        <sz val="12"/>
        <color rgb="FFFF0000"/>
        <rFont val="メイリオ"/>
        <family val="3"/>
        <charset val="128"/>
      </rPr>
      <t>＜換気設備の種類＞</t>
    </r>
    <r>
      <rPr>
        <sz val="12"/>
        <rFont val="メイリオ"/>
        <family val="3"/>
        <charset val="128"/>
      </rPr>
      <t>選択してください。</t>
    </r>
    <rPh sb="13" eb="15">
      <t>カンキ</t>
    </rPh>
    <rPh sb="15" eb="17">
      <t>セツビ</t>
    </rPh>
    <rPh sb="18" eb="20">
      <t>シュルイ</t>
    </rPh>
    <rPh sb="21" eb="23">
      <t>センタク</t>
    </rPh>
    <phoneticPr fontId="2"/>
  </si>
  <si>
    <r>
      <t>←プルダウンメニューより</t>
    </r>
    <r>
      <rPr>
        <sz val="12"/>
        <color rgb="FFFF0000"/>
        <rFont val="メイリオ"/>
        <family val="3"/>
        <charset val="128"/>
      </rPr>
      <t>＜導入の区分＞</t>
    </r>
    <r>
      <rPr>
        <sz val="12"/>
        <rFont val="メイリオ"/>
        <family val="3"/>
        <charset val="128"/>
      </rPr>
      <t>選択してください。</t>
    </r>
    <rPh sb="13" eb="15">
      <t>ドウニュウ</t>
    </rPh>
    <rPh sb="16" eb="18">
      <t>クブン</t>
    </rPh>
    <rPh sb="19" eb="21">
      <t>センタク</t>
    </rPh>
    <phoneticPr fontId="2"/>
  </si>
  <si>
    <r>
      <t>←プルダウンメニューより</t>
    </r>
    <r>
      <rPr>
        <sz val="12"/>
        <color rgb="FFFF0000"/>
        <rFont val="メイリオ"/>
        <family val="3"/>
        <charset val="128"/>
      </rPr>
      <t>＜室用途＞</t>
    </r>
    <r>
      <rPr>
        <sz val="12"/>
        <rFont val="メイリオ"/>
        <family val="3"/>
        <charset val="128"/>
      </rPr>
      <t>選択してください。</t>
    </r>
    <rPh sb="13" eb="14">
      <t>シツ</t>
    </rPh>
    <rPh sb="14" eb="16">
      <t>ヨウト</t>
    </rPh>
    <rPh sb="17" eb="19">
      <t>センタク</t>
    </rPh>
    <phoneticPr fontId="2"/>
  </si>
  <si>
    <r>
      <t>←プルダウンメニューより</t>
    </r>
    <r>
      <rPr>
        <sz val="12"/>
        <color rgb="FFFF0000"/>
        <rFont val="メイリオ"/>
        <family val="3"/>
        <charset val="128"/>
      </rPr>
      <t>＜空調設備の種類＞</t>
    </r>
    <r>
      <rPr>
        <sz val="12"/>
        <rFont val="メイリオ"/>
        <family val="3"/>
        <charset val="128"/>
      </rPr>
      <t>選択してください。</t>
    </r>
    <rPh sb="13" eb="15">
      <t>クウチョウ</t>
    </rPh>
    <rPh sb="15" eb="17">
      <t>セツビ</t>
    </rPh>
    <rPh sb="18" eb="20">
      <t>シュルイ</t>
    </rPh>
    <rPh sb="21" eb="23">
      <t>センタク</t>
    </rPh>
    <phoneticPr fontId="2"/>
  </si>
  <si>
    <r>
      <t>←プルダウンメニューより</t>
    </r>
    <r>
      <rPr>
        <sz val="12"/>
        <color rgb="FFFF0000"/>
        <rFont val="メイリオ"/>
        <family val="3"/>
        <charset val="128"/>
      </rPr>
      <t>＜エネルギー種別＞</t>
    </r>
    <r>
      <rPr>
        <sz val="12"/>
        <rFont val="メイリオ"/>
        <family val="3"/>
        <charset val="128"/>
      </rPr>
      <t>選択してください。</t>
    </r>
    <rPh sb="18" eb="20">
      <t>シュベツ</t>
    </rPh>
    <rPh sb="21" eb="23">
      <t>センタク</t>
    </rPh>
    <phoneticPr fontId="2"/>
  </si>
  <si>
    <r>
      <t>←プルダウンメニューより</t>
    </r>
    <r>
      <rPr>
        <sz val="12"/>
        <color rgb="FFFF0000"/>
        <rFont val="メイリオ"/>
        <family val="3"/>
        <charset val="128"/>
      </rPr>
      <t>＜単位＞</t>
    </r>
    <r>
      <rPr>
        <sz val="12"/>
        <rFont val="メイリオ"/>
        <family val="3"/>
        <charset val="128"/>
      </rPr>
      <t>選択してください。</t>
    </r>
    <rPh sb="13" eb="15">
      <t>タンイ</t>
    </rPh>
    <rPh sb="16" eb="18">
      <t>センタク</t>
    </rPh>
    <phoneticPr fontId="2"/>
  </si>
  <si>
    <r>
      <t>←プルダウンメニューより</t>
    </r>
    <r>
      <rPr>
        <sz val="12"/>
        <color rgb="FFFF0000"/>
        <rFont val="メイリオ"/>
        <family val="3"/>
        <charset val="128"/>
      </rPr>
      <t>＜現状の換気方法＞</t>
    </r>
    <r>
      <rPr>
        <sz val="12"/>
        <rFont val="メイリオ"/>
        <family val="3"/>
        <charset val="128"/>
      </rPr>
      <t>選択してください。</t>
    </r>
    <rPh sb="13" eb="15">
      <t>ゲンジョウ</t>
    </rPh>
    <rPh sb="16" eb="18">
      <t>カンキ</t>
    </rPh>
    <rPh sb="18" eb="20">
      <t>ホウホウ</t>
    </rPh>
    <rPh sb="21" eb="23">
      <t>センタク</t>
    </rPh>
    <phoneticPr fontId="2"/>
  </si>
  <si>
    <r>
      <t>記入値が要件を満たさない場合、文字が</t>
    </r>
    <r>
      <rPr>
        <sz val="12"/>
        <color rgb="FFFF0000"/>
        <rFont val="メイリオ"/>
        <family val="3"/>
        <charset val="128"/>
      </rPr>
      <t>＜朱色＞</t>
    </r>
    <r>
      <rPr>
        <sz val="12"/>
        <rFont val="メイリオ"/>
        <family val="3"/>
        <charset val="128"/>
      </rPr>
      <t>になります。</t>
    </r>
    <rPh sb="0" eb="2">
      <t>キニュウ</t>
    </rPh>
    <rPh sb="2" eb="3">
      <t>チ</t>
    </rPh>
    <rPh sb="4" eb="6">
      <t>ヨウケン</t>
    </rPh>
    <rPh sb="7" eb="8">
      <t>ミ</t>
    </rPh>
    <rPh sb="12" eb="14">
      <t>バアイ</t>
    </rPh>
    <rPh sb="15" eb="17">
      <t>モジ</t>
    </rPh>
    <rPh sb="19" eb="21">
      <t>シュイロ</t>
    </rPh>
    <phoneticPr fontId="2"/>
  </si>
  <si>
    <t>機械換気確認</t>
    <rPh sb="0" eb="2">
      <t>キカイ</t>
    </rPh>
    <rPh sb="2" eb="4">
      <t>カンキ</t>
    </rPh>
    <rPh sb="4" eb="6">
      <t>カクニン</t>
    </rPh>
    <phoneticPr fontId="12"/>
  </si>
  <si>
    <t>熱交要件</t>
    <rPh sb="0" eb="2">
      <t>ネツコウ</t>
    </rPh>
    <rPh sb="2" eb="4">
      <t>ヨウケン</t>
    </rPh>
    <phoneticPr fontId="12"/>
  </si>
  <si>
    <t>選択確認</t>
    <rPh sb="0" eb="2">
      <t>センタク</t>
    </rPh>
    <rPh sb="2" eb="4">
      <t>カクニン</t>
    </rPh>
    <phoneticPr fontId="12"/>
  </si>
  <si>
    <t>空調選択確認</t>
    <rPh sb="0" eb="2">
      <t>クウチョウ</t>
    </rPh>
    <rPh sb="2" eb="4">
      <t>センタク</t>
    </rPh>
    <rPh sb="4" eb="6">
      <t>カクニン</t>
    </rPh>
    <phoneticPr fontId="12"/>
  </si>
  <si>
    <t>エネ選択確認</t>
    <rPh sb="2" eb="4">
      <t>センタク</t>
    </rPh>
    <rPh sb="4" eb="6">
      <t>カクニン</t>
    </rPh>
    <phoneticPr fontId="12"/>
  </si>
  <si>
    <t>エネ確認</t>
    <rPh sb="2" eb="4">
      <t>カクニン</t>
    </rPh>
    <phoneticPr fontId="12"/>
  </si>
  <si>
    <t>空調確認</t>
    <rPh sb="0" eb="2">
      <t>クウチョウ</t>
    </rPh>
    <rPh sb="2" eb="4">
      <t>カクニン</t>
    </rPh>
    <phoneticPr fontId="12"/>
  </si>
  <si>
    <r>
      <t>←記入事項に不備がある場合、セルが</t>
    </r>
    <r>
      <rPr>
        <sz val="12"/>
        <color rgb="FFFF0000"/>
        <rFont val="メイリオ"/>
        <family val="3"/>
        <charset val="128"/>
      </rPr>
      <t>＜黄色＞</t>
    </r>
    <r>
      <rPr>
        <sz val="12"/>
        <rFont val="メイリオ"/>
        <family val="3"/>
        <charset val="128"/>
      </rPr>
      <t>になります。</t>
    </r>
    <rPh sb="1" eb="3">
      <t>キニュウ</t>
    </rPh>
    <rPh sb="3" eb="5">
      <t>ジコウ</t>
    </rPh>
    <rPh sb="6" eb="8">
      <t>フビ</t>
    </rPh>
    <rPh sb="11" eb="13">
      <t>バアイ</t>
    </rPh>
    <rPh sb="18" eb="20">
      <t>キイロ</t>
    </rPh>
    <phoneticPr fontId="2"/>
  </si>
  <si>
    <r>
      <t>←記入事項に不備がある場合、セルが</t>
    </r>
    <r>
      <rPr>
        <sz val="12"/>
        <color rgb="FFFF0000"/>
        <rFont val="メイリオ"/>
        <family val="3"/>
        <charset val="128"/>
      </rPr>
      <t>＜橙色＞</t>
    </r>
    <r>
      <rPr>
        <sz val="12"/>
        <rFont val="メイリオ"/>
        <family val="3"/>
        <charset val="128"/>
      </rPr>
      <t>になります。</t>
    </r>
    <rPh sb="1" eb="3">
      <t>キニュウ</t>
    </rPh>
    <rPh sb="3" eb="5">
      <t>ジコウ</t>
    </rPh>
    <rPh sb="6" eb="8">
      <t>フビ</t>
    </rPh>
    <rPh sb="11" eb="13">
      <t>バアイ</t>
    </rPh>
    <rPh sb="18" eb="19">
      <t>ダイダイ</t>
    </rPh>
    <phoneticPr fontId="2"/>
  </si>
  <si>
    <r>
      <t>換気設備</t>
    </r>
    <r>
      <rPr>
        <sz val="12"/>
        <rFont val="メイリオ"/>
        <family val="3"/>
        <charset val="128"/>
      </rPr>
      <t>の導入要件</t>
    </r>
    <rPh sb="0" eb="2">
      <t>カンキ</t>
    </rPh>
    <rPh sb="2" eb="4">
      <t>セツビ</t>
    </rPh>
    <rPh sb="5" eb="7">
      <t>ドウニュウ</t>
    </rPh>
    <rPh sb="7" eb="9">
      <t>ヨウケン</t>
    </rPh>
    <phoneticPr fontId="12"/>
  </si>
  <si>
    <t>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</si>
</sst>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
    <numFmt numFmtId="177" formatCode="#,##0_);[Red]\(#,##0\)"/>
    <numFmt numFmtId="178" formatCode="0_ ;[Red]\-0\ "/>
    <numFmt numFmtId="179" formatCode="0_);[Red]\(0\)"/>
    <numFmt numFmtId="180" formatCode="0.0_);[Red]\(0.0\)"/>
    <numFmt numFmtId="181" formatCode="0.0%"/>
    <numFmt numFmtId="182" formatCode="0.00_);[Red]\(0.00\)"/>
    <numFmt numFmtId="183" formatCode="#,##0.00_ "/>
    <numFmt numFmtId="184" formatCode="#,##0_ ;[Red]\-#,##0\ "/>
    <numFmt numFmtId="185" formatCode="#,##0.000_);[Red]\(#,##0.000\)"/>
    <numFmt numFmtId="186" formatCode="#,##0.0000_);[Red]\(#,##0.0000\)"/>
    <numFmt numFmtId="187" formatCode="#,##0.00_);[Red]\(#,##0.00\)"/>
    <numFmt numFmtId="188" formatCode="#,##0.000000_);[Red]\(#,##0.000000\)"/>
    <numFmt numFmtId="189" formatCode="#,##0.0_);[Red]\(#,##0.0\)"/>
    <numFmt numFmtId="190" formatCode="#,##0_ "/>
    <numFmt numFmtId="191" formatCode="0.0\ "/>
    <numFmt numFmtId="192" formatCode="#,##0.0_ "/>
    <numFmt numFmtId="193" formatCode="#,##0.0_ ;[Red]\-#,##0.0\ "/>
  </numFmts>
  <fonts count="31" x14ac:knownFonts="1">
    <font>
      <sz val="12"/>
      <color theme="1"/>
      <name val="メイリオ"/>
      <family val="2"/>
      <charset val="128"/>
    </font>
    <font>
      <sz val="12"/>
      <color theme="1"/>
      <name val="メイリオ"/>
      <family val="2"/>
      <charset val="128"/>
    </font>
    <font>
      <sz val="6"/>
      <name val="メイリオ"/>
      <family val="2"/>
      <charset val="128"/>
    </font>
    <font>
      <sz val="14"/>
      <color theme="1"/>
      <name val="メイリオ"/>
      <family val="2"/>
      <charset val="128"/>
    </font>
    <font>
      <sz val="10"/>
      <color theme="1"/>
      <name val="メイリオ"/>
      <family val="2"/>
      <charset val="128"/>
    </font>
    <font>
      <sz val="12"/>
      <name val="メイリオ"/>
      <family val="3"/>
      <charset val="128"/>
    </font>
    <font>
      <sz val="10"/>
      <color theme="1"/>
      <name val="メイリオ"/>
      <family val="3"/>
      <charset val="128"/>
    </font>
    <font>
      <sz val="12"/>
      <color theme="1"/>
      <name val="メイリオ"/>
      <family val="3"/>
      <charset val="128"/>
    </font>
    <font>
      <sz val="12"/>
      <name val="メイリオ"/>
      <family val="2"/>
      <charset val="128"/>
    </font>
    <font>
      <vertAlign val="superscript"/>
      <sz val="12"/>
      <color theme="1"/>
      <name val="メイリオ"/>
      <family val="3"/>
      <charset val="128"/>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rgb="FFFF0000"/>
      <name val="メイリオ"/>
      <family val="3"/>
      <charset val="128"/>
    </font>
    <font>
      <sz val="10"/>
      <color rgb="FFFF0000"/>
      <name val="メイリオ"/>
      <family val="3"/>
      <charset val="128"/>
    </font>
    <font>
      <sz val="9"/>
      <color theme="1"/>
      <name val="ＭＳ 明朝"/>
      <family val="1"/>
      <charset val="128"/>
    </font>
    <font>
      <sz val="12"/>
      <color rgb="FFFF0000"/>
      <name val="メイリオ"/>
      <family val="2"/>
      <charset val="128"/>
    </font>
    <font>
      <sz val="12"/>
      <color rgb="FFFF0000"/>
      <name val="メイリオ"/>
      <family val="3"/>
      <charset val="128"/>
    </font>
    <font>
      <sz val="11"/>
      <color theme="1"/>
      <name val="メイリオ"/>
      <family val="2"/>
      <charset val="128"/>
    </font>
    <font>
      <vertAlign val="superscript"/>
      <sz val="11"/>
      <color theme="1"/>
      <name val="メイリオ"/>
      <family val="3"/>
      <charset val="128"/>
    </font>
    <font>
      <sz val="14"/>
      <color theme="1"/>
      <name val="メイリオ"/>
      <family val="3"/>
      <charset val="128"/>
    </font>
    <font>
      <sz val="16"/>
      <name val="メイリオ"/>
      <family val="3"/>
      <charset val="128"/>
    </font>
    <font>
      <sz val="12"/>
      <color indexed="10"/>
      <name val="メイリオ"/>
      <family val="3"/>
      <charset val="128"/>
    </font>
    <font>
      <sz val="11"/>
      <color theme="0"/>
      <name val="メイリオ"/>
      <family val="3"/>
      <charset val="128"/>
    </font>
    <font>
      <sz val="12"/>
      <color indexed="81"/>
      <name val="メイリオ"/>
      <family val="3"/>
      <charset val="128"/>
    </font>
    <font>
      <sz val="9"/>
      <name val="メイリオ"/>
      <family val="3"/>
      <charset val="128"/>
    </font>
    <font>
      <sz val="14"/>
      <color rgb="FFFF0000"/>
      <name val="メイリオ"/>
      <family val="3"/>
      <charset val="128"/>
    </font>
    <font>
      <sz val="16"/>
      <color indexed="10"/>
      <name val="メイリオ"/>
      <family val="3"/>
      <charset val="128"/>
    </font>
    <font>
      <sz val="12"/>
      <color indexed="32"/>
      <name val="メイリオ"/>
      <family val="3"/>
      <charset val="128"/>
    </font>
    <font>
      <sz val="11"/>
      <name val="ＭＳ 明朝"/>
      <family val="1"/>
      <charset val="128"/>
    </font>
    <font>
      <b/>
      <sz val="14"/>
      <color rgb="FFFF0000"/>
      <name val="メイリオ"/>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
      <left/>
      <right style="thin">
        <color indexed="64"/>
      </right>
      <top/>
      <bottom/>
      <diagonal/>
    </border>
    <border>
      <left style="thin">
        <color indexed="64"/>
      </left>
      <right style="medium">
        <color indexed="64"/>
      </right>
      <top/>
      <bottom style="double">
        <color indexed="64"/>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324">
    <xf numFmtId="0" fontId="0" fillId="0" borderId="0" xfId="0">
      <alignment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180" fontId="0" fillId="4" borderId="1" xfId="1" applyNumberFormat="1" applyFont="1" applyFill="1" applyBorder="1" applyProtection="1">
      <alignment vertical="center"/>
      <protection locked="0"/>
    </xf>
    <xf numFmtId="180" fontId="0" fillId="4" borderId="1" xfId="0" applyNumberFormat="1" applyFill="1" applyBorder="1" applyProtection="1">
      <alignment vertical="center"/>
      <protection locked="0"/>
    </xf>
    <xf numFmtId="0" fontId="0" fillId="4" borderId="5" xfId="0" applyNumberFormat="1" applyFill="1" applyBorder="1" applyAlignment="1" applyProtection="1">
      <alignment horizontal="left" vertical="center"/>
      <protection locked="0"/>
    </xf>
    <xf numFmtId="0" fontId="0" fillId="4" borderId="1" xfId="0" applyNumberFormat="1" applyFill="1" applyBorder="1" applyAlignment="1" applyProtection="1">
      <alignment horizontal="left" vertical="center"/>
      <protection locked="0"/>
    </xf>
    <xf numFmtId="0" fontId="4" fillId="2" borderId="5" xfId="0" applyFont="1" applyFill="1" applyBorder="1" applyAlignment="1" applyProtection="1">
      <alignment vertical="center" wrapText="1"/>
      <protection locked="0"/>
    </xf>
    <xf numFmtId="0" fontId="11" fillId="0" borderId="0" xfId="3" applyFont="1">
      <alignment vertical="center"/>
    </xf>
    <xf numFmtId="0" fontId="11" fillId="2" borderId="25" xfId="3" applyFont="1" applyFill="1" applyBorder="1" applyAlignment="1" applyProtection="1">
      <alignment horizontal="center" vertical="center"/>
      <protection locked="0"/>
    </xf>
    <xf numFmtId="185" fontId="11" fillId="0" borderId="0" xfId="3" applyNumberFormat="1" applyFont="1">
      <alignment vertical="center"/>
    </xf>
    <xf numFmtId="187" fontId="11" fillId="0" borderId="0" xfId="3" applyNumberFormat="1" applyFont="1">
      <alignment vertical="center"/>
    </xf>
    <xf numFmtId="177" fontId="11" fillId="0" borderId="0" xfId="3" applyNumberFormat="1" applyFont="1">
      <alignment vertical="center"/>
    </xf>
    <xf numFmtId="186" fontId="11" fillId="0" borderId="0" xfId="3" applyNumberFormat="1" applyFont="1">
      <alignment vertical="center"/>
    </xf>
    <xf numFmtId="188" fontId="11" fillId="0" borderId="0" xfId="3" applyNumberFormat="1" applyFont="1">
      <alignment vertical="center"/>
    </xf>
    <xf numFmtId="187" fontId="11" fillId="0" borderId="27" xfId="3" applyNumberFormat="1" applyFont="1" applyBorder="1">
      <alignment vertical="center"/>
    </xf>
    <xf numFmtId="187" fontId="11" fillId="0" borderId="28" xfId="3" applyNumberFormat="1" applyFont="1" applyBorder="1">
      <alignment vertical="center"/>
    </xf>
    <xf numFmtId="189" fontId="11" fillId="0" borderId="0" xfId="3" applyNumberFormat="1" applyFont="1">
      <alignment vertical="center"/>
    </xf>
    <xf numFmtId="187" fontId="11" fillId="0" borderId="29" xfId="3" applyNumberFormat="1" applyFont="1" applyBorder="1">
      <alignment vertical="center"/>
    </xf>
    <xf numFmtId="187" fontId="11" fillId="0" borderId="9" xfId="3" applyNumberFormat="1" applyFont="1" applyBorder="1">
      <alignment vertical="center"/>
    </xf>
    <xf numFmtId="187" fontId="11" fillId="3" borderId="30" xfId="3" applyNumberFormat="1" applyFont="1" applyFill="1" applyBorder="1" applyAlignment="1">
      <alignment horizontal="center" vertical="center"/>
    </xf>
    <xf numFmtId="187" fontId="11" fillId="2" borderId="31" xfId="3" applyNumberFormat="1" applyFont="1" applyFill="1" applyBorder="1" applyAlignment="1">
      <alignment horizontal="center" vertical="center"/>
    </xf>
    <xf numFmtId="185" fontId="11" fillId="3" borderId="30" xfId="3" applyNumberFormat="1" applyFont="1" applyFill="1" applyBorder="1" applyAlignment="1">
      <alignment horizontal="center" vertical="center"/>
    </xf>
    <xf numFmtId="185" fontId="11" fillId="2" borderId="31" xfId="3" applyNumberFormat="1" applyFont="1" applyFill="1" applyBorder="1" applyAlignment="1">
      <alignment horizontal="center" vertical="center"/>
    </xf>
    <xf numFmtId="185" fontId="11" fillId="0" borderId="9" xfId="3" applyNumberFormat="1" applyFont="1" applyBorder="1">
      <alignment vertical="center"/>
    </xf>
    <xf numFmtId="185" fontId="11" fillId="0" borderId="0" xfId="3" applyNumberFormat="1" applyFont="1" applyAlignment="1">
      <alignment vertical="center"/>
    </xf>
    <xf numFmtId="191" fontId="0" fillId="4" borderId="1" xfId="0" applyNumberFormat="1" applyFill="1" applyBorder="1" applyProtection="1">
      <alignment vertical="center"/>
      <protection locked="0"/>
    </xf>
    <xf numFmtId="0" fontId="0" fillId="4" borderId="5" xfId="0" applyNumberFormat="1" applyFill="1" applyBorder="1" applyAlignment="1" applyProtection="1">
      <alignment horizontal="center" vertical="center" shrinkToFit="1"/>
      <protection locked="0"/>
    </xf>
    <xf numFmtId="0" fontId="0" fillId="4" borderId="1" xfId="0" applyNumberFormat="1" applyFill="1" applyBorder="1" applyAlignment="1" applyProtection="1">
      <alignment horizontal="center" vertical="center" shrinkToFit="1"/>
      <protection locked="0"/>
    </xf>
    <xf numFmtId="0" fontId="0" fillId="2" borderId="5" xfId="0" applyNumberFormat="1" applyFill="1" applyBorder="1" applyAlignment="1" applyProtection="1">
      <alignment horizontal="center" vertical="center" shrinkToFit="1"/>
      <protection locked="0"/>
    </xf>
    <xf numFmtId="181" fontId="8" fillId="2" borderId="5" xfId="2" applyNumberFormat="1" applyFont="1" applyFill="1" applyBorder="1" applyAlignment="1" applyProtection="1">
      <alignment horizontal="center" vertical="center"/>
      <protection locked="0"/>
    </xf>
    <xf numFmtId="1" fontId="0" fillId="4" borderId="5" xfId="0" applyNumberFormat="1" applyFill="1" applyBorder="1" applyProtection="1">
      <alignment vertical="center"/>
      <protection locked="0"/>
    </xf>
    <xf numFmtId="179" fontId="0" fillId="4" borderId="5" xfId="0" applyNumberFormat="1" applyFill="1" applyBorder="1" applyProtection="1">
      <alignment vertical="center"/>
      <protection locked="0"/>
    </xf>
    <xf numFmtId="180" fontId="0" fillId="4" borderId="5" xfId="1" applyNumberFormat="1" applyFont="1" applyFill="1" applyBorder="1" applyProtection="1">
      <alignment vertical="center"/>
      <protection locked="0"/>
    </xf>
    <xf numFmtId="0" fontId="4" fillId="4" borderId="5" xfId="0" applyFont="1" applyFill="1" applyBorder="1" applyAlignment="1" applyProtection="1">
      <alignment horizontal="center" vertical="center" wrapText="1"/>
      <protection locked="0"/>
    </xf>
    <xf numFmtId="0" fontId="0" fillId="0" borderId="0" xfId="0" applyProtection="1">
      <alignment vertical="center"/>
      <protection hidden="1"/>
    </xf>
    <xf numFmtId="0" fontId="0" fillId="0" borderId="0" xfId="0" applyAlignment="1" applyProtection="1">
      <alignment vertical="center" wrapText="1"/>
      <protection hidden="1"/>
    </xf>
    <xf numFmtId="0" fontId="4" fillId="2"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0" fillId="3" borderId="1" xfId="0" applyFill="1" applyBorder="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vertical="center" wrapText="1"/>
      <protection hidden="1"/>
    </xf>
    <xf numFmtId="0" fontId="1" fillId="0" borderId="0" xfId="0" applyFont="1" applyAlignment="1" applyProtection="1">
      <alignment vertical="center" wrapText="1"/>
      <protection hidden="1"/>
    </xf>
    <xf numFmtId="0" fontId="0" fillId="0" borderId="12" xfId="0"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177" fontId="0" fillId="3" borderId="4" xfId="0" applyNumberFormat="1" applyFill="1" applyBorder="1" applyProtection="1">
      <alignment vertical="center"/>
      <protection hidden="1"/>
    </xf>
    <xf numFmtId="178" fontId="0" fillId="3" borderId="6" xfId="1" applyNumberFormat="1" applyFont="1" applyFill="1" applyBorder="1" applyProtection="1">
      <alignment vertical="center"/>
      <protection hidden="1"/>
    </xf>
    <xf numFmtId="180" fontId="0" fillId="3" borderId="10" xfId="1" applyNumberFormat="1" applyFont="1" applyFill="1" applyBorder="1" applyProtection="1">
      <alignment vertical="center"/>
      <protection hidden="1"/>
    </xf>
    <xf numFmtId="182" fontId="0" fillId="3" borderId="5" xfId="1" applyNumberFormat="1" applyFont="1" applyFill="1" applyBorder="1" applyAlignment="1" applyProtection="1">
      <alignment horizontal="center" vertical="center"/>
      <protection hidden="1"/>
    </xf>
    <xf numFmtId="182" fontId="0" fillId="3" borderId="1" xfId="1" applyNumberFormat="1" applyFont="1" applyFill="1" applyBorder="1" applyAlignment="1" applyProtection="1">
      <alignment horizontal="center" vertical="center"/>
      <protection hidden="1"/>
    </xf>
    <xf numFmtId="0" fontId="0" fillId="0" borderId="16" xfId="0" quotePrefix="1" applyBorder="1" applyAlignment="1" applyProtection="1">
      <alignment horizontal="center" vertical="center"/>
      <protection hidden="1"/>
    </xf>
    <xf numFmtId="0" fontId="0" fillId="0" borderId="1" xfId="0" quotePrefix="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vertical="center" wrapText="1"/>
      <protection hidden="1"/>
    </xf>
    <xf numFmtId="0" fontId="0" fillId="0" borderId="13" xfId="0" applyBorder="1" applyAlignment="1" applyProtection="1">
      <alignment horizontal="center" vertical="center"/>
      <protection hidden="1"/>
    </xf>
    <xf numFmtId="0" fontId="10" fillId="0" borderId="0" xfId="3" applyProtection="1">
      <alignment vertical="center"/>
      <protection hidden="1"/>
    </xf>
    <xf numFmtId="0" fontId="0" fillId="3" borderId="13" xfId="0" applyFill="1" applyBorder="1" applyProtection="1">
      <alignment vertical="center"/>
      <protection hidden="1"/>
    </xf>
    <xf numFmtId="0" fontId="0" fillId="0" borderId="15" xfId="0" quotePrefix="1" applyBorder="1" applyAlignment="1" applyProtection="1">
      <alignment horizontal="center" vertical="center"/>
      <protection hidden="1"/>
    </xf>
    <xf numFmtId="189" fontId="0" fillId="3" borderId="5" xfId="4" applyNumberFormat="1" applyFont="1" applyFill="1" applyBorder="1" applyAlignment="1" applyProtection="1">
      <alignment horizontal="right" vertical="center" shrinkToFit="1"/>
      <protection hidden="1"/>
    </xf>
    <xf numFmtId="189" fontId="0" fillId="3" borderId="1" xfId="4" applyNumberFormat="1" applyFont="1" applyFill="1" applyBorder="1" applyAlignment="1" applyProtection="1">
      <alignment horizontal="right" vertical="center" shrinkToFit="1"/>
      <protection hidden="1"/>
    </xf>
    <xf numFmtId="192" fontId="0" fillId="3" borderId="4" xfId="0" applyNumberFormat="1" applyFill="1" applyBorder="1" applyAlignment="1" applyProtection="1">
      <alignment vertical="center" shrinkToFit="1"/>
      <protection hidden="1"/>
    </xf>
    <xf numFmtId="0" fontId="0" fillId="0" borderId="0" xfId="0" applyBorder="1" applyAlignment="1" applyProtection="1">
      <alignment vertical="center" wrapText="1"/>
      <protection hidden="1"/>
    </xf>
    <xf numFmtId="176" fontId="0" fillId="0" borderId="0" xfId="0" applyNumberFormat="1" applyFill="1" applyBorder="1" applyProtection="1">
      <alignment vertical="center"/>
      <protection hidden="1"/>
    </xf>
    <xf numFmtId="184" fontId="11" fillId="4" borderId="36" xfId="4" applyNumberFormat="1" applyFont="1" applyFill="1" applyBorder="1" applyAlignment="1" applyProtection="1">
      <alignment vertical="center" shrinkToFit="1"/>
      <protection locked="0"/>
    </xf>
    <xf numFmtId="184" fontId="11" fillId="4" borderId="37" xfId="4" applyNumberFormat="1" applyFont="1" applyFill="1" applyBorder="1" applyAlignment="1" applyProtection="1">
      <alignment vertical="center" shrinkToFit="1"/>
      <protection locked="0"/>
    </xf>
    <xf numFmtId="184" fontId="11" fillId="4" borderId="40" xfId="4" applyNumberFormat="1" applyFont="1" applyFill="1" applyBorder="1" applyAlignment="1" applyProtection="1">
      <alignment vertical="center" shrinkToFit="1"/>
      <protection locked="0"/>
    </xf>
    <xf numFmtId="184" fontId="11" fillId="4" borderId="45" xfId="4" applyNumberFormat="1" applyFont="1" applyFill="1" applyBorder="1" applyAlignment="1" applyProtection="1">
      <alignment vertical="center" shrinkToFit="1"/>
      <protection locked="0"/>
    </xf>
    <xf numFmtId="0" fontId="0" fillId="0" borderId="0" xfId="0" applyNumberFormat="1" applyProtection="1">
      <alignment vertical="center"/>
      <protection hidden="1"/>
    </xf>
    <xf numFmtId="0" fontId="7" fillId="0" borderId="0" xfId="3" applyFont="1" applyProtection="1">
      <alignment vertical="center"/>
      <protection hidden="1"/>
    </xf>
    <xf numFmtId="177" fontId="0" fillId="0" borderId="0" xfId="0" applyNumberFormat="1" applyProtection="1">
      <alignment vertical="center"/>
      <protection hidden="1"/>
    </xf>
    <xf numFmtId="189" fontId="0" fillId="0" borderId="1" xfId="4"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177" fontId="10" fillId="0" borderId="1" xfId="3" applyNumberForma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7" fillId="0" borderId="0" xfId="3" applyFont="1" applyAlignment="1" applyProtection="1">
      <alignment vertical="center"/>
      <protection hidden="1"/>
    </xf>
    <xf numFmtId="180" fontId="0" fillId="4" borderId="5" xfId="0" applyNumberFormat="1" applyFill="1" applyBorder="1" applyProtection="1">
      <alignment vertical="center"/>
      <protection locked="0"/>
    </xf>
    <xf numFmtId="180" fontId="0" fillId="3" borderId="6" xfId="1" applyNumberFormat="1" applyFont="1" applyFill="1" applyBorder="1" applyProtection="1">
      <alignment vertical="center"/>
      <protection hidden="1"/>
    </xf>
    <xf numFmtId="0" fontId="18" fillId="0" borderId="0" xfId="0" applyFont="1" applyProtection="1">
      <alignment vertical="center"/>
      <protection hidden="1"/>
    </xf>
    <xf numFmtId="0" fontId="11" fillId="0" borderId="0" xfId="0" applyFont="1" applyProtection="1">
      <alignment vertical="center"/>
      <protection hidden="1"/>
    </xf>
    <xf numFmtId="0" fontId="18" fillId="0" borderId="0" xfId="0" applyFont="1" applyAlignment="1" applyProtection="1">
      <alignment vertical="center"/>
      <protection hidden="1"/>
    </xf>
    <xf numFmtId="0" fontId="11" fillId="0" borderId="1" xfId="3" applyFont="1" applyBorder="1">
      <alignment vertical="center"/>
    </xf>
    <xf numFmtId="0" fontId="0" fillId="0" borderId="0" xfId="0" applyFont="1" applyAlignment="1" applyProtection="1">
      <alignment vertical="center"/>
      <protection hidden="1"/>
    </xf>
    <xf numFmtId="0" fontId="7" fillId="0" borderId="0" xfId="0" applyFont="1" applyProtection="1">
      <alignment vertical="center"/>
      <protection hidden="1"/>
    </xf>
    <xf numFmtId="0" fontId="7" fillId="2" borderId="1" xfId="0"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7" fillId="4" borderId="1" xfId="0" applyFont="1" applyFill="1" applyBorder="1" applyAlignment="1" applyProtection="1">
      <alignment horizontal="center" vertical="center" wrapText="1"/>
      <protection hidden="1"/>
    </xf>
    <xf numFmtId="0" fontId="7" fillId="0" borderId="0" xfId="0" applyNumberFormat="1" applyFont="1" applyProtection="1">
      <alignment vertical="center"/>
      <protection hidden="1"/>
    </xf>
    <xf numFmtId="0" fontId="7" fillId="3" borderId="1" xfId="0" applyFont="1" applyFill="1" applyBorder="1" applyProtection="1">
      <alignment vertical="center"/>
      <protection hidden="1"/>
    </xf>
    <xf numFmtId="187" fontId="11" fillId="6" borderId="5" xfId="3" applyNumberFormat="1" applyFont="1" applyFill="1" applyBorder="1">
      <alignment vertical="center"/>
    </xf>
    <xf numFmtId="0" fontId="14" fillId="0" borderId="0" xfId="3" applyFont="1" applyProtection="1">
      <alignment vertical="center"/>
      <protection hidden="1"/>
    </xf>
    <xf numFmtId="0" fontId="11" fillId="0" borderId="0" xfId="3" applyFont="1" applyProtection="1">
      <alignment vertical="center"/>
      <protection hidden="1"/>
    </xf>
    <xf numFmtId="0" fontId="20" fillId="0" borderId="0" xfId="3" applyFont="1" applyProtection="1">
      <alignment vertical="center"/>
      <protection hidden="1"/>
    </xf>
    <xf numFmtId="0" fontId="13" fillId="0" borderId="0" xfId="3" applyFont="1" applyProtection="1">
      <alignment vertical="center"/>
      <protection hidden="1"/>
    </xf>
    <xf numFmtId="0" fontId="13" fillId="0" borderId="26" xfId="3" applyFont="1" applyBorder="1" applyAlignment="1" applyProtection="1">
      <alignment vertical="center"/>
      <protection hidden="1"/>
    </xf>
    <xf numFmtId="55" fontId="11" fillId="0" borderId="18" xfId="3" applyNumberFormat="1" applyFont="1" applyBorder="1" applyAlignment="1" applyProtection="1">
      <alignment horizontal="center" vertical="center" wrapText="1"/>
      <protection hidden="1"/>
    </xf>
    <xf numFmtId="0" fontId="11" fillId="0" borderId="18" xfId="3" applyFont="1" applyBorder="1" applyAlignment="1" applyProtection="1">
      <alignment horizontal="center" vertical="center"/>
      <protection hidden="1"/>
    </xf>
    <xf numFmtId="0" fontId="11" fillId="0" borderId="24" xfId="3" applyFont="1" applyBorder="1" applyAlignment="1" applyProtection="1">
      <alignment horizontal="center" vertical="center"/>
      <protection hidden="1"/>
    </xf>
    <xf numFmtId="0" fontId="11" fillId="0" borderId="22" xfId="3" applyFont="1" applyFill="1" applyBorder="1" applyAlignment="1" applyProtection="1">
      <alignment horizontal="center" vertical="center"/>
      <protection hidden="1"/>
    </xf>
    <xf numFmtId="0" fontId="11" fillId="0" borderId="14" xfId="3" applyFont="1" applyBorder="1" applyAlignment="1" applyProtection="1">
      <alignment horizontal="center" vertical="center" wrapText="1"/>
      <protection hidden="1"/>
    </xf>
    <xf numFmtId="0" fontId="11" fillId="0" borderId="22" xfId="3" applyFont="1" applyFill="1" applyBorder="1" applyAlignment="1" applyProtection="1">
      <alignment horizontal="center" vertical="center" wrapText="1"/>
      <protection hidden="1"/>
    </xf>
    <xf numFmtId="0" fontId="11" fillId="0" borderId="35" xfId="3" applyFont="1" applyBorder="1" applyAlignment="1" applyProtection="1">
      <alignment horizontal="center" vertical="center" wrapText="1"/>
      <protection hidden="1"/>
    </xf>
    <xf numFmtId="0" fontId="11" fillId="0" borderId="25" xfId="3" applyFont="1" applyFill="1" applyBorder="1" applyAlignment="1" applyProtection="1">
      <alignment horizontal="center" vertical="center"/>
      <protection hidden="1"/>
    </xf>
    <xf numFmtId="0" fontId="11" fillId="0" borderId="17" xfId="3" applyFont="1" applyBorder="1" applyAlignment="1" applyProtection="1">
      <alignment horizontal="center" vertical="center"/>
      <protection hidden="1"/>
    </xf>
    <xf numFmtId="0" fontId="11" fillId="0" borderId="23" xfId="3" applyFont="1" applyBorder="1" applyAlignment="1" applyProtection="1">
      <alignment horizontal="center" vertical="center"/>
      <protection hidden="1"/>
    </xf>
    <xf numFmtId="0" fontId="11" fillId="0" borderId="0" xfId="3" applyFont="1" applyBorder="1" applyAlignment="1" applyProtection="1">
      <alignment horizontal="center" vertical="center"/>
      <protection hidden="1"/>
    </xf>
    <xf numFmtId="0" fontId="11" fillId="0" borderId="20" xfId="3" applyFont="1" applyBorder="1" applyAlignment="1" applyProtection="1">
      <alignment horizontal="center" vertical="center"/>
      <protection hidden="1"/>
    </xf>
    <xf numFmtId="0" fontId="11" fillId="0" borderId="41" xfId="3" applyFont="1" applyFill="1" applyBorder="1" applyAlignment="1" applyProtection="1">
      <alignment horizontal="center" vertical="center" wrapText="1"/>
      <protection hidden="1"/>
    </xf>
    <xf numFmtId="0" fontId="11" fillId="0" borderId="39" xfId="3" applyFont="1" applyBorder="1" applyAlignment="1" applyProtection="1">
      <alignment horizontal="center" vertical="center" wrapText="1"/>
      <protection hidden="1"/>
    </xf>
    <xf numFmtId="184" fontId="11" fillId="3" borderId="34" xfId="4" applyNumberFormat="1" applyFont="1" applyFill="1" applyBorder="1" applyAlignment="1" applyProtection="1">
      <alignment vertical="center" shrinkToFit="1"/>
      <protection hidden="1"/>
    </xf>
    <xf numFmtId="0" fontId="11" fillId="0" borderId="0" xfId="3" applyNumberFormat="1" applyFont="1" applyProtection="1">
      <alignment vertical="center"/>
      <protection hidden="1"/>
    </xf>
    <xf numFmtId="38" fontId="11" fillId="0" borderId="0" xfId="3" applyNumberFormat="1" applyFont="1" applyProtection="1">
      <alignment vertical="center"/>
      <protection hidden="1"/>
    </xf>
    <xf numFmtId="0" fontId="11" fillId="0" borderId="26" xfId="3" applyFont="1" applyFill="1" applyBorder="1" applyAlignment="1" applyProtection="1">
      <alignment vertical="center"/>
      <protection hidden="1"/>
    </xf>
    <xf numFmtId="184" fontId="11" fillId="3" borderId="8" xfId="4" applyNumberFormat="1" applyFont="1" applyFill="1" applyBorder="1" applyAlignment="1" applyProtection="1">
      <alignment vertical="center" shrinkToFit="1"/>
      <protection hidden="1"/>
    </xf>
    <xf numFmtId="0" fontId="11" fillId="2" borderId="26" xfId="3" applyFont="1" applyFill="1" applyBorder="1" applyAlignment="1" applyProtection="1">
      <alignment horizontal="center" vertical="center"/>
      <protection locked="0"/>
    </xf>
    <xf numFmtId="0" fontId="17" fillId="0" borderId="0" xfId="3" applyFont="1" applyProtection="1">
      <alignment vertical="center"/>
      <protection hidden="1"/>
    </xf>
    <xf numFmtId="0" fontId="0" fillId="0" borderId="49"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1" xfId="0"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185" fontId="10" fillId="0" borderId="0" xfId="3" applyNumberFormat="1" applyProtection="1">
      <alignment vertical="center"/>
      <protection hidden="1"/>
    </xf>
    <xf numFmtId="185" fontId="10" fillId="0" borderId="0" xfId="3" applyNumberFormat="1" applyAlignment="1" applyProtection="1">
      <alignment horizontal="right" vertical="center"/>
      <protection hidden="1"/>
    </xf>
    <xf numFmtId="0" fontId="0" fillId="0" borderId="4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185" fontId="11" fillId="0" borderId="0" xfId="3" applyNumberFormat="1" applyFont="1" applyAlignment="1">
      <alignment horizontal="right" vertical="center"/>
    </xf>
    <xf numFmtId="0" fontId="11" fillId="4" borderId="16" xfId="3" applyNumberFormat="1" applyFont="1" applyFill="1" applyBorder="1" applyAlignment="1" applyProtection="1">
      <alignment horizontal="center" vertical="center" shrinkToFit="1"/>
      <protection locked="0"/>
    </xf>
    <xf numFmtId="0" fontId="11" fillId="4" borderId="21" xfId="3" applyNumberFormat="1" applyFont="1" applyFill="1" applyBorder="1" applyAlignment="1" applyProtection="1">
      <alignment horizontal="center" vertical="center" shrinkToFit="1"/>
      <protection locked="0"/>
    </xf>
    <xf numFmtId="0" fontId="11" fillId="4" borderId="43" xfId="3" applyNumberFormat="1" applyFont="1" applyFill="1" applyBorder="1" applyAlignment="1" applyProtection="1">
      <alignment horizontal="center" vertical="center" shrinkToFit="1"/>
      <protection locked="0"/>
    </xf>
    <xf numFmtId="0" fontId="0" fillId="0" borderId="1" xfId="0" applyBorder="1" applyAlignment="1" applyProtection="1">
      <alignment vertical="center"/>
      <protection hidden="1"/>
    </xf>
    <xf numFmtId="0" fontId="4" fillId="2" borderId="5" xfId="0" applyFont="1" applyFill="1" applyBorder="1" applyAlignment="1" applyProtection="1">
      <alignment horizontal="left" vertical="center" wrapText="1"/>
      <protection locked="0"/>
    </xf>
    <xf numFmtId="0" fontId="0" fillId="0" borderId="1" xfId="0" applyFont="1" applyBorder="1" applyAlignment="1" applyProtection="1">
      <alignment horizontal="center" vertical="center" wrapText="1" shrinkToFi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shrinkToFit="1"/>
      <protection hidden="1"/>
    </xf>
    <xf numFmtId="0" fontId="7" fillId="0" borderId="0" xfId="3" applyFont="1" applyFill="1" applyProtection="1">
      <alignment vertical="center"/>
      <protection hidden="1"/>
    </xf>
    <xf numFmtId="0" fontId="7" fillId="0" borderId="3" xfId="3" applyFont="1" applyBorder="1" applyAlignment="1" applyProtection="1">
      <alignment horizontal="center" vertical="center" wrapText="1"/>
      <protection hidden="1"/>
    </xf>
    <xf numFmtId="0" fontId="7" fillId="0" borderId="5" xfId="3"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4" borderId="51" xfId="0" applyFill="1" applyBorder="1" applyAlignment="1" applyProtection="1">
      <alignment horizontal="left" vertical="center" shrinkToFit="1"/>
      <protection locked="0"/>
    </xf>
    <xf numFmtId="0" fontId="0" fillId="4" borderId="51" xfId="0" applyFill="1" applyBorder="1" applyAlignment="1" applyProtection="1">
      <alignment horizontal="left" vertical="center" shrinkToFit="1"/>
      <protection locked="0"/>
    </xf>
    <xf numFmtId="0" fontId="18" fillId="0" borderId="0" xfId="0" applyFont="1" applyAlignment="1" applyProtection="1">
      <alignment vertical="center" shrinkToFit="1"/>
      <protection hidden="1"/>
    </xf>
    <xf numFmtId="0" fontId="7" fillId="0" borderId="0" xfId="0" applyFont="1" applyAlignment="1" applyProtection="1">
      <alignment horizontal="right" vertical="center" shrinkToFit="1"/>
      <protection hidden="1"/>
    </xf>
    <xf numFmtId="0" fontId="0" fillId="4" borderId="15" xfId="0" applyFill="1" applyBorder="1" applyAlignment="1" applyProtection="1">
      <alignment horizontal="left" vertical="center" shrinkToFit="1"/>
      <protection locked="0"/>
    </xf>
    <xf numFmtId="0" fontId="20" fillId="0" borderId="32" xfId="3" applyFont="1" applyBorder="1" applyAlignment="1" applyProtection="1">
      <alignment vertical="center"/>
      <protection hidden="1"/>
    </xf>
    <xf numFmtId="0" fontId="20" fillId="0" borderId="0" xfId="3" applyFont="1" applyBorder="1" applyAlignment="1" applyProtection="1">
      <alignment vertical="center"/>
      <protection hidden="1"/>
    </xf>
    <xf numFmtId="0" fontId="7" fillId="3" borderId="1" xfId="3"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0" fontId="11" fillId="0" borderId="0" xfId="3" applyFont="1" applyAlignment="1" applyProtection="1">
      <alignment horizontal="center" vertical="center"/>
      <protection hidden="1"/>
    </xf>
    <xf numFmtId="0" fontId="7" fillId="0" borderId="1" xfId="3" applyFont="1" applyBorder="1" applyAlignment="1" applyProtection="1">
      <alignment horizontal="center" vertical="center"/>
      <protection hidden="1"/>
    </xf>
    <xf numFmtId="0" fontId="7" fillId="2" borderId="1" xfId="3" applyFont="1" applyFill="1" applyBorder="1" applyAlignment="1" applyProtection="1">
      <alignment horizontal="center" vertical="center" wrapText="1" shrinkToFit="1"/>
      <protection locked="0"/>
    </xf>
    <xf numFmtId="0" fontId="7" fillId="0" borderId="11" xfId="3" applyFont="1" applyBorder="1" applyAlignment="1" applyProtection="1">
      <alignment horizontal="center" vertical="center" wrapText="1"/>
      <protection hidden="1"/>
    </xf>
    <xf numFmtId="192" fontId="7" fillId="4" borderId="1" xfId="3" applyNumberFormat="1" applyFont="1" applyFill="1" applyBorder="1" applyProtection="1">
      <alignment vertical="center"/>
      <protection locked="0"/>
    </xf>
    <xf numFmtId="0" fontId="7" fillId="2" borderId="1" xfId="3" applyFont="1" applyFill="1" applyBorder="1" applyAlignment="1" applyProtection="1">
      <alignment horizontal="center" vertical="center"/>
      <protection locked="0"/>
    </xf>
    <xf numFmtId="190" fontId="7" fillId="4" borderId="1" xfId="3" applyNumberFormat="1" applyFont="1" applyFill="1" applyBorder="1" applyAlignment="1" applyProtection="1">
      <alignment horizontal="right" vertical="center"/>
      <protection locked="0"/>
    </xf>
    <xf numFmtId="192" fontId="7" fillId="3" borderId="1" xfId="3" applyNumberFormat="1" applyFont="1" applyFill="1" applyBorder="1" applyAlignment="1" applyProtection="1">
      <alignment horizontal="right" vertical="center"/>
      <protection hidden="1"/>
    </xf>
    <xf numFmtId="189" fontId="20" fillId="0" borderId="0" xfId="3" applyNumberFormat="1" applyFont="1">
      <alignment vertical="center"/>
    </xf>
    <xf numFmtId="0" fontId="11" fillId="0" borderId="1" xfId="3" applyFont="1" applyBorder="1" applyAlignment="1" applyProtection="1">
      <alignment vertical="center"/>
      <protection hidden="1"/>
    </xf>
    <xf numFmtId="0" fontId="16" fillId="0" borderId="0" xfId="0" applyFont="1" applyBorder="1" applyAlignment="1" applyProtection="1">
      <alignment vertical="center"/>
      <protection hidden="1"/>
    </xf>
    <xf numFmtId="0" fontId="0" fillId="0" borderId="0" xfId="0" applyBorder="1" applyAlignment="1" applyProtection="1">
      <alignment horizontal="center" vertical="center" wrapText="1"/>
      <protection hidden="1"/>
    </xf>
    <xf numFmtId="0" fontId="16" fillId="0" borderId="0" xfId="0" applyFont="1" applyAlignment="1" applyProtection="1">
      <alignment vertical="center"/>
      <protection hidden="1"/>
    </xf>
    <xf numFmtId="0" fontId="0" fillId="2" borderId="51"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hidden="1"/>
    </xf>
    <xf numFmtId="187" fontId="8" fillId="3" borderId="5" xfId="2" applyNumberFormat="1" applyFont="1" applyFill="1" applyBorder="1" applyAlignment="1" applyProtection="1">
      <alignment horizontal="right" vertical="center" shrinkToFit="1"/>
      <protection hidden="1"/>
    </xf>
    <xf numFmtId="0" fontId="11" fillId="0" borderId="0" xfId="3" applyFont="1" applyFill="1" applyProtection="1">
      <alignment vertical="center"/>
      <protection hidden="1"/>
    </xf>
    <xf numFmtId="0" fontId="23" fillId="0" borderId="47" xfId="3" applyFont="1" applyBorder="1" applyAlignment="1" applyProtection="1">
      <alignment horizontal="center" vertical="center"/>
      <protection hidden="1"/>
    </xf>
    <xf numFmtId="0" fontId="23" fillId="7" borderId="47" xfId="3" applyFont="1" applyFill="1" applyBorder="1" applyAlignment="1" applyProtection="1">
      <alignment horizontal="center" vertical="center"/>
      <protection hidden="1"/>
    </xf>
    <xf numFmtId="0" fontId="0" fillId="2" borderId="51" xfId="0" applyFill="1" applyBorder="1" applyAlignment="1" applyProtection="1">
      <alignment horizontal="center" vertical="center" shrinkToFit="1"/>
    </xf>
    <xf numFmtId="0" fontId="0" fillId="2" borderId="50" xfId="0" applyFill="1" applyBorder="1" applyAlignment="1" applyProtection="1">
      <alignment horizontal="center" vertical="center" shrinkToFit="1"/>
    </xf>
    <xf numFmtId="183" fontId="0" fillId="3" borderId="10" xfId="0" applyNumberFormat="1" applyFill="1" applyBorder="1" applyAlignment="1" applyProtection="1">
      <alignment vertical="center" shrinkToFit="1"/>
      <protection hidden="1"/>
    </xf>
    <xf numFmtId="182" fontId="0" fillId="4" borderId="1" xfId="0" applyNumberFormat="1" applyFill="1" applyBorder="1" applyProtection="1">
      <alignment vertical="center"/>
      <protection locked="0"/>
    </xf>
    <xf numFmtId="183" fontId="8" fillId="4" borderId="1" xfId="2" applyNumberFormat="1" applyFont="1" applyFill="1" applyBorder="1" applyProtection="1">
      <alignment vertical="center"/>
      <protection locked="0"/>
    </xf>
    <xf numFmtId="0" fontId="16" fillId="0" borderId="0" xfId="0" applyFont="1" applyBorder="1" applyAlignment="1" applyProtection="1">
      <alignment horizontal="center" vertical="center" wrapText="1"/>
      <protection hidden="1"/>
    </xf>
    <xf numFmtId="0" fontId="16" fillId="0" borderId="0" xfId="0" applyFont="1" applyBorder="1" applyAlignment="1" applyProtection="1">
      <alignment vertical="top" wrapText="1"/>
      <protection hidden="1"/>
    </xf>
    <xf numFmtId="0" fontId="23" fillId="0" borderId="0" xfId="3" applyFont="1" applyProtection="1">
      <alignment vertical="center"/>
      <protection hidden="1"/>
    </xf>
    <xf numFmtId="193" fontId="8" fillId="4" borderId="5" xfId="2" applyNumberFormat="1" applyFont="1" applyFill="1" applyBorder="1" applyProtection="1">
      <alignment vertical="center"/>
      <protection locked="0"/>
    </xf>
    <xf numFmtId="193" fontId="8" fillId="4" borderId="1" xfId="2" applyNumberFormat="1" applyFont="1" applyFill="1" applyBorder="1" applyProtection="1">
      <alignment vertical="center"/>
      <protection locked="0"/>
    </xf>
    <xf numFmtId="0" fontId="0" fillId="0" borderId="0" xfId="0" applyAlignment="1" applyProtection="1">
      <alignment horizontal="left" vertical="center"/>
      <protection hidden="1"/>
    </xf>
    <xf numFmtId="0" fontId="4" fillId="2" borderId="5" xfId="0" applyFont="1" applyFill="1" applyBorder="1" applyAlignment="1" applyProtection="1">
      <alignment horizontal="center" vertical="center" shrinkToFit="1"/>
      <protection locked="0"/>
    </xf>
    <xf numFmtId="185" fontId="11" fillId="9" borderId="0" xfId="3" applyNumberFormat="1" applyFont="1" applyFill="1">
      <alignment vertical="center"/>
    </xf>
    <xf numFmtId="0" fontId="11" fillId="0" borderId="1" xfId="3" applyFont="1" applyBorder="1" applyAlignment="1">
      <alignment vertical="center"/>
    </xf>
    <xf numFmtId="0" fontId="20" fillId="0" borderId="32" xfId="3" applyFont="1" applyBorder="1" applyAlignment="1" applyProtection="1">
      <alignment horizontal="right"/>
      <protection hidden="1"/>
    </xf>
    <xf numFmtId="0" fontId="0" fillId="0" borderId="0" xfId="0" applyAlignment="1" applyProtection="1">
      <alignment horizontal="right"/>
      <protection hidden="1"/>
    </xf>
    <xf numFmtId="0" fontId="18" fillId="0" borderId="0" xfId="0" applyFont="1" applyAlignment="1" applyProtection="1">
      <alignment horizontal="right" vertical="top"/>
      <protection hidden="1"/>
    </xf>
    <xf numFmtId="0" fontId="11" fillId="0" borderId="0" xfId="3" applyFont="1" applyBorder="1" applyAlignment="1" applyProtection="1">
      <alignment horizontal="right" vertical="top"/>
      <protection hidden="1"/>
    </xf>
    <xf numFmtId="0" fontId="18" fillId="0" borderId="0" xfId="0" applyFont="1" applyBorder="1" applyAlignment="1" applyProtection="1">
      <alignment horizontal="right" vertical="top"/>
      <protection hidden="1"/>
    </xf>
    <xf numFmtId="0" fontId="17" fillId="7" borderId="0" xfId="3" applyFont="1" applyFill="1" applyProtection="1">
      <alignment vertical="center"/>
      <protection hidden="1"/>
    </xf>
    <xf numFmtId="0" fontId="11" fillId="7" borderId="0" xfId="3" applyFont="1" applyFill="1" applyProtection="1">
      <alignment vertical="center"/>
      <protection hidden="1"/>
    </xf>
    <xf numFmtId="0" fontId="0" fillId="7" borderId="0" xfId="0" applyFill="1" applyProtection="1">
      <alignment vertical="center"/>
      <protection hidden="1"/>
    </xf>
    <xf numFmtId="0" fontId="5" fillId="0" borderId="0" xfId="3" applyFont="1" applyProtection="1">
      <alignment vertical="center"/>
      <protection hidden="1"/>
    </xf>
    <xf numFmtId="0" fontId="5" fillId="0" borderId="0" xfId="0" applyFont="1" applyProtection="1">
      <alignment vertical="center"/>
      <protection hidden="1"/>
    </xf>
    <xf numFmtId="0" fontId="0" fillId="6" borderId="0" xfId="0" applyFill="1" applyBorder="1" applyAlignment="1" applyProtection="1">
      <alignment horizontal="center" vertical="center" wrapText="1"/>
      <protection hidden="1"/>
    </xf>
    <xf numFmtId="0" fontId="7" fillId="0" borderId="0" xfId="0" applyFont="1" applyBorder="1" applyAlignment="1" applyProtection="1">
      <alignment horizontal="left" vertical="center" wrapText="1" shrinkToFit="1"/>
      <protection hidden="1"/>
    </xf>
    <xf numFmtId="0" fontId="7" fillId="0" borderId="0" xfId="0" applyFont="1" applyBorder="1" applyAlignment="1" applyProtection="1">
      <alignment horizontal="center" vertical="center" wrapText="1" shrinkToFit="1"/>
      <protection hidden="1"/>
    </xf>
    <xf numFmtId="0" fontId="0" fillId="0" borderId="0" xfId="0" applyAlignment="1" applyProtection="1">
      <alignment horizontal="center" vertical="center"/>
      <protection hidden="1"/>
    </xf>
    <xf numFmtId="0" fontId="7" fillId="6" borderId="0" xfId="0" applyFont="1" applyFill="1" applyBorder="1" applyAlignment="1" applyProtection="1">
      <alignment horizontal="left" vertical="center" wrapText="1" shrinkToFit="1"/>
      <protection hidden="1"/>
    </xf>
    <xf numFmtId="0" fontId="7" fillId="6" borderId="0" xfId="0" applyFont="1" applyFill="1" applyBorder="1" applyAlignment="1" applyProtection="1">
      <alignment horizontal="center" vertical="center" wrapText="1" shrinkToFit="1"/>
      <protection hidden="1"/>
    </xf>
    <xf numFmtId="0" fontId="29" fillId="0" borderId="0" xfId="0" applyFont="1" applyFill="1" applyProtection="1">
      <alignment vertical="center"/>
      <protection hidden="1"/>
    </xf>
    <xf numFmtId="0" fontId="30" fillId="0" borderId="0" xfId="0" applyFont="1" applyFill="1" applyAlignment="1" applyProtection="1">
      <alignment vertical="center"/>
      <protection hidden="1"/>
    </xf>
    <xf numFmtId="0" fontId="0" fillId="0" borderId="0" xfId="0" applyFill="1" applyProtection="1">
      <alignment vertical="center"/>
      <protection hidden="1"/>
    </xf>
    <xf numFmtId="0" fontId="29" fillId="0" borderId="0" xfId="0" applyFont="1" applyFill="1" applyAlignment="1" applyProtection="1">
      <alignment horizontal="center" vertical="center"/>
      <protection hidden="1"/>
    </xf>
    <xf numFmtId="177" fontId="10" fillId="0" borderId="3" xfId="3" applyNumberFormat="1" applyBorder="1" applyAlignment="1" applyProtection="1">
      <alignment horizontal="center" vertical="center"/>
      <protection hidden="1"/>
    </xf>
    <xf numFmtId="177" fontId="10" fillId="0" borderId="11" xfId="3" applyNumberFormat="1" applyBorder="1" applyAlignment="1" applyProtection="1">
      <alignment horizontal="center" vertical="center"/>
      <protection hidden="1"/>
    </xf>
    <xf numFmtId="177" fontId="10" fillId="0" borderId="5" xfId="3" applyNumberFormat="1" applyBorder="1" applyAlignment="1" applyProtection="1">
      <alignment horizontal="center" vertical="center"/>
      <protection hidden="1"/>
    </xf>
    <xf numFmtId="177" fontId="10" fillId="0" borderId="1" xfId="3" applyNumberFormat="1" applyBorder="1" applyAlignment="1" applyProtection="1">
      <alignment horizontal="center" vertical="center"/>
      <protection hidden="1"/>
    </xf>
    <xf numFmtId="185" fontId="11" fillId="5" borderId="26" xfId="3" applyNumberFormat="1" applyFont="1" applyFill="1" applyBorder="1" applyAlignment="1">
      <alignment horizontal="center" vertical="center"/>
    </xf>
    <xf numFmtId="0" fontId="20" fillId="3" borderId="3" xfId="3" applyFont="1" applyFill="1" applyBorder="1" applyAlignment="1" applyProtection="1">
      <alignment horizontal="center" vertical="center"/>
      <protection hidden="1"/>
    </xf>
    <xf numFmtId="0" fontId="20" fillId="3" borderId="11" xfId="3" applyFont="1" applyFill="1" applyBorder="1" applyAlignment="1" applyProtection="1">
      <alignment horizontal="center" vertical="center"/>
      <protection hidden="1"/>
    </xf>
    <xf numFmtId="0" fontId="20" fillId="3" borderId="5" xfId="3" applyFont="1" applyFill="1" applyBorder="1" applyAlignment="1" applyProtection="1">
      <alignment horizontal="center" vertical="center"/>
      <protection hidden="1"/>
    </xf>
    <xf numFmtId="0" fontId="7" fillId="3" borderId="3" xfId="3" applyFont="1" applyFill="1" applyBorder="1" applyAlignment="1" applyProtection="1">
      <alignment horizontal="center" vertical="center" wrapText="1"/>
      <protection hidden="1"/>
    </xf>
    <xf numFmtId="0" fontId="7" fillId="3" borderId="5" xfId="3" applyFont="1" applyFill="1" applyBorder="1" applyAlignment="1" applyProtection="1">
      <alignment horizontal="center" vertical="center" wrapText="1"/>
      <protection hidden="1"/>
    </xf>
    <xf numFmtId="0" fontId="7" fillId="0" borderId="3" xfId="3" applyFont="1" applyBorder="1" applyAlignment="1" applyProtection="1">
      <alignment horizontal="center" vertical="center" wrapText="1"/>
      <protection hidden="1"/>
    </xf>
    <xf numFmtId="0" fontId="7" fillId="0" borderId="11" xfId="3" applyFont="1" applyBorder="1" applyAlignment="1" applyProtection="1">
      <alignment horizontal="center" vertical="center" wrapText="1"/>
      <protection hidden="1"/>
    </xf>
    <xf numFmtId="0" fontId="7" fillId="0" borderId="5" xfId="3" applyFont="1" applyBorder="1" applyAlignment="1" applyProtection="1">
      <alignment horizontal="center" vertical="center" wrapText="1"/>
      <protection hidden="1"/>
    </xf>
    <xf numFmtId="0" fontId="7" fillId="0" borderId="2" xfId="3" applyFont="1" applyBorder="1" applyAlignment="1" applyProtection="1">
      <alignment horizontal="center" vertical="center" wrapText="1"/>
      <protection hidden="1"/>
    </xf>
    <xf numFmtId="0" fontId="7" fillId="0" borderId="15" xfId="3" applyFont="1" applyBorder="1" applyAlignment="1" applyProtection="1">
      <alignment horizontal="center" vertical="center" wrapText="1"/>
      <protection hidden="1"/>
    </xf>
    <xf numFmtId="0" fontId="7" fillId="0" borderId="1" xfId="3" applyFont="1" applyBorder="1" applyAlignment="1" applyProtection="1">
      <alignment horizontal="center" vertical="center"/>
      <protection hidden="1"/>
    </xf>
    <xf numFmtId="0" fontId="7" fillId="0" borderId="1" xfId="3" applyFont="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90" fontId="6" fillId="0" borderId="3" xfId="3" applyNumberFormat="1" applyFont="1" applyFill="1" applyBorder="1" applyAlignment="1" applyProtection="1">
      <alignment horizontal="center" vertical="center" wrapText="1" shrinkToFit="1"/>
      <protection hidden="1"/>
    </xf>
    <xf numFmtId="190" fontId="6" fillId="0" borderId="5" xfId="3" applyNumberFormat="1" applyFont="1" applyFill="1" applyBorder="1" applyAlignment="1" applyProtection="1">
      <alignment horizontal="center" vertical="center" shrinkToFit="1"/>
      <protection hidden="1"/>
    </xf>
    <xf numFmtId="190" fontId="17" fillId="0" borderId="3" xfId="3" applyNumberFormat="1" applyFont="1" applyFill="1" applyBorder="1" applyAlignment="1" applyProtection="1">
      <alignment horizontal="center" vertical="center" wrapText="1" shrinkToFit="1"/>
      <protection hidden="1"/>
    </xf>
    <xf numFmtId="190" fontId="17" fillId="0" borderId="5" xfId="3" applyNumberFormat="1" applyFont="1" applyFill="1" applyBorder="1" applyAlignment="1" applyProtection="1">
      <alignment horizontal="center" vertical="center" wrapText="1" shrinkToFit="1"/>
      <protection hidden="1"/>
    </xf>
    <xf numFmtId="0" fontId="0" fillId="2" borderId="63"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0" borderId="2" xfId="0" applyFont="1" applyBorder="1" applyAlignment="1" applyProtection="1">
      <alignment horizontal="left" vertical="center" wrapText="1" shrinkToFit="1"/>
      <protection hidden="1"/>
    </xf>
    <xf numFmtId="0" fontId="0" fillId="0" borderId="15" xfId="0" applyFont="1" applyBorder="1" applyAlignment="1" applyProtection="1">
      <alignment horizontal="left" vertical="center" wrapText="1" shrinkToFit="1"/>
      <protection hidden="1"/>
    </xf>
    <xf numFmtId="0" fontId="7" fillId="0" borderId="2" xfId="0" applyFont="1" applyBorder="1" applyAlignment="1" applyProtection="1">
      <alignment horizontal="left" vertical="center" wrapText="1" shrinkToFit="1"/>
      <protection hidden="1"/>
    </xf>
    <xf numFmtId="0" fontId="7" fillId="0" borderId="15" xfId="0" applyFont="1" applyBorder="1" applyAlignment="1" applyProtection="1">
      <alignment horizontal="left" vertical="center" wrapText="1" shrinkToFit="1"/>
      <protection hidden="1"/>
    </xf>
    <xf numFmtId="0" fontId="7" fillId="0" borderId="3" xfId="0" applyFont="1" applyBorder="1" applyAlignment="1" applyProtection="1">
      <alignment vertical="center" wrapText="1" shrinkToFit="1"/>
      <protection hidden="1"/>
    </xf>
    <xf numFmtId="0" fontId="7" fillId="0" borderId="5" xfId="0" applyFont="1" applyBorder="1" applyAlignment="1" applyProtection="1">
      <alignment vertical="center" wrapText="1" shrinkToFit="1"/>
      <protection hidden="1"/>
    </xf>
    <xf numFmtId="0" fontId="7" fillId="0" borderId="3" xfId="0" applyFont="1" applyBorder="1" applyAlignment="1" applyProtection="1">
      <alignment vertical="center" shrinkToFit="1"/>
      <protection hidden="1"/>
    </xf>
    <xf numFmtId="0" fontId="7" fillId="0" borderId="5" xfId="0" applyFont="1" applyBorder="1" applyAlignment="1" applyProtection="1">
      <alignment vertical="center" shrinkToFit="1"/>
      <protection hidden="1"/>
    </xf>
    <xf numFmtId="0" fontId="0" fillId="4" borderId="49" xfId="0" applyFill="1" applyBorder="1" applyAlignment="1" applyProtection="1">
      <alignment horizontal="left" vertical="center" shrinkToFit="1"/>
      <protection locked="0"/>
    </xf>
    <xf numFmtId="0" fontId="0" fillId="4" borderId="51" xfId="0" applyFill="1" applyBorder="1" applyAlignment="1" applyProtection="1">
      <alignment horizontal="left" vertical="center" shrinkToFit="1"/>
      <protection locked="0"/>
    </xf>
    <xf numFmtId="0" fontId="0" fillId="4" borderId="49" xfId="0" applyFill="1" applyBorder="1" applyAlignment="1" applyProtection="1">
      <alignment vertical="center" wrapText="1"/>
      <protection locked="0"/>
    </xf>
    <xf numFmtId="0" fontId="0" fillId="4" borderId="50" xfId="0" applyFill="1" applyBorder="1" applyAlignment="1" applyProtection="1">
      <alignment vertical="center" wrapText="1"/>
      <protection locked="0"/>
    </xf>
    <xf numFmtId="0" fontId="0" fillId="0" borderId="3"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4" borderId="51" xfId="0" applyFill="1" applyBorder="1" applyAlignment="1" applyProtection="1">
      <alignment vertical="center" wrapText="1"/>
      <protection locked="0"/>
    </xf>
    <xf numFmtId="0" fontId="0" fillId="4" borderId="49" xfId="0" applyFill="1" applyBorder="1" applyAlignment="1" applyProtection="1">
      <alignment horizontal="left" vertical="center" wrapText="1"/>
      <protection locked="0"/>
    </xf>
    <xf numFmtId="0" fontId="0" fillId="4" borderId="50" xfId="0"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1" xfId="0" applyBorder="1" applyAlignment="1" applyProtection="1">
      <alignment vertical="center" wrapText="1"/>
      <protection hidden="1"/>
    </xf>
    <xf numFmtId="0" fontId="7" fillId="0" borderId="2"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vertical="center" wrapText="1" shrinkToFit="1"/>
      <protection hidden="1"/>
    </xf>
    <xf numFmtId="0" fontId="7" fillId="0" borderId="3"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4" borderId="52" xfId="0" applyFill="1" applyBorder="1" applyAlignment="1" applyProtection="1">
      <alignment horizontal="left" vertical="center" shrinkToFit="1"/>
      <protection locked="0"/>
    </xf>
    <xf numFmtId="0" fontId="0" fillId="4" borderId="53"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0" fillId="4" borderId="51" xfId="0"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4" borderId="50" xfId="0" applyFill="1" applyBorder="1" applyAlignment="1" applyProtection="1">
      <alignment horizontal="left" vertical="center" shrinkToFit="1"/>
      <protection locked="0"/>
    </xf>
    <xf numFmtId="0" fontId="0" fillId="0" borderId="3" xfId="0" applyFont="1" applyBorder="1" applyAlignment="1" applyProtection="1">
      <alignment vertical="center" wrapText="1" shrinkToFit="1"/>
      <protection hidden="1"/>
    </xf>
    <xf numFmtId="0" fontId="0" fillId="0" borderId="5" xfId="0" applyFont="1" applyBorder="1" applyAlignment="1" applyProtection="1">
      <alignment vertical="center" wrapText="1" shrinkToFit="1"/>
      <protection hidden="1"/>
    </xf>
    <xf numFmtId="0" fontId="0" fillId="0" borderId="1" xfId="0" applyFont="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0" borderId="1" xfId="0" applyFont="1" applyBorder="1" applyAlignment="1" applyProtection="1">
      <alignment vertical="center" wrapText="1" shrinkToFit="1"/>
      <protection hidden="1"/>
    </xf>
    <xf numFmtId="0" fontId="0" fillId="4" borderId="55" xfId="0" applyFill="1" applyBorder="1" applyAlignment="1" applyProtection="1">
      <alignment horizontal="left" vertical="center" shrinkToFit="1"/>
      <protection locked="0"/>
    </xf>
    <xf numFmtId="0" fontId="0" fillId="4" borderId="56" xfId="0" applyFill="1" applyBorder="1" applyAlignment="1" applyProtection="1">
      <alignment horizontal="left" vertical="center" shrinkToFit="1"/>
      <protection locked="0"/>
    </xf>
    <xf numFmtId="0" fontId="0" fillId="4" borderId="57" xfId="0" applyFill="1" applyBorder="1" applyAlignment="1" applyProtection="1">
      <alignment horizontal="left" vertical="center" shrinkToFit="1"/>
      <protection locked="0"/>
    </xf>
    <xf numFmtId="0" fontId="5" fillId="0" borderId="63" xfId="0" applyFont="1" applyBorder="1" applyAlignment="1" applyProtection="1">
      <alignment horizontal="center" vertical="center"/>
      <protection hidden="1"/>
    </xf>
    <xf numFmtId="0" fontId="5" fillId="0" borderId="64" xfId="0" applyFont="1" applyBorder="1" applyAlignment="1" applyProtection="1">
      <alignment horizontal="center" vertical="center"/>
      <protection hidden="1"/>
    </xf>
    <xf numFmtId="0" fontId="5" fillId="0" borderId="65" xfId="0" applyFont="1" applyBorder="1" applyAlignment="1" applyProtection="1">
      <alignment horizontal="center" vertical="center"/>
      <protection hidden="1"/>
    </xf>
    <xf numFmtId="0" fontId="0" fillId="4" borderId="58" xfId="0" applyFill="1" applyBorder="1" applyAlignment="1" applyProtection="1">
      <alignment horizontal="left" vertical="center" shrinkToFit="1"/>
      <protection locked="0"/>
    </xf>
    <xf numFmtId="0" fontId="0" fillId="4" borderId="59" xfId="0" applyFill="1" applyBorder="1" applyAlignment="1" applyProtection="1">
      <alignment horizontal="left" vertical="center" shrinkToFit="1"/>
      <protection locked="0"/>
    </xf>
    <xf numFmtId="0" fontId="0" fillId="4" borderId="60" xfId="0" applyFill="1" applyBorder="1" applyAlignment="1" applyProtection="1">
      <alignment horizontal="left" vertical="center" shrinkToFit="1"/>
      <protection locked="0"/>
    </xf>
    <xf numFmtId="0" fontId="5" fillId="0" borderId="1" xfId="0" applyFont="1" applyBorder="1" applyAlignment="1" applyProtection="1">
      <alignment vertical="center" wrapText="1"/>
      <protection hidden="1"/>
    </xf>
    <xf numFmtId="0" fontId="0" fillId="8" borderId="3" xfId="0" applyFill="1" applyBorder="1" applyAlignment="1" applyProtection="1">
      <alignment horizontal="left" vertical="center" wrapText="1"/>
      <protection hidden="1"/>
    </xf>
    <xf numFmtId="0" fontId="0" fillId="8" borderId="5" xfId="0" applyFill="1" applyBorder="1" applyAlignment="1" applyProtection="1">
      <alignment horizontal="left" vertical="center" wrapText="1"/>
      <protection hidden="1"/>
    </xf>
    <xf numFmtId="0" fontId="0" fillId="0" borderId="3"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8" borderId="1" xfId="0" applyFill="1" applyBorder="1" applyAlignment="1" applyProtection="1">
      <alignment vertical="center" wrapText="1"/>
      <protection hidden="1"/>
    </xf>
    <xf numFmtId="0" fontId="0" fillId="0" borderId="1" xfId="0" applyBorder="1" applyAlignment="1" applyProtection="1">
      <alignment vertical="center" shrinkToFit="1"/>
      <protection hidden="1"/>
    </xf>
    <xf numFmtId="190" fontId="6" fillId="0" borderId="1" xfId="3" applyNumberFormat="1" applyFont="1" applyBorder="1" applyAlignment="1" applyProtection="1">
      <alignment horizontal="center" vertical="center" wrapText="1" shrinkToFit="1"/>
      <protection hidden="1"/>
    </xf>
    <xf numFmtId="1" fontId="21" fillId="3" borderId="1" xfId="3" applyNumberFormat="1" applyFont="1" applyFill="1" applyBorder="1" applyAlignment="1" applyProtection="1">
      <alignment horizontal="center" vertical="center" shrinkToFit="1"/>
      <protection hidden="1"/>
    </xf>
    <xf numFmtId="184" fontId="11" fillId="4" borderId="2" xfId="4" applyNumberFormat="1" applyFont="1" applyFill="1" applyBorder="1" applyAlignment="1" applyProtection="1">
      <alignment horizontal="right" vertical="center" shrinkToFit="1"/>
      <protection locked="0"/>
    </xf>
    <xf numFmtId="184" fontId="11" fillId="4" borderId="16" xfId="4" applyNumberFormat="1" applyFont="1" applyFill="1" applyBorder="1" applyAlignment="1" applyProtection="1">
      <alignment horizontal="right" vertical="center" shrinkToFit="1"/>
      <protection locked="0"/>
    </xf>
    <xf numFmtId="184" fontId="11" fillId="4" borderId="42" xfId="4" applyNumberFormat="1" applyFont="1" applyFill="1" applyBorder="1" applyAlignment="1" applyProtection="1">
      <alignment horizontal="right" vertical="center" shrinkToFit="1"/>
      <protection locked="0"/>
    </xf>
    <xf numFmtId="184" fontId="11" fillId="3" borderId="7" xfId="4" applyNumberFormat="1" applyFont="1" applyFill="1" applyBorder="1" applyAlignment="1" applyProtection="1">
      <alignment horizontal="right" vertical="center" shrinkToFit="1"/>
      <protection hidden="1"/>
    </xf>
    <xf numFmtId="184" fontId="11" fillId="3" borderId="46" xfId="4" applyNumberFormat="1" applyFont="1" applyFill="1" applyBorder="1" applyAlignment="1" applyProtection="1">
      <alignment horizontal="right" vertical="center" shrinkToFit="1"/>
      <protection hidden="1"/>
    </xf>
    <xf numFmtId="184" fontId="11" fillId="4" borderId="19" xfId="4" applyNumberFormat="1" applyFont="1" applyFill="1" applyBorder="1" applyAlignment="1" applyProtection="1">
      <alignment horizontal="right" vertical="center" shrinkToFit="1"/>
      <protection locked="0"/>
    </xf>
    <xf numFmtId="184" fontId="11" fillId="4" borderId="21" xfId="4" applyNumberFormat="1" applyFont="1" applyFill="1" applyBorder="1" applyAlignment="1" applyProtection="1">
      <alignment horizontal="right" vertical="center" shrinkToFit="1"/>
      <protection locked="0"/>
    </xf>
    <xf numFmtId="184" fontId="11" fillId="4" borderId="62" xfId="4" applyNumberFormat="1" applyFont="1" applyFill="1" applyBorder="1" applyAlignment="1" applyProtection="1">
      <alignment horizontal="right" vertical="center" shrinkToFit="1"/>
      <protection locked="0"/>
    </xf>
    <xf numFmtId="183" fontId="11" fillId="3" borderId="20" xfId="3" applyNumberFormat="1" applyFont="1" applyFill="1" applyBorder="1" applyAlignment="1" applyProtection="1">
      <alignment horizontal="right" vertical="center"/>
      <protection hidden="1"/>
    </xf>
    <xf numFmtId="183" fontId="11" fillId="3" borderId="38" xfId="3" applyNumberFormat="1" applyFont="1" applyFill="1" applyBorder="1" applyAlignment="1" applyProtection="1">
      <alignment horizontal="right" vertical="center"/>
      <protection hidden="1"/>
    </xf>
    <xf numFmtId="0" fontId="11" fillId="0" borderId="23" xfId="3" applyFont="1" applyFill="1" applyBorder="1" applyAlignment="1" applyProtection="1">
      <alignment horizontal="center" vertical="center"/>
      <protection hidden="1"/>
    </xf>
    <xf numFmtId="0" fontId="11" fillId="0" borderId="20" xfId="3" applyFont="1" applyFill="1" applyBorder="1" applyAlignment="1" applyProtection="1">
      <alignment horizontal="center" vertical="center"/>
      <protection hidden="1"/>
    </xf>
    <xf numFmtId="183" fontId="11" fillId="3" borderId="6" xfId="3" applyNumberFormat="1" applyFont="1" applyFill="1" applyBorder="1" applyAlignment="1" applyProtection="1">
      <alignment horizontal="right" vertical="center" wrapText="1"/>
      <protection hidden="1"/>
    </xf>
    <xf numFmtId="183" fontId="11" fillId="3" borderId="38" xfId="3" applyNumberFormat="1" applyFont="1" applyFill="1" applyBorder="1" applyAlignment="1" applyProtection="1">
      <alignment horizontal="right" vertical="center" wrapText="1"/>
      <protection hidden="1"/>
    </xf>
    <xf numFmtId="0" fontId="11" fillId="2" borderId="26" xfId="3" applyFont="1" applyFill="1" applyBorder="1" applyAlignment="1" applyProtection="1">
      <alignment horizontal="center" vertical="center" shrinkToFit="1"/>
      <protection locked="0"/>
    </xf>
    <xf numFmtId="184" fontId="11" fillId="4" borderId="33" xfId="4" applyNumberFormat="1" applyFont="1" applyFill="1" applyBorder="1" applyAlignment="1" applyProtection="1">
      <alignment horizontal="right" vertical="center" shrinkToFit="1"/>
      <protection locked="0"/>
    </xf>
    <xf numFmtId="184" fontId="11" fillId="4" borderId="44" xfId="4" applyNumberFormat="1" applyFont="1" applyFill="1" applyBorder="1" applyAlignment="1" applyProtection="1">
      <alignment horizontal="right" vertical="center" shrinkToFit="1"/>
      <protection locked="0"/>
    </xf>
    <xf numFmtId="0" fontId="3" fillId="2" borderId="3"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11" fillId="0" borderId="1" xfId="3" applyFont="1" applyBorder="1" applyAlignment="1" applyProtection="1">
      <alignment horizontal="left" vertical="center" indent="1"/>
      <protection hidden="1"/>
    </xf>
    <xf numFmtId="192" fontId="11" fillId="3" borderId="1" xfId="3" applyNumberFormat="1" applyFont="1" applyFill="1" applyBorder="1" applyAlignment="1" applyProtection="1">
      <alignment horizontal="center" vertical="center"/>
      <protection hidden="1"/>
    </xf>
    <xf numFmtId="0" fontId="11" fillId="0" borderId="1" xfId="3" applyFont="1" applyBorder="1" applyAlignment="1" applyProtection="1">
      <alignment horizontal="left" vertical="center" wrapText="1" indent="1"/>
      <protection hidden="1"/>
    </xf>
    <xf numFmtId="192" fontId="11" fillId="4" borderId="1" xfId="3"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wrapText="1"/>
      <protection hidden="1"/>
    </xf>
    <xf numFmtId="0" fontId="16" fillId="0" borderId="61" xfId="0" applyFont="1" applyBorder="1" applyAlignment="1" applyProtection="1">
      <alignment horizontal="center" wrapText="1"/>
      <protection hidden="1"/>
    </xf>
    <xf numFmtId="0" fontId="25" fillId="0" borderId="0" xfId="0" applyFont="1" applyBorder="1" applyAlignment="1" applyProtection="1">
      <alignment vertical="top" wrapText="1"/>
      <protection hidden="1"/>
    </xf>
    <xf numFmtId="0" fontId="18" fillId="0" borderId="0" xfId="0" applyFont="1" applyAlignment="1" applyProtection="1">
      <alignment horizontal="center" vertical="center" shrinkToFit="1"/>
      <protection hidden="1"/>
    </xf>
    <xf numFmtId="0" fontId="18" fillId="0" borderId="61" xfId="0" applyFont="1" applyBorder="1" applyAlignment="1" applyProtection="1">
      <alignment horizontal="center" vertical="center" shrinkToFit="1"/>
      <protection hidden="1"/>
    </xf>
    <xf numFmtId="0" fontId="11" fillId="3" borderId="1" xfId="3" applyFont="1" applyFill="1" applyBorder="1" applyAlignment="1" applyProtection="1">
      <alignment horizontal="center" vertical="center"/>
      <protection hidden="1"/>
    </xf>
    <xf numFmtId="0" fontId="11" fillId="2" borderId="1" xfId="3" applyFont="1" applyFill="1" applyBorder="1" applyAlignment="1" applyProtection="1">
      <alignment horizontal="center" vertical="center"/>
      <protection locked="0"/>
    </xf>
  </cellXfs>
  <cellStyles count="5">
    <cellStyle name="パーセント" xfId="2" builtinId="5"/>
    <cellStyle name="桁区切り" xfId="1" builtinId="6"/>
    <cellStyle name="桁区切り 2" xfId="4"/>
    <cellStyle name="標準" xfId="0" builtinId="0"/>
    <cellStyle name="標準 2" xfId="3"/>
  </cellStyles>
  <dxfs count="37">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ont>
        <color rgb="FFFF0000"/>
      </font>
    </dxf>
    <dxf>
      <font>
        <color theme="1"/>
      </font>
    </dxf>
    <dxf>
      <font>
        <color rgb="FFFF0000"/>
      </font>
      <fill>
        <patternFill patternType="solid">
          <bgColor theme="0" tint="-4.9989318521683403E-2"/>
        </patternFill>
      </fill>
    </dxf>
    <dxf>
      <font>
        <color theme="1"/>
      </font>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99"/>
      <color rgb="FF66FF33"/>
      <color rgb="FFE2EFDA"/>
      <color rgb="FFCCFFCC"/>
      <color rgb="FFFF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11906</xdr:colOff>
      <xdr:row>41</xdr:row>
      <xdr:rowOff>47624</xdr:rowOff>
    </xdr:from>
    <xdr:to>
      <xdr:col>15</xdr:col>
      <xdr:colOff>333375</xdr:colOff>
      <xdr:row>43</xdr:row>
      <xdr:rowOff>214312</xdr:rowOff>
    </xdr:to>
    <xdr:sp macro="" textlink="">
      <xdr:nvSpPr>
        <xdr:cNvPr id="2" name="右中かっこ 1"/>
        <xdr:cNvSpPr/>
      </xdr:nvSpPr>
      <xdr:spPr>
        <a:xfrm>
          <a:off x="11144250" y="9786937"/>
          <a:ext cx="321469" cy="690563"/>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D55"/>
  <sheetViews>
    <sheetView zoomScale="90" zoomScaleNormal="90" workbookViewId="0">
      <selection activeCell="B2" sqref="B2"/>
    </sheetView>
  </sheetViews>
  <sheetFormatPr defaultColWidth="8.83203125" defaultRowHeight="17.399999999999999" x14ac:dyDescent="0.55000000000000004"/>
  <cols>
    <col min="1" max="1" width="8.83203125" style="10"/>
    <col min="2" max="2" width="22.1640625" style="10" customWidth="1"/>
    <col min="3" max="3" width="10.33203125" style="10" customWidth="1"/>
    <col min="4" max="4" width="8.58203125" style="10" bestFit="1" customWidth="1"/>
    <col min="5" max="5" width="10.5" style="13" bestFit="1" customWidth="1"/>
    <col min="6" max="6" width="11.4140625" style="10" bestFit="1" customWidth="1"/>
    <col min="7" max="7" width="7" style="10" customWidth="1"/>
    <col min="8" max="9" width="5.33203125" style="10" customWidth="1"/>
    <col min="10" max="10" width="7.9140625" style="10" customWidth="1"/>
    <col min="11" max="11" width="9.4140625" style="10" bestFit="1" customWidth="1"/>
    <col min="12" max="13" width="8.83203125" style="10"/>
    <col min="14" max="14" width="13.9140625" style="10" customWidth="1"/>
    <col min="15" max="15" width="11.9140625" style="10" customWidth="1"/>
    <col min="16" max="16" width="19.08203125" style="10" customWidth="1"/>
    <col min="17" max="17" width="8.83203125" style="10"/>
    <col min="18" max="19" width="19.4140625" style="10" customWidth="1"/>
    <col min="20" max="20" width="14.33203125" style="10" customWidth="1"/>
    <col min="21" max="21" width="23" style="10" customWidth="1"/>
    <col min="22" max="22" width="11.1640625" style="10" customWidth="1"/>
    <col min="23" max="23" width="8.83203125" style="10"/>
    <col min="24" max="24" width="13.83203125" style="10" customWidth="1"/>
    <col min="25" max="25" width="15.1640625" style="10" customWidth="1"/>
    <col min="26" max="26" width="16.9140625" style="10" customWidth="1"/>
    <col min="27" max="27" width="12.1640625" style="10" customWidth="1"/>
    <col min="28" max="28" width="12.33203125" style="10" customWidth="1"/>
    <col min="29" max="16384" width="8.83203125" style="10"/>
  </cols>
  <sheetData>
    <row r="1" spans="2:29" ht="18" thickBot="1" x14ac:dyDescent="0.6">
      <c r="J1" s="208" t="s">
        <v>209</v>
      </c>
      <c r="K1" s="208"/>
    </row>
    <row r="2" spans="2:29" x14ac:dyDescent="0.55000000000000004">
      <c r="B2" s="10" t="s">
        <v>98</v>
      </c>
      <c r="C2" s="10" t="s">
        <v>97</v>
      </c>
      <c r="J2" s="23" t="s">
        <v>23</v>
      </c>
      <c r="K2" s="22" t="s">
        <v>22</v>
      </c>
      <c r="N2" s="10" t="s">
        <v>96</v>
      </c>
      <c r="Y2" s="182" t="s">
        <v>360</v>
      </c>
      <c r="Z2" s="10" t="s">
        <v>370</v>
      </c>
    </row>
    <row r="3" spans="2:29" x14ac:dyDescent="0.55000000000000004">
      <c r="B3" s="10" t="s">
        <v>95</v>
      </c>
      <c r="C3" s="11">
        <v>9.76</v>
      </c>
      <c r="D3" s="10" t="s">
        <v>94</v>
      </c>
      <c r="E3" s="10">
        <v>0.48899999999999999</v>
      </c>
      <c r="F3" s="10" t="s">
        <v>93</v>
      </c>
      <c r="I3" s="128" t="s">
        <v>340</v>
      </c>
      <c r="J3" s="24" t="str">
        <f>IF(ISERROR('4.エネルギー使用量'!$H$25/1000*$C$3*$C$7),"",ROUND('4.エネルギー使用量'!$H$25/1000*$C$3*$C$7,2))</f>
        <v/>
      </c>
      <c r="K3" s="18" t="str">
        <f>IF(ISERROR('4.エネルギー使用量'!$H$25/1000*$C$3*$E$3),"",ROUND('4.エネルギー使用量'!$H$25/1000*$C$3*$E$3,2))</f>
        <v/>
      </c>
      <c r="N3" s="10" t="s">
        <v>92</v>
      </c>
      <c r="O3" s="10" t="s">
        <v>233</v>
      </c>
      <c r="P3" s="10" t="s">
        <v>355</v>
      </c>
      <c r="R3" s="10" t="s">
        <v>120</v>
      </c>
      <c r="S3" s="10" t="s">
        <v>120</v>
      </c>
      <c r="T3" s="10" t="s">
        <v>121</v>
      </c>
      <c r="U3" s="8" t="s">
        <v>120</v>
      </c>
      <c r="V3" s="8" t="s">
        <v>284</v>
      </c>
      <c r="X3" s="10" t="s">
        <v>122</v>
      </c>
      <c r="Y3" s="182" t="s">
        <v>123</v>
      </c>
      <c r="Z3" s="10" t="s">
        <v>123</v>
      </c>
      <c r="AA3" s="10" t="s">
        <v>92</v>
      </c>
      <c r="AB3" s="10" t="s">
        <v>301</v>
      </c>
      <c r="AC3" s="10" t="s">
        <v>320</v>
      </c>
    </row>
    <row r="4" spans="2:29" ht="21.6" x14ac:dyDescent="0.55000000000000004">
      <c r="B4" s="10" t="s">
        <v>91</v>
      </c>
      <c r="C4" s="11">
        <v>1.36</v>
      </c>
      <c r="D4" s="10" t="s">
        <v>90</v>
      </c>
      <c r="E4" s="10">
        <v>0.06</v>
      </c>
      <c r="F4" s="10" t="s">
        <v>89</v>
      </c>
      <c r="I4" s="128" t="s">
        <v>245</v>
      </c>
      <c r="J4" s="24" t="str">
        <f>IF(ISERROR('4.エネルギー使用量'!$H$52/1000*$C$4*$C$7),"",ROUND('4.エネルギー使用量'!$H$52/1000*$C$4*$C$7,2))</f>
        <v/>
      </c>
      <c r="K4" s="18" t="str">
        <f>IF(ISERROR('4.エネルギー使用量'!$H$52/1000*$C$4*$E$4),"",ROUND('4.エネルギー使用量'!$H$52/1000*$C$4*$E$4,2))</f>
        <v/>
      </c>
      <c r="N4" s="10" t="s">
        <v>87</v>
      </c>
      <c r="O4" s="10" t="s">
        <v>231</v>
      </c>
      <c r="P4" s="10" t="s">
        <v>86</v>
      </c>
      <c r="R4" s="10" t="s">
        <v>260</v>
      </c>
      <c r="S4" s="10" t="s">
        <v>260</v>
      </c>
      <c r="T4" s="10" t="s">
        <v>99</v>
      </c>
      <c r="U4" s="8" t="s">
        <v>14</v>
      </c>
      <c r="V4" s="10" t="s">
        <v>327</v>
      </c>
      <c r="X4" s="10" t="s">
        <v>211</v>
      </c>
      <c r="Y4" s="182" t="s">
        <v>106</v>
      </c>
      <c r="Z4" s="10" t="s">
        <v>106</v>
      </c>
      <c r="AA4" s="10" t="s">
        <v>105</v>
      </c>
      <c r="AB4" s="10" t="s">
        <v>302</v>
      </c>
      <c r="AC4" s="158">
        <v>0.9</v>
      </c>
    </row>
    <row r="5" spans="2:29" ht="21.6" x14ac:dyDescent="0.55000000000000004">
      <c r="B5" s="25" t="s">
        <v>88</v>
      </c>
      <c r="C5" s="11">
        <v>1.02</v>
      </c>
      <c r="D5" s="10" t="s">
        <v>84</v>
      </c>
      <c r="E5" s="10">
        <v>0.06</v>
      </c>
      <c r="F5" s="10" t="s">
        <v>83</v>
      </c>
      <c r="I5" s="128" t="s">
        <v>246</v>
      </c>
      <c r="J5" s="24" t="str">
        <f>IF(ISERROR('4.エネルギー使用量'!$H$52/1000*$C$5*$C$7),"",ROUND('4.エネルギー使用量'!$H$52/1000*$C$5*$C$7,2))</f>
        <v/>
      </c>
      <c r="K5" s="18" t="str">
        <f>IF(ISERROR('4.エネルギー使用量'!$H$52/1000*$C$5*$E$5),"",ROUND('4.エネルギー使用量'!$H$52/1000*$C$5*$E$5,2))</f>
        <v/>
      </c>
      <c r="N5" s="10" t="s">
        <v>82</v>
      </c>
      <c r="O5" s="10" t="s">
        <v>232</v>
      </c>
      <c r="P5" s="10" t="s">
        <v>81</v>
      </c>
      <c r="R5" s="10" t="s">
        <v>6</v>
      </c>
      <c r="S5" s="10" t="s">
        <v>6</v>
      </c>
      <c r="T5" s="10" t="s">
        <v>100</v>
      </c>
      <c r="U5" s="8" t="s">
        <v>15</v>
      </c>
      <c r="V5" s="10" t="s">
        <v>328</v>
      </c>
      <c r="X5" s="10" t="s">
        <v>222</v>
      </c>
      <c r="Y5" s="182" t="s">
        <v>117</v>
      </c>
      <c r="Z5" s="10" t="s">
        <v>117</v>
      </c>
      <c r="AA5" s="10" t="s">
        <v>87</v>
      </c>
      <c r="AB5" s="10" t="s">
        <v>303</v>
      </c>
      <c r="AC5" s="158">
        <v>2.6</v>
      </c>
    </row>
    <row r="6" spans="2:29" ht="21.6" x14ac:dyDescent="0.55000000000000004">
      <c r="B6" s="25" t="s">
        <v>85</v>
      </c>
      <c r="C6" s="11">
        <v>1.36</v>
      </c>
      <c r="D6" s="10" t="s">
        <v>84</v>
      </c>
      <c r="E6" s="10">
        <v>0.06</v>
      </c>
      <c r="F6" s="10" t="s">
        <v>83</v>
      </c>
      <c r="I6" s="128" t="s">
        <v>247</v>
      </c>
      <c r="J6" s="24" t="str">
        <f>IF(ISERROR('4.エネルギー使用量'!$H$52/1000*$C$6*$C$7),"",ROUND('4.エネルギー使用量'!$H$52/1000*$C$6*$C$7,2))</f>
        <v/>
      </c>
      <c r="K6" s="18" t="str">
        <f>IF(ISERROR('4.エネルギー使用量'!$H$52/1000*$C$6*$E$6),"",'4.エネルギー使用量'!$H$52/1000*$C$6*$E$6)</f>
        <v/>
      </c>
      <c r="P6" s="10" t="s">
        <v>141</v>
      </c>
      <c r="R6" s="10" t="s">
        <v>261</v>
      </c>
      <c r="S6" s="10" t="s">
        <v>262</v>
      </c>
      <c r="T6" s="10" t="s">
        <v>101</v>
      </c>
      <c r="U6" s="8" t="s">
        <v>17</v>
      </c>
      <c r="V6" s="10" t="s">
        <v>329</v>
      </c>
      <c r="X6" s="10" t="s">
        <v>110</v>
      </c>
      <c r="Y6" s="182" t="s">
        <v>116</v>
      </c>
      <c r="Z6" s="10" t="s">
        <v>116</v>
      </c>
      <c r="AA6" s="10" t="s">
        <v>82</v>
      </c>
      <c r="AB6" s="10" t="s">
        <v>304</v>
      </c>
      <c r="AC6" s="158">
        <v>1.5</v>
      </c>
    </row>
    <row r="7" spans="2:29" ht="21.6" x14ac:dyDescent="0.55000000000000004">
      <c r="B7" s="10" t="s">
        <v>80</v>
      </c>
      <c r="C7" s="13">
        <v>2.58E-2</v>
      </c>
      <c r="D7" s="10" t="s">
        <v>79</v>
      </c>
      <c r="E7" s="10">
        <f>44/12</f>
        <v>3.6666666666666665</v>
      </c>
      <c r="F7" s="10" t="s">
        <v>78</v>
      </c>
      <c r="P7" s="10" t="s">
        <v>76</v>
      </c>
      <c r="R7" s="10" t="s">
        <v>262</v>
      </c>
      <c r="S7" s="10" t="s">
        <v>263</v>
      </c>
      <c r="T7" s="8" t="s">
        <v>102</v>
      </c>
      <c r="Y7" s="182" t="s">
        <v>115</v>
      </c>
      <c r="Z7" s="10" t="s">
        <v>115</v>
      </c>
      <c r="AA7" s="10" t="s">
        <v>48</v>
      </c>
      <c r="AB7" s="10" t="s">
        <v>305</v>
      </c>
      <c r="AC7" s="158">
        <v>1</v>
      </c>
    </row>
    <row r="8" spans="2:29" ht="22.2" thickBot="1" x14ac:dyDescent="0.6">
      <c r="P8" s="10" t="s">
        <v>74</v>
      </c>
      <c r="R8" s="10" t="s">
        <v>263</v>
      </c>
      <c r="S8" s="10" t="s">
        <v>11</v>
      </c>
      <c r="Y8" s="182" t="s">
        <v>114</v>
      </c>
      <c r="Z8" s="10" t="s">
        <v>361</v>
      </c>
      <c r="AA8" s="10" t="s">
        <v>77</v>
      </c>
      <c r="AB8" s="10" t="s">
        <v>11</v>
      </c>
      <c r="AC8" s="158">
        <v>1.2</v>
      </c>
    </row>
    <row r="9" spans="2:29" x14ac:dyDescent="0.55000000000000004">
      <c r="C9" s="10" t="s">
        <v>75</v>
      </c>
      <c r="I9" s="128" t="s">
        <v>343</v>
      </c>
      <c r="J9" s="23" t="s">
        <v>23</v>
      </c>
      <c r="K9" s="22" t="s">
        <v>22</v>
      </c>
      <c r="N9" s="10" t="s">
        <v>48</v>
      </c>
      <c r="P9" s="10" t="s">
        <v>72</v>
      </c>
      <c r="R9" s="10" t="s">
        <v>11</v>
      </c>
      <c r="Y9" s="182" t="s">
        <v>113</v>
      </c>
      <c r="Z9" s="10" t="s">
        <v>364</v>
      </c>
      <c r="AA9" s="10" t="s">
        <v>49</v>
      </c>
    </row>
    <row r="10" spans="2:29" x14ac:dyDescent="0.55000000000000004">
      <c r="B10" s="10" t="s">
        <v>73</v>
      </c>
      <c r="C10" s="17">
        <v>45</v>
      </c>
      <c r="D10" s="10" t="s">
        <v>64</v>
      </c>
      <c r="E10" s="13">
        <v>1.3599999999999999E-2</v>
      </c>
      <c r="F10" s="10" t="s">
        <v>61</v>
      </c>
      <c r="J10" s="19" t="str">
        <f>IF(ISERROR('4.エネルギー使用量'!$H$39/1000*$C$10*$C$7*$C$15),"",ROUND('4.エネルギー使用量'!$H$39/1000*$C$10*$C$7*$C$15,2))</f>
        <v/>
      </c>
      <c r="K10" s="18" t="str">
        <f>IF(ISERROR('4.エネルギー使用量'!$H$39/1000*$C$10*$E$10*$E$7),"",ROUND('4.エネルギー使用量'!$H$39/1000*$C$10*$E$10*$E$7,2))</f>
        <v/>
      </c>
      <c r="N10" s="10" t="s">
        <v>77</v>
      </c>
      <c r="P10" s="10" t="s">
        <v>69</v>
      </c>
      <c r="Y10" s="182" t="s">
        <v>112</v>
      </c>
      <c r="Z10" s="10" t="s">
        <v>113</v>
      </c>
    </row>
    <row r="11" spans="2:29" x14ac:dyDescent="0.55000000000000004">
      <c r="B11" s="10" t="s">
        <v>71</v>
      </c>
      <c r="C11" s="17">
        <v>50.8</v>
      </c>
      <c r="D11" s="10" t="s">
        <v>67</v>
      </c>
      <c r="E11" s="13">
        <v>1.61E-2</v>
      </c>
      <c r="F11" s="10" t="s">
        <v>61</v>
      </c>
      <c r="G11" s="12">
        <v>482</v>
      </c>
      <c r="H11" s="10" t="s">
        <v>70</v>
      </c>
      <c r="J11" s="19" t="str">
        <f>IF(ISERROR('4.エネルギー使用量'!$H$39/$G$11*$C$11*$C$7),"",ROUND('4.エネルギー使用量'!$H$39/$G$11*$C$11*$C$7,2))</f>
        <v/>
      </c>
      <c r="K11" s="18" t="str">
        <f>IF(ISERROR('4.エネルギー使用量'!$H$39/$G$11*$C$11*$E$11*$E$7),"",ROUND('4.エネルギー使用量'!$H$39/$G$11*$C$11*$E$11*$E$7,2))</f>
        <v/>
      </c>
      <c r="L11" s="90" t="str">
        <f>IF(ISERROR('4.エネルギー使用量'!$H$39/1000*$C$11*$C$7),"",'4.エネルギー使用量'!$H$39/1000*$C$11*$C$7)</f>
        <v/>
      </c>
      <c r="M11" s="10" t="s">
        <v>344</v>
      </c>
      <c r="N11" s="10" t="s">
        <v>49</v>
      </c>
      <c r="Y11" s="182" t="s">
        <v>111</v>
      </c>
      <c r="Z11" s="10" t="s">
        <v>112</v>
      </c>
    </row>
    <row r="12" spans="2:29" x14ac:dyDescent="0.55000000000000004">
      <c r="B12" s="10" t="s">
        <v>68</v>
      </c>
      <c r="C12" s="17">
        <v>54.6</v>
      </c>
      <c r="D12" s="10" t="s">
        <v>67</v>
      </c>
      <c r="E12" s="13">
        <v>1.35E-2</v>
      </c>
      <c r="F12" s="10" t="s">
        <v>61</v>
      </c>
      <c r="G12" s="10">
        <f>1000/G11</f>
        <v>2.0746887966804981</v>
      </c>
      <c r="J12" s="19" t="str">
        <f>IF(ISERROR('4.エネルギー使用量'!$H$39*$C$28*$C$12*$C$7),"",ROUND('4.エネルギー使用量'!$H$39*$C$28*$C$12*$C$7,2))</f>
        <v/>
      </c>
      <c r="K12" s="18" t="str">
        <f>IF(ISERROR('4.エネルギー使用量'!$H$39*$C$28*$C$12*$E$12*$E$7),"",ROUND('4.エネルギー使用量'!$H$39*$C$28*$C$12*$E$12*$E$7,2))</f>
        <v/>
      </c>
      <c r="Z12" s="10" t="s">
        <v>362</v>
      </c>
    </row>
    <row r="13" spans="2:29" ht="19.2" x14ac:dyDescent="0.55000000000000004">
      <c r="B13" s="10" t="s">
        <v>66</v>
      </c>
      <c r="C13" s="17">
        <v>44.9</v>
      </c>
      <c r="D13" s="10" t="s">
        <v>64</v>
      </c>
      <c r="E13" s="13">
        <v>1.4200000000000001E-2</v>
      </c>
      <c r="F13" s="10" t="s">
        <v>61</v>
      </c>
      <c r="G13" s="70" t="s">
        <v>220</v>
      </c>
      <c r="J13" s="19" t="str">
        <f>IF(ISERROR('4.エネルギー使用量'!$H$39/1000*$C$13*$C$7),"",ROUND('4.エネルギー使用量'!$H$39/1000*$C$13*$C$7,2))</f>
        <v/>
      </c>
      <c r="K13" s="18" t="str">
        <f>IF(ISERROR('4.エネルギー使用量'!$H$39/1000*$C$12*$E$12*$E$7),"",ROUND('4.エネルギー使用量'!$H$39/1000*$C$12*$E$12*$E$7,2))</f>
        <v/>
      </c>
      <c r="N13" s="8" t="s">
        <v>119</v>
      </c>
      <c r="O13" s="8"/>
      <c r="P13" s="8"/>
      <c r="Z13" s="10" t="s">
        <v>363</v>
      </c>
    </row>
    <row r="14" spans="2:29" ht="19.8" thickBot="1" x14ac:dyDescent="0.6">
      <c r="B14" s="10" t="s">
        <v>65</v>
      </c>
      <c r="C14" s="17">
        <v>43.5</v>
      </c>
      <c r="D14" s="10" t="s">
        <v>64</v>
      </c>
      <c r="E14" s="13">
        <v>1.3899999999999999E-2</v>
      </c>
      <c r="F14" s="10" t="s">
        <v>61</v>
      </c>
      <c r="G14" s="70" t="s">
        <v>221</v>
      </c>
      <c r="J14" s="16" t="str">
        <f>IF(ISERROR('4.エネルギー使用量'!$H$39/1000*$C$14*$C$7),"",ROUND('4.エネルギー使用量'!$H$39/1000*$C$14*$C$7,2))</f>
        <v/>
      </c>
      <c r="K14" s="15" t="str">
        <f>IF(ISERROR('4.エネルギー使用量'!$H$39/1000*$C$14*$E$14*$E$7),"",ROUND('4.エネルギー使用量'!$H$39/1000*$C$14*$E$14*$E$7,2))</f>
        <v/>
      </c>
      <c r="N14" s="183" t="s">
        <v>118</v>
      </c>
      <c r="O14" s="183"/>
      <c r="P14" s="183"/>
      <c r="Z14" s="10" t="s">
        <v>111</v>
      </c>
    </row>
    <row r="15" spans="2:29" ht="19.8" thickBot="1" x14ac:dyDescent="0.6">
      <c r="B15" s="10" t="s">
        <v>331</v>
      </c>
      <c r="C15" s="10">
        <v>0.9666547347078589</v>
      </c>
      <c r="J15" s="11"/>
      <c r="K15" s="11"/>
      <c r="N15" s="82"/>
      <c r="O15" s="82" t="s">
        <v>109</v>
      </c>
      <c r="P15" s="82" t="s">
        <v>108</v>
      </c>
      <c r="Q15" s="8"/>
      <c r="R15" s="76" t="s">
        <v>223</v>
      </c>
      <c r="U15" s="69"/>
    </row>
    <row r="16" spans="2:29" ht="19.2" x14ac:dyDescent="0.55000000000000004">
      <c r="I16" s="128" t="s">
        <v>340</v>
      </c>
      <c r="J16" s="21" t="s">
        <v>23</v>
      </c>
      <c r="K16" s="20" t="s">
        <v>22</v>
      </c>
      <c r="N16" s="82" t="s">
        <v>106</v>
      </c>
      <c r="O16" s="82">
        <v>800</v>
      </c>
      <c r="P16" s="82">
        <v>400</v>
      </c>
      <c r="Q16" s="8"/>
      <c r="U16" s="69"/>
    </row>
    <row r="17" spans="2:30" ht="19.2" x14ac:dyDescent="0.55000000000000004">
      <c r="B17" s="10" t="s">
        <v>63</v>
      </c>
      <c r="C17" s="17">
        <v>38.200000000000003</v>
      </c>
      <c r="D17" s="10" t="s">
        <v>62</v>
      </c>
      <c r="E17" s="13">
        <v>1.8700000000000001E-2</v>
      </c>
      <c r="F17" s="10" t="s">
        <v>61</v>
      </c>
      <c r="J17" s="19" t="str">
        <f>IF(ISERROR('4.エネルギー使用量'!$H$52/1000),"",ROUND('4.エネルギー使用量'!$H$52/1000,2))</f>
        <v/>
      </c>
      <c r="K17" s="18" t="str">
        <f>IF(ISERROR('4.エネルギー使用量'!$H$39/1000*$C$17*$E$17*$E$7),"",ROUND('4.エネルギー使用量'!$H$39/1000*$C$17*$E$17*$E$7,2))</f>
        <v/>
      </c>
      <c r="N17" s="82" t="s">
        <v>117</v>
      </c>
      <c r="O17" s="82">
        <v>900</v>
      </c>
      <c r="P17" s="82">
        <v>400</v>
      </c>
      <c r="Q17" s="8"/>
      <c r="R17" s="76" t="s">
        <v>154</v>
      </c>
      <c r="S17" s="69"/>
      <c r="T17" s="69" t="s">
        <v>155</v>
      </c>
      <c r="U17" s="69"/>
    </row>
    <row r="18" spans="2:30" ht="19.2" x14ac:dyDescent="0.55000000000000004">
      <c r="B18" s="10" t="s">
        <v>60</v>
      </c>
      <c r="C18" s="17">
        <v>36.700000000000003</v>
      </c>
      <c r="D18" s="10" t="s">
        <v>56</v>
      </c>
      <c r="E18" s="13">
        <v>1.8499999999999999E-2</v>
      </c>
      <c r="F18" s="10" t="s">
        <v>55</v>
      </c>
      <c r="I18" s="128" t="s">
        <v>241</v>
      </c>
      <c r="J18" s="19" t="str">
        <f>IF(ISERROR('4.エネルギー使用量'!$H$52/1000*$C$18*$C$7),"",ROUND('4.エネルギー使用量'!$H$52/1000*$C$18*$C$7,2))</f>
        <v/>
      </c>
      <c r="K18" s="18" t="str">
        <f>IF(ISERROR('4.エネルギー使用量'!$H$52/1000*$C$18*$E$18*$E$7),"",ROUND('4.エネルギー使用量'!$H$52/1000*$C$18*$E$18*$E$7,2))</f>
        <v/>
      </c>
      <c r="N18" s="82" t="s">
        <v>116</v>
      </c>
      <c r="O18" s="82">
        <v>1000</v>
      </c>
      <c r="P18" s="82">
        <v>500</v>
      </c>
      <c r="Q18" s="8"/>
      <c r="R18" s="76" t="s">
        <v>157</v>
      </c>
      <c r="S18" s="69"/>
      <c r="T18" s="69" t="s">
        <v>158</v>
      </c>
      <c r="U18" s="69"/>
    </row>
    <row r="19" spans="2:30" ht="19.2" x14ac:dyDescent="0.55000000000000004">
      <c r="B19" s="10" t="s">
        <v>59</v>
      </c>
      <c r="C19" s="17">
        <v>37.700000000000003</v>
      </c>
      <c r="D19" s="10" t="s">
        <v>56</v>
      </c>
      <c r="E19" s="13">
        <v>1.8700000000000001E-2</v>
      </c>
      <c r="F19" s="10" t="s">
        <v>55</v>
      </c>
      <c r="I19" s="128" t="s">
        <v>242</v>
      </c>
      <c r="J19" s="19" t="str">
        <f>IF(ISERROR('4.エネルギー使用量'!$H$52/1000*$C$19*$C$7),"",ROUND('4.エネルギー使用量'!$H$52/1000*$C$19*$C$7,2))</f>
        <v/>
      </c>
      <c r="K19" s="18" t="str">
        <f>IF(ISERROR('4.エネルギー使用量'!$H$52/1000*$C$19*$E$19*$E$7),"",ROUND('4.エネルギー使用量'!$H$52/1000*$C$19*$E$19*$E$7,2))</f>
        <v/>
      </c>
      <c r="N19" s="82" t="s">
        <v>115</v>
      </c>
      <c r="O19" s="82">
        <v>1000</v>
      </c>
      <c r="P19" s="82">
        <v>1200</v>
      </c>
      <c r="Q19" s="8"/>
      <c r="R19" s="76" t="s">
        <v>160</v>
      </c>
      <c r="S19" s="69"/>
      <c r="T19" s="69"/>
      <c r="U19" s="69"/>
    </row>
    <row r="20" spans="2:30" ht="19.2" x14ac:dyDescent="0.55000000000000004">
      <c r="B20" s="10" t="s">
        <v>58</v>
      </c>
      <c r="C20" s="17">
        <v>39.1</v>
      </c>
      <c r="D20" s="10" t="s">
        <v>56</v>
      </c>
      <c r="E20" s="13">
        <v>1.89E-2</v>
      </c>
      <c r="F20" s="10" t="s">
        <v>55</v>
      </c>
      <c r="I20" s="128" t="s">
        <v>243</v>
      </c>
      <c r="J20" s="19" t="str">
        <f>IF(ISERROR('4.エネルギー使用量'!$H$52/1000*$C$20*$C$7),"",ROUND('4.エネルギー使用量'!$H$52/1000*$C$20*$C$7,2))</f>
        <v/>
      </c>
      <c r="K20" s="18" t="str">
        <f>IF(ISERROR('4.エネルギー使用量'!$H$52/1000*$C$20*$E$20*$E$7),"",ROUND('4.エネルギー使用量'!$H$52/1000*$C$20*$E$20*$E$7,2))</f>
        <v/>
      </c>
      <c r="N20" s="82" t="s">
        <v>361</v>
      </c>
      <c r="O20" s="82">
        <v>400</v>
      </c>
      <c r="P20" s="82">
        <v>500</v>
      </c>
      <c r="Q20" s="8"/>
      <c r="R20" s="76" t="s">
        <v>161</v>
      </c>
      <c r="S20" s="69"/>
      <c r="T20" s="69"/>
      <c r="U20" s="69"/>
    </row>
    <row r="21" spans="2:30" ht="19.8" thickBot="1" x14ac:dyDescent="0.6">
      <c r="B21" s="10" t="s">
        <v>57</v>
      </c>
      <c r="C21" s="17">
        <v>41.9</v>
      </c>
      <c r="D21" s="10" t="s">
        <v>56</v>
      </c>
      <c r="E21" s="13">
        <v>1.95E-2</v>
      </c>
      <c r="F21" s="10" t="s">
        <v>55</v>
      </c>
      <c r="I21" s="128" t="s">
        <v>244</v>
      </c>
      <c r="J21" s="16" t="str">
        <f>IF(ISERROR('4.エネルギー使用量'!$H$52/1000*$C$21*$C$7),"",ROUND('4.エネルギー使用量'!$H$52/1000*$C$21*$C$7,2))</f>
        <v/>
      </c>
      <c r="K21" s="15" t="str">
        <f>IF(ISERROR('4.エネルギー使用量'!$H$52/1000*$C$21*$E$21*$E$7),"",ROUND('4.エネルギー使用量'!$H$52/1000*$C$21*$E$21*$E$7,2))</f>
        <v/>
      </c>
      <c r="N21" s="82" t="s">
        <v>364</v>
      </c>
      <c r="O21" s="82">
        <v>400</v>
      </c>
      <c r="P21" s="82">
        <v>500</v>
      </c>
      <c r="Q21" s="8"/>
      <c r="R21" s="76" t="s">
        <v>164</v>
      </c>
      <c r="S21" s="69"/>
      <c r="T21" s="69"/>
      <c r="U21" s="69"/>
    </row>
    <row r="22" spans="2:30" ht="19.2" x14ac:dyDescent="0.55000000000000004">
      <c r="N22" s="82" t="s">
        <v>113</v>
      </c>
      <c r="O22" s="82">
        <v>1000</v>
      </c>
      <c r="P22" s="82">
        <v>900</v>
      </c>
      <c r="Q22" s="8"/>
      <c r="R22" s="76" t="s">
        <v>165</v>
      </c>
      <c r="S22" s="69"/>
      <c r="T22" s="69"/>
      <c r="U22" s="69"/>
    </row>
    <row r="23" spans="2:30" ht="19.8" thickBot="1" x14ac:dyDescent="0.6">
      <c r="B23" s="10" t="s">
        <v>54</v>
      </c>
      <c r="C23" s="10" t="s">
        <v>53</v>
      </c>
      <c r="N23" s="82" t="s">
        <v>112</v>
      </c>
      <c r="O23" s="82">
        <v>1000</v>
      </c>
      <c r="P23" s="82">
        <v>500</v>
      </c>
      <c r="Q23" s="8"/>
      <c r="R23" s="76" t="s">
        <v>166</v>
      </c>
      <c r="S23" s="69"/>
      <c r="T23" s="69"/>
      <c r="U23" s="69" t="s">
        <v>278</v>
      </c>
    </row>
    <row r="24" spans="2:30" ht="19.2" x14ac:dyDescent="0.55000000000000004">
      <c r="B24" s="10" t="s">
        <v>52</v>
      </c>
      <c r="C24" s="14">
        <f>1/502</f>
        <v>1.9920318725099601E-3</v>
      </c>
      <c r="D24" s="10" t="s">
        <v>46</v>
      </c>
      <c r="I24" s="128" t="s">
        <v>339</v>
      </c>
      <c r="J24" s="21" t="s">
        <v>23</v>
      </c>
      <c r="K24" s="20" t="s">
        <v>22</v>
      </c>
      <c r="N24" s="82" t="s">
        <v>371</v>
      </c>
      <c r="O24" s="82">
        <v>800</v>
      </c>
      <c r="P24" s="82">
        <v>400</v>
      </c>
      <c r="Q24" s="8"/>
      <c r="R24" s="76" t="s">
        <v>153</v>
      </c>
      <c r="S24" s="69"/>
      <c r="T24" s="69"/>
    </row>
    <row r="25" spans="2:30" x14ac:dyDescent="0.55000000000000004">
      <c r="B25" s="10" t="s">
        <v>51</v>
      </c>
      <c r="C25" s="14">
        <f>1/355</f>
        <v>2.8169014084507044E-3</v>
      </c>
      <c r="D25" s="10" t="s">
        <v>46</v>
      </c>
      <c r="I25" s="128" t="s">
        <v>245</v>
      </c>
      <c r="J25" s="24" t="str">
        <f>IF(ISERROR('4.エネルギー使用量'!$H$65/1000*$C$4*$C$7),"",ROUND('4.エネルギー使用量'!$H$65/1000*$C$4*$C$7,2))</f>
        <v/>
      </c>
      <c r="K25" s="18" t="str">
        <f>IF(ISERROR('4.エネルギー使用量'!$H$65/1000*$C$4*$E$4),"",ROUND('4.エネルギー使用量'!$H$65/1000*$C$4*$E$4,2))</f>
        <v/>
      </c>
      <c r="N25" s="82" t="s">
        <v>363</v>
      </c>
      <c r="O25" s="82">
        <v>800</v>
      </c>
      <c r="P25" s="82">
        <v>400</v>
      </c>
      <c r="Q25" s="8"/>
      <c r="R25" s="8"/>
    </row>
    <row r="26" spans="2:30" x14ac:dyDescent="0.55000000000000004">
      <c r="B26" s="10" t="s">
        <v>50</v>
      </c>
      <c r="C26" s="14">
        <f>1/458</f>
        <v>2.1834061135371178E-3</v>
      </c>
      <c r="D26" s="10" t="s">
        <v>46</v>
      </c>
      <c r="I26" s="128" t="s">
        <v>246</v>
      </c>
      <c r="J26" s="24" t="str">
        <f>IF(ISERROR('4.エネルギー使用量'!$H$65/1000*$C$5*$C$7),"",ROUND('4.エネルギー使用量'!$H$65/1000*$C$5*$C$7,2))</f>
        <v/>
      </c>
      <c r="K26" s="18" t="str">
        <f>IF(ISERROR('4.エネルギー使用量'!$H$65/1000*$C$5*$E$5),"",ROUND('4.エネルギー使用量'!$H$65/1000*$C$5*$E$5,2))</f>
        <v/>
      </c>
      <c r="N26" s="82" t="s">
        <v>111</v>
      </c>
      <c r="O26" s="82">
        <v>800</v>
      </c>
      <c r="P26" s="82">
        <v>400</v>
      </c>
      <c r="Q26" s="8"/>
    </row>
    <row r="27" spans="2:30" x14ac:dyDescent="0.55000000000000004">
      <c r="B27" s="10" t="s">
        <v>49</v>
      </c>
      <c r="C27" s="14">
        <f>1/1220</f>
        <v>8.1967213114754098E-4</v>
      </c>
      <c r="D27" s="10" t="s">
        <v>46</v>
      </c>
      <c r="E27" s="11">
        <f>C33/C32</f>
        <v>1208.955223880597</v>
      </c>
      <c r="F27" s="10" t="s">
        <v>45</v>
      </c>
      <c r="I27" s="128" t="s">
        <v>247</v>
      </c>
      <c r="J27" s="24" t="str">
        <f>IF(ISERROR('4.エネルギー使用量'!$H$65/1000*$C$6*$C$7),"",ROUND('4.エネルギー使用量'!$H$65/1000*$C$6*$C$7,2))</f>
        <v/>
      </c>
      <c r="K27" s="18" t="str">
        <f>IF(ISERROR('4.エネルギー使用量'!$H$65/1000*$C$6*$E$6),"",ROUND('4.エネルギー使用量'!$H$65/1000*$C$6*$E$6,2))</f>
        <v/>
      </c>
      <c r="N27" s="8"/>
      <c r="O27" s="8"/>
      <c r="P27" s="8"/>
      <c r="Q27" s="8"/>
    </row>
    <row r="28" spans="2:30" ht="19.2" x14ac:dyDescent="0.55000000000000004">
      <c r="B28" s="10" t="s">
        <v>48</v>
      </c>
      <c r="C28" s="14">
        <f>1/E28</f>
        <v>4.557823129251701E-4</v>
      </c>
      <c r="D28" s="10" t="s">
        <v>46</v>
      </c>
      <c r="E28" s="11">
        <f>C31/C32*1000</f>
        <v>2194.0298507462685</v>
      </c>
      <c r="F28" s="10" t="s">
        <v>45</v>
      </c>
      <c r="I28" s="128" t="s">
        <v>241</v>
      </c>
      <c r="J28" s="19" t="str">
        <f>IF(ISERROR('4.エネルギー使用量'!$H$65/1000*$C$18*$C$7),"",ROUND('4.エネルギー使用量'!$H$65/1000*$C$18*$C$7,2))</f>
        <v/>
      </c>
      <c r="K28" s="18" t="str">
        <f>IF(ISERROR('4.エネルギー使用量'!$H$65/1000*$C$18*$E$18*$E$7),"",ROUND('4.エネルギー使用量'!$H$65/1000*$C$18*$E$18*$E$7,2))</f>
        <v/>
      </c>
      <c r="N28" s="35"/>
      <c r="O28" s="35"/>
      <c r="P28" s="204" t="s">
        <v>210</v>
      </c>
      <c r="Q28" s="205"/>
      <c r="R28" s="205"/>
      <c r="S28" s="205"/>
      <c r="T28" s="205"/>
      <c r="U28" s="205"/>
      <c r="V28" s="205"/>
      <c r="W28" s="205"/>
      <c r="X28" s="205"/>
      <c r="Y28" s="205"/>
      <c r="Z28" s="205"/>
      <c r="AA28" s="205"/>
      <c r="AB28" s="205"/>
      <c r="AC28" s="205"/>
      <c r="AD28" s="206"/>
    </row>
    <row r="29" spans="2:30" ht="19.2" x14ac:dyDescent="0.55000000000000004">
      <c r="I29" s="128" t="s">
        <v>242</v>
      </c>
      <c r="J29" s="19" t="str">
        <f>IF(ISERROR('4.エネルギー使用量'!$H$65/1000*$C$19*$C$7),"",ROUND('4.エネルギー使用量'!$H$65/1000*$C$19*$C$7,2))</f>
        <v/>
      </c>
      <c r="K29" s="18" t="str">
        <f>IF(ISERROR('4.エネルギー使用量'!$H$65/1000*$C$19*$E$19*$E$7),"",ROUND('4.エネルギー使用量'!$H$65/1000*$C$19*$E$19*$E$7,2))</f>
        <v/>
      </c>
      <c r="N29" s="35"/>
      <c r="O29" s="35"/>
      <c r="P29" s="207" t="s">
        <v>213</v>
      </c>
      <c r="Q29" s="207"/>
      <c r="R29" s="207"/>
      <c r="S29" s="207" t="s">
        <v>212</v>
      </c>
      <c r="T29" s="207"/>
      <c r="U29" s="207"/>
      <c r="V29" s="207" t="s">
        <v>125</v>
      </c>
      <c r="W29" s="207"/>
      <c r="X29" s="207"/>
      <c r="Y29" s="207" t="s">
        <v>126</v>
      </c>
      <c r="Z29" s="207"/>
      <c r="AA29" s="207"/>
      <c r="AB29" s="207" t="s">
        <v>127</v>
      </c>
      <c r="AC29" s="207"/>
      <c r="AD29" s="207"/>
    </row>
    <row r="30" spans="2:30" ht="19.2" x14ac:dyDescent="0.55000000000000004">
      <c r="B30" s="10" t="s">
        <v>47</v>
      </c>
      <c r="I30" s="128" t="s">
        <v>243</v>
      </c>
      <c r="J30" s="19" t="str">
        <f>IF(ISERROR('4.エネルギー使用量'!$H$65/1000*$C$20*$C$7),"",ROUND('4.エネルギー使用量'!$H$65/1000*$C$20*$C$7,2))</f>
        <v/>
      </c>
      <c r="K30" s="18" t="str">
        <f>IF(ISERROR('4.エネルギー使用量'!$H$65/1000*$C$20*$E$20*$E$7),"",ROUND('4.エネルギー使用量'!$H$65/1000*$C$20*$E$20*$E$7,2))</f>
        <v/>
      </c>
      <c r="N30" s="35"/>
      <c r="O30" s="35"/>
      <c r="P30" s="74" t="s">
        <v>109</v>
      </c>
      <c r="Q30" s="74" t="s">
        <v>108</v>
      </c>
      <c r="R30" s="74" t="s">
        <v>107</v>
      </c>
      <c r="S30" s="74" t="s">
        <v>109</v>
      </c>
      <c r="T30" s="74" t="s">
        <v>108</v>
      </c>
      <c r="U30" s="74" t="s">
        <v>107</v>
      </c>
      <c r="V30" s="74" t="s">
        <v>109</v>
      </c>
      <c r="W30" s="74" t="s">
        <v>108</v>
      </c>
      <c r="X30" s="74" t="s">
        <v>107</v>
      </c>
      <c r="Y30" s="74" t="s">
        <v>109</v>
      </c>
      <c r="Z30" s="74" t="s">
        <v>108</v>
      </c>
      <c r="AA30" s="74" t="s">
        <v>107</v>
      </c>
      <c r="AB30" s="74" t="s">
        <v>109</v>
      </c>
      <c r="AC30" s="74" t="s">
        <v>108</v>
      </c>
      <c r="AD30" s="74" t="s">
        <v>107</v>
      </c>
    </row>
    <row r="31" spans="2:30" ht="19.8" thickBot="1" x14ac:dyDescent="0.6">
      <c r="C31" s="12">
        <f>147000</f>
        <v>147000</v>
      </c>
      <c r="D31" s="10" t="s">
        <v>45</v>
      </c>
      <c r="I31" s="128" t="s">
        <v>244</v>
      </c>
      <c r="J31" s="16" t="str">
        <f>IF(ISERROR('4.エネルギー使用量'!$H$65/1000*$C$21*$C$7),"",ROUND('4.エネルギー使用量'!$H$65/1000*$C$21*$C$7,2))</f>
        <v/>
      </c>
      <c r="K31" s="15" t="str">
        <f>IF(ISERROR('4.エネルギー使用量'!$H$65/1000*$C$21*$E$21*$E$7),"",ROUND('4.エネルギー使用量'!$H$65/1000*$C$21*$E$21*$E$7,2))</f>
        <v/>
      </c>
      <c r="N31" s="125" t="s">
        <v>168</v>
      </c>
      <c r="O31" s="56" t="str">
        <f>IF(AND('2-3.設備仕様入力'!D$95="電気",'2-3.設備仕様入力'!D$101="kW"),1,IF(AND('2-3.設備仕様入力'!D$95="都市ガス",'2-3.設備仕様入力'!D$101="kW"),2,IF(AND('2-3.設備仕様入力'!D$95="都市ガス",'2-3.設備仕様入力'!D$101="ｍ3N/h"),3,IF(AND('2-3.設備仕様入力'!D$95="LPG",'2-3.設備仕様入力'!D$101="kW"),4,IF(AND('2-3.設備仕様入力'!D$95="LPG",'2-3.設備仕様入力'!D$101="kg/h"),5,"")))))</f>
        <v/>
      </c>
      <c r="P31" s="71" t="str">
        <f>IF(OR('2-3.設備仕様入力'!$D$90="電気式パッケージ形空調機",'2-3.設備仕様入力'!$D$90="ルームエアコン"),ROUND('2-3.設備仕様入力'!$D$99*'2-3.設備仕様入力'!$D$94*計算!$C$3*VLOOKUP('2-3.設備仕様入力'!$D$96,計算!$N$16:$P$26,2,FALSE)/1000,1),"")</f>
        <v/>
      </c>
      <c r="Q31" s="71" t="str">
        <f>IF(OR('2-3.設備仕様入力'!$D$90="電気式パッケージ形空調機",'2-3.設備仕様入力'!$D$90="ルームエアコン"),ROUND('2-3.設備仕様入力'!$D$100*'2-3.設備仕様入力'!$D$94*計算!$C$3*VLOOKUP('2-3.設備仕様入力'!$D$96,計算!$N$16:$P$26,3,FALSE)/1000,1),"")</f>
        <v/>
      </c>
      <c r="R31" s="71" t="str">
        <f t="shared" ref="R31:R40" si="0">IF(AND(P31="",Q31=""),"",P31+Q31)</f>
        <v/>
      </c>
      <c r="S31" s="71" t="str">
        <f>IF('2-3.設備仕様入力'!$D$90="ガスヒートポンプ式空調機",IF('2-3.設備仕様入力'!$D$95="都市ガス",IF('2-3.設備仕様入力'!$D$101="kW",ROUND('2-3.設備仕様入力'!$D$94*'2-3.設備仕様入力'!$D$99*3.6/1000*VLOOKUP('2-3.設備仕様入力'!$D$96,計算!$N$16:$P$26,2,FALSE),1),""),""),"")</f>
        <v/>
      </c>
      <c r="T31" s="71" t="str">
        <f>IF('2-3.設備仕様入力'!$D$90="ガスヒートポンプ式空調機",IF('2-3.設備仕様入力'!$D$95="都市ガス",IF('2-3.設備仕様入力'!$D$101="kW",ROUND('2-3.設備仕様入力'!$D$94*'2-3.設備仕様入力'!$D$100*3.6/1000*VLOOKUP('2-3.設備仕様入力'!$D$96,計算!$N$16:$P$26,3,FALSE),1),""),""),"")</f>
        <v/>
      </c>
      <c r="U31" s="71" t="str">
        <f t="shared" ref="U31:U40" si="1">IF(AND(S31="",T31=""),"",S31+T31)</f>
        <v/>
      </c>
      <c r="V31" s="71" t="str">
        <f>IF('2-3.設備仕様入力'!$D$90="ガスヒートポンプ式空調機",IF('2-3.設備仕様入力'!$D$101="ｍ3N/h",ROUND('2-3.設備仕様入力'!$D$94*'2-3.設備仕様入力'!$D$99*計算!$C$10/1000*VLOOKUP('2-3.設備仕様入力'!$D$96,計算!$N$16:$P$26,2,FALSE),1),""),"")</f>
        <v/>
      </c>
      <c r="W31" s="71" t="str">
        <f>IF('2-3.設備仕様入力'!$D$90="ガスヒートポンプ式空調機",IF('2-3.設備仕様入力'!$D$101="ｍ3N/h",ROUND('2-3.設備仕様入力'!$D$94*'2-3.設備仕様入力'!$D$100*計算!$C$10/1000*VLOOKUP('2-3.設備仕様入力'!$D$96,計算!$N$16:$P$26,3,FALSE),1),""),"")</f>
        <v/>
      </c>
      <c r="X31" s="71" t="str">
        <f t="shared" ref="X31:X40" si="2">IF(AND(V31="",W31=""),"",V31+W31)</f>
        <v/>
      </c>
      <c r="Y31" s="71" t="str">
        <f>IF('2-3.設備仕様入力'!$D$90="ガスヒートポンプ式空調機",IF('2-3.設備仕様入力'!$D$95="LPG",IF('2-3.設備仕様入力'!$D$101="kW",ROUND('2-3.設備仕様入力'!$D$94*'2-3.設備仕様入力'!$D$99*3.6/1000*VLOOKUP('2-3.設備仕様入力'!$D$96,計算!$N$16:$P$26,2,FALSE),1),""),""),"")</f>
        <v/>
      </c>
      <c r="Z31" s="71" t="str">
        <f>IF('2-3.設備仕様入力'!$D$90="ガスヒートポンプ式空調機",IF('2-3.設備仕様入力'!$D$95="LPG",IF('2-3.設備仕様入力'!$D$101="kW",ROUND('2-3.設備仕様入力'!$D$94*'2-3.設備仕様入力'!$D$100*3.6/1000*VLOOKUP('2-3.設備仕様入力'!$D$96,計算!$N$16:$P$26,3,FALSE),1),""),""),"")</f>
        <v/>
      </c>
      <c r="AA31" s="71" t="str">
        <f t="shared" ref="AA31:AA40" si="3">IF(AND(Y31="",Z31=""),"",Y31+Z31)</f>
        <v/>
      </c>
      <c r="AB31" s="71" t="str">
        <f>IF('2-3.設備仕様入力'!$D$90="ガスヒートポンプ式空調機",IF('2-3.設備仕様入力'!$D$95="LPG",IF('2-3.設備仕様入力'!$D$101="kg/h",ROUND('2-3.設備仕様入力'!$D$94*'2-3.設備仕様入力'!$D$99*計算!$C$11/1000*VLOOKUP('2-3.設備仕様入力'!$D$96,計算!$N$16:$P$26,2,FALSE),1),""),""),"")</f>
        <v/>
      </c>
      <c r="AC31" s="71" t="str">
        <f>IF('2-3.設備仕様入力'!$D$90="ガスヒートポンプ式空調機",IF('2-3.設備仕様入力'!$D$95="LPG",IF('2-3.設備仕様入力'!$D$101="kg/h",ROUND('2-3.設備仕様入力'!$D$94*'2-3.設備仕様入力'!$D$100*計算!$C$11/1000*VLOOKUP('2-3.設備仕様入力'!$D$96,計算!$N$16:$P$26,3,FALSE),1),""),""),"")</f>
        <v/>
      </c>
      <c r="AD31" s="71" t="str">
        <f t="shared" ref="AD31:AD40" si="4">IF(AND(AB31="",AC31=""),"",AB31+AC31)</f>
        <v/>
      </c>
    </row>
    <row r="32" spans="2:30" ht="19.8" thickBot="1" x14ac:dyDescent="0.6">
      <c r="C32" s="12">
        <f>67000</f>
        <v>67000</v>
      </c>
      <c r="D32" s="10" t="s">
        <v>46</v>
      </c>
      <c r="N32" s="125" t="s">
        <v>128</v>
      </c>
      <c r="O32" s="56" t="str">
        <f>IF(AND('2-3.設備仕様入力'!E$95="電気",'2-3.設備仕様入力'!E$101="kW"),1,IF(AND('2-3.設備仕様入力'!E$95="都市ガス",'2-3.設備仕様入力'!E$101="kW"),2,IF(AND('2-3.設備仕様入力'!E$95="都市ガス",'2-3.設備仕様入力'!E$101="ｍ3N/h"),3,IF(AND('2-3.設備仕様入力'!E$95="LPG",'2-3.設備仕様入力'!E$101="kW"),4,IF(AND('2-3.設備仕様入力'!E$95="LPG",'2-3.設備仕様入力'!E$101="kg/h"),5,"")))))</f>
        <v/>
      </c>
      <c r="P32" s="71" t="str">
        <f>IF(OR('2-3.設備仕様入力'!$E$90="電気式パッケージ形空調機",'2-3.設備仕様入力'!$E$90="ルームエアコン"),ROUND('2-3.設備仕様入力'!$E$99*'2-3.設備仕様入力'!$E$94*計算!$C$3*VLOOKUP('2-3.設備仕様入力'!$E$96,計算!$N$16:$P$26,2,FALSE)/1000,1),"")</f>
        <v/>
      </c>
      <c r="Q32" s="71" t="str">
        <f>IF(OR('2-3.設備仕様入力'!$E$90="電気式パッケージ形空調機",'2-3.設備仕様入力'!$E$90="ルームエアコン"),ROUND('2-3.設備仕様入力'!$E$100*'2-3.設備仕様入力'!$E$94*計算!$C$3*VLOOKUP('2-3.設備仕様入力'!$E$96,計算!$N$16:$P$26,3,FALSE)/1000,1),"")</f>
        <v/>
      </c>
      <c r="R32" s="71" t="str">
        <f t="shared" si="0"/>
        <v/>
      </c>
      <c r="S32" s="71" t="str">
        <f>IF('2-3.設備仕様入力'!$E$90="ガスヒートポンプ式空調機",IF('2-3.設備仕様入力'!$E$95="都市ガス",IF('2-3.設備仕様入力'!$E$101="kW",ROUND('2-3.設備仕様入力'!$E$94*'2-3.設備仕様入力'!$E$99*3.6/1000*VLOOKUP('2-3.設備仕様入力'!$E$96,計算!$N$16:$P$26,2,FALSE),1),""),""),"")</f>
        <v/>
      </c>
      <c r="T32" s="71" t="str">
        <f>IF('2-3.設備仕様入力'!$E$90="ガスヒートポンプ式空調機",IF('2-3.設備仕様入力'!$E$95="都市ガス",IF('2-3.設備仕様入力'!$E$101="kW",ROUND('2-3.設備仕様入力'!$E$94*'2-3.設備仕様入力'!$E$100*3.6/1000*VLOOKUP('2-3.設備仕様入力'!$E$96,計算!$N$16:$P$26,3,FALSE),1),""),""),"")</f>
        <v/>
      </c>
      <c r="U32" s="71" t="str">
        <f t="shared" si="1"/>
        <v/>
      </c>
      <c r="V32" s="71" t="str">
        <f>IF('2-3.設備仕様入力'!$E$90="ガスヒートポンプ式空調機",IF('2-3.設備仕様入力'!$E$101="ｍ3N/h",ROUND('2-3.設備仕様入力'!$E$94*'2-3.設備仕様入力'!$E$99*計算!$C$10/1000*VLOOKUP('2-3.設備仕様入力'!$E$96,計算!$N$16:$P$26,2,FALSE),1),""),"")</f>
        <v/>
      </c>
      <c r="W32" s="71" t="str">
        <f>IF('2-3.設備仕様入力'!$E$90="ガスヒートポンプ式空調機",IF('2-3.設備仕様入力'!$E$101="ｍ3N/h",ROUND('2-3.設備仕様入力'!$E$94*'2-3.設備仕様入力'!$E$100*計算!$C$10/1000*VLOOKUP('2-3.設備仕様入力'!$E$96,計算!$N$16:$P$26,3,FALSE),1),""),"")</f>
        <v/>
      </c>
      <c r="X32" s="71" t="str">
        <f t="shared" si="2"/>
        <v/>
      </c>
      <c r="Y32" s="71" t="str">
        <f>IF('2-3.設備仕様入力'!$E$90="ガスヒートポンプ式空調機",IF('2-3.設備仕様入力'!$E$95="LPG",IF('2-3.設備仕様入力'!$E$101="kW",ROUND('2-3.設備仕様入力'!$E$94*'2-3.設備仕様入力'!$E$99*3.6/1000*VLOOKUP('2-3.設備仕様入力'!$E$96,計算!$N$16:$P$26,2,FALSE),1),""),""),"")</f>
        <v/>
      </c>
      <c r="Z32" s="71" t="str">
        <f>IF('2-3.設備仕様入力'!$E$90="ガスヒートポンプ式空調機",IF('2-3.設備仕様入力'!$E$95="LPG",IF('2-3.設備仕様入力'!$E$101="kW",ROUND('2-3.設備仕様入力'!$E$94*'2-3.設備仕様入力'!$E$100*3.6/1000*VLOOKUP('2-3.設備仕様入力'!$E$96,計算!$N$16:$P$26,3,FALSE),1),""),""),"")</f>
        <v/>
      </c>
      <c r="AA32" s="71" t="str">
        <f t="shared" si="3"/>
        <v/>
      </c>
      <c r="AB32" s="71" t="str">
        <f>IF('2-3.設備仕様入力'!$E$90="ガスヒートポンプ式空調機",IF('2-3.設備仕様入力'!$E$95="LPG",IF('2-3.設備仕様入力'!$E$101="kg/h",ROUND('2-3.設備仕様入力'!$E$94*'2-3.設備仕様入力'!$E$99*計算!$C$11/1000*VLOOKUP('2-3.設備仕様入力'!$E$96,計算!$N$16:$P$26,2,FALSE),1),""),""),"")</f>
        <v/>
      </c>
      <c r="AC32" s="71" t="str">
        <f>IF('2-3.設備仕様入力'!$E$90="ガスヒートポンプ式空調機",IF('2-3.設備仕様入力'!$E$95="LPG",IF('2-3.設備仕様入力'!$E$101="kg/h",ROUND('2-3.設備仕様入力'!$E$94*'2-3.設備仕様入力'!$E$100*計算!$C$11/1000*VLOOKUP('2-3.設備仕様入力'!$E$96,計算!$N$16:$P$26,3,FALSE),1),""),""),"")</f>
        <v/>
      </c>
      <c r="AD32" s="71" t="str">
        <f t="shared" si="4"/>
        <v/>
      </c>
    </row>
    <row r="33" spans="3:30" ht="19.2" x14ac:dyDescent="0.55000000000000004">
      <c r="C33" s="12">
        <f>81000000</f>
        <v>81000000</v>
      </c>
      <c r="D33" s="10" t="s">
        <v>45</v>
      </c>
      <c r="E33" s="11">
        <f>C33/C31</f>
        <v>551.0204081632653</v>
      </c>
      <c r="F33" s="10" t="s">
        <v>44</v>
      </c>
      <c r="I33" s="128" t="s">
        <v>341</v>
      </c>
      <c r="J33" s="21" t="s">
        <v>23</v>
      </c>
      <c r="K33" s="20" t="s">
        <v>22</v>
      </c>
      <c r="N33" s="125" t="s">
        <v>129</v>
      </c>
      <c r="O33" s="56" t="str">
        <f>IF(AND('2-3.設備仕様入力'!F$95="電気",'2-3.設備仕様入力'!F$101="kW"),1,IF(AND('2-3.設備仕様入力'!F$95="都市ガス",'2-3.設備仕様入力'!F$101="kW"),2,IF(AND('2-3.設備仕様入力'!F$95="都市ガス",'2-3.設備仕様入力'!F$101="ｍ3N/h"),3,IF(AND('2-3.設備仕様入力'!F$95="LPG",'2-3.設備仕様入力'!F$101="kW"),4,IF(AND('2-3.設備仕様入力'!F$95="LPG",'2-3.設備仕様入力'!F$101="kg/h"),5,"")))))</f>
        <v/>
      </c>
      <c r="P33" s="71" t="str">
        <f>IF(OR('2-3.設備仕様入力'!$F$90="電気式パッケージ形空調機",'2-3.設備仕様入力'!$F$90="ルームエアコン"),ROUND('2-3.設備仕様入力'!$F$99*'2-3.設備仕様入力'!$F$94*計算!$C$3*VLOOKUP('2-3.設備仕様入力'!$F$96,計算!$N$16:$P$26,2,FALSE)/1000,1),"")</f>
        <v/>
      </c>
      <c r="Q33" s="71" t="str">
        <f>IF(OR('2-3.設備仕様入力'!$F$90="電気式パッケージ形空調機",'2-3.設備仕様入力'!$F$90="ルームエアコン"),ROUND('2-3.設備仕様入力'!$F$100*'2-3.設備仕様入力'!$F$94*計算!$C$3*VLOOKUP('2-3.設備仕様入力'!$F$96,計算!$N$16:$P$26,3,FALSE)/1000,1),"")</f>
        <v/>
      </c>
      <c r="R33" s="71" t="str">
        <f t="shared" si="0"/>
        <v/>
      </c>
      <c r="S33" s="71" t="str">
        <f>IF('2-3.設備仕様入力'!$F$90="ガスヒートポンプ式空調機",IF('2-3.設備仕様入力'!$F$95="都市ガス",IF('2-3.設備仕様入力'!$F$101="kW",ROUND('2-3.設備仕様入力'!$F$94*'2-3.設備仕様入力'!$F$99*3.6/1000*VLOOKUP('2-3.設備仕様入力'!$F$96,計算!$N$16:$P$26,2,FALSE),1),""),""),"")</f>
        <v/>
      </c>
      <c r="T33" s="71" t="str">
        <f>IF('2-3.設備仕様入力'!$F$90="ガスヒートポンプ式空調機",IF('2-3.設備仕様入力'!$F$95="都市ガス",IF('2-3.設備仕様入力'!$F$101="kW",ROUND('2-3.設備仕様入力'!$F$94*'2-3.設備仕様入力'!$F$100*3.6/1000*VLOOKUP('2-3.設備仕様入力'!$F$96,計算!$N$16:$P$26,3,FALSE),1),""),""),"")</f>
        <v/>
      </c>
      <c r="U33" s="71" t="str">
        <f t="shared" si="1"/>
        <v/>
      </c>
      <c r="V33" s="71" t="str">
        <f>IF('2-3.設備仕様入力'!$F$90="ガスヒートポンプ式空調機",IF('2-3.設備仕様入力'!$F$101="ｍ3N/h",ROUND('2-3.設備仕様入力'!$F$94*'2-3.設備仕様入力'!$F$99*計算!$C$10/1000*VLOOKUP('2-3.設備仕様入力'!$F$96,計算!$N$16:$P$26,2,FALSE),1),""),"")</f>
        <v/>
      </c>
      <c r="W33" s="71" t="str">
        <f>IF('2-3.設備仕様入力'!$F$90="ガスヒートポンプ式空調機",IF('2-3.設備仕様入力'!$F$101="ｍ3N/h",ROUND('2-3.設備仕様入力'!$F$94*'2-3.設備仕様入力'!$F$100*計算!$C$10/1000*VLOOKUP('2-3.設備仕様入力'!$F$96,計算!$N$16:$P$26,3,FALSE),1),""),"")</f>
        <v/>
      </c>
      <c r="X33" s="71" t="str">
        <f t="shared" si="2"/>
        <v/>
      </c>
      <c r="Y33" s="71" t="str">
        <f>IF('2-3.設備仕様入力'!$F$90="ガスヒートポンプ式空調機",IF('2-3.設備仕様入力'!$F$95="LPG",IF('2-3.設備仕様入力'!$F$101="kW",ROUND('2-3.設備仕様入力'!$F$94*'2-3.設備仕様入力'!$F$99*3.6/1000*VLOOKUP('2-3.設備仕様入力'!$F$96,計算!$N$16:$P$26,2,FALSE),1),""),""),"")</f>
        <v/>
      </c>
      <c r="Z33" s="71" t="str">
        <f>IF('2-3.設備仕様入力'!$F$90="ガスヒートポンプ式空調機",IF('2-3.設備仕様入力'!$F$95="LPG",IF('2-3.設備仕様入力'!$F$101="kW",ROUND('2-3.設備仕様入力'!$F$94*'2-3.設備仕様入力'!$F$100*3.6/1000*VLOOKUP('2-3.設備仕様入力'!$F$96,計算!$N$16:$P$26,3,FALSE),1),""),""),"")</f>
        <v/>
      </c>
      <c r="AA33" s="71" t="str">
        <f t="shared" si="3"/>
        <v/>
      </c>
      <c r="AB33" s="71" t="str">
        <f>IF('2-3.設備仕様入力'!$F$90="ガスヒートポンプ式空調機",IF('2-3.設備仕様入力'!$F$95="LPG",IF('2-3.設備仕様入力'!$F$101="kg/h",ROUND('2-3.設備仕様入力'!$F$94*'2-3.設備仕様入力'!$F$99*計算!$C$11/1000*VLOOKUP('2-3.設備仕様入力'!$F$96,計算!$N$16:$P$26,2,FALSE),1),""),""),"")</f>
        <v/>
      </c>
      <c r="AC33" s="71" t="str">
        <f>IF('2-3.設備仕様入力'!$F$90="ガスヒートポンプ式空調機",IF('2-3.設備仕様入力'!$F$95="LPG",IF('2-3.設備仕様入力'!$F$101="kg/h",ROUND('2-3.設備仕様入力'!$F$94*'2-3.設備仕様入力'!$F$100*計算!$C$11/1000*VLOOKUP('2-3.設備仕様入力'!$F$96,計算!$N$16:$P$26,3,FALSE),1),""),""),"")</f>
        <v/>
      </c>
      <c r="AD33" s="71" t="str">
        <f t="shared" si="4"/>
        <v/>
      </c>
    </row>
    <row r="34" spans="3:30" ht="19.2" x14ac:dyDescent="0.55000000000000004">
      <c r="I34" s="128" t="s">
        <v>245</v>
      </c>
      <c r="J34" s="24" t="str">
        <f>IF(ISERROR('4.エネルギー使用量'!$H$78/1000*$C$4*$C$7),"",ROUND('4.エネルギー使用量'!$H$78/1000*$C$4*$C$7,2))</f>
        <v/>
      </c>
      <c r="K34" s="18" t="str">
        <f>IF(ISERROR('4.エネルギー使用量'!$H$78/1000*$C$4*$E$4),"",ROUND('4.エネルギー使用量'!$H$78/1000*$C$4*$E$4,2))</f>
        <v/>
      </c>
      <c r="N34" s="125" t="s">
        <v>130</v>
      </c>
      <c r="O34" s="56" t="str">
        <f>IF(AND('2-3.設備仕様入力'!G$95="電気",'2-3.設備仕様入力'!G$101="kW"),1,IF(AND('2-3.設備仕様入力'!G$95="都市ガス",'2-3.設備仕様入力'!G$101="kW"),2,IF(AND('2-3.設備仕様入力'!G$95="都市ガス",'2-3.設備仕様入力'!G$101="ｍ3N/h"),3,IF(AND('2-3.設備仕様入力'!G$95="LPG",'2-3.設備仕様入力'!G$101="kW"),4,IF(AND('2-3.設備仕様入力'!G$95="LPG",'2-3.設備仕様入力'!G$101="kg/h"),5,"")))))</f>
        <v/>
      </c>
      <c r="P34" s="71" t="str">
        <f>IF(OR('2-3.設備仕様入力'!$G$90="電気式パッケージ形空調機",'2-3.設備仕様入力'!$G$90="ルームエアコン"),ROUND('2-3.設備仕様入力'!$G$99*'2-3.設備仕様入力'!$G$94*計算!$C$3*VLOOKUP('2-3.設備仕様入力'!$G$96,計算!$N$16:$P$26,2,FALSE)/1000,1),"")</f>
        <v/>
      </c>
      <c r="Q34" s="71" t="str">
        <f>IF(OR('2-3.設備仕様入力'!$G$90="電気式パッケージ形空調機",'2-3.設備仕様入力'!$G$90="ルームエアコン"),ROUND('2-3.設備仕様入力'!$G$100*'2-3.設備仕様入力'!$G$94*計算!$C$3*VLOOKUP('2-3.設備仕様入力'!$G$96,計算!$N$16:$P$26,3,FALSE)/1000,1),"")</f>
        <v/>
      </c>
      <c r="R34" s="71" t="str">
        <f t="shared" si="0"/>
        <v/>
      </c>
      <c r="S34" s="71" t="str">
        <f>IF('2-3.設備仕様入力'!$G$90="ガスヒートポンプ式空調機",IF('2-3.設備仕様入力'!$G$95="都市ガス",IF('2-3.設備仕様入力'!$G$101="kW",ROUND('2-3.設備仕様入力'!$G$94*'2-3.設備仕様入力'!$G$99*3.6/1000*VLOOKUP('2-3.設備仕様入力'!$G$96,計算!$N$16:$P$26,2,FALSE),1),""),""),"")</f>
        <v/>
      </c>
      <c r="T34" s="71" t="str">
        <f>IF('2-3.設備仕様入力'!$G$90="ガスヒートポンプ式空調機",IF('2-3.設備仕様入力'!$G$95="都市ガス",IF('2-3.設備仕様入力'!$G$101="kW",ROUND('2-3.設備仕様入力'!$G$94*'2-3.設備仕様入力'!$G$100*3.6/1000*VLOOKUP('2-3.設備仕様入力'!$G$96,計算!$N$16:$P$26,3,FALSE),1),""),""),"")</f>
        <v/>
      </c>
      <c r="U34" s="71" t="str">
        <f t="shared" si="1"/>
        <v/>
      </c>
      <c r="V34" s="71" t="str">
        <f>IF('2-3.設備仕様入力'!$G$90="ガスヒートポンプ式空調機",IF('2-3.設備仕様入力'!$G$101="ｍ3N/h",ROUND('2-3.設備仕様入力'!$G$94*'2-3.設備仕様入力'!$G$99*計算!$C$10/1000*VLOOKUP('2-3.設備仕様入力'!$G$96,計算!$N$16:$P$26,2,FALSE),1),""),"")</f>
        <v/>
      </c>
      <c r="W34" s="71" t="str">
        <f>IF('2-3.設備仕様入力'!$G$90="ガスヒートポンプ式空調機",IF('2-3.設備仕様入力'!$G$101="ｍ3N/h",ROUND('2-3.設備仕様入力'!$G$94*'2-3.設備仕様入力'!$G$100*計算!$C$10/1000*VLOOKUP('2-3.設備仕様入力'!$G$96,計算!$N$16:$P$26,3,FALSE),1),""),"")</f>
        <v/>
      </c>
      <c r="X34" s="71" t="str">
        <f t="shared" si="2"/>
        <v/>
      </c>
      <c r="Y34" s="71" t="str">
        <f>IF('2-3.設備仕様入力'!$G$90="ガスヒートポンプ式空調機",IF('2-3.設備仕様入力'!$G$95="LPG",IF('2-3.設備仕様入力'!$G$101="kW",ROUND('2-3.設備仕様入力'!$G$94*'2-3.設備仕様入力'!$G$99*3.6/1000*VLOOKUP('2-3.設備仕様入力'!$G$96,計算!$N$16:$P$26,2,FALSE),1),""),""),"")</f>
        <v/>
      </c>
      <c r="Z34" s="71" t="str">
        <f>IF('2-3.設備仕様入力'!$G$90="ガスヒートポンプ式空調機",IF('2-3.設備仕様入力'!$G$95="LPG",IF('2-3.設備仕様入力'!$G$101="kW",ROUND('2-3.設備仕様入力'!$G$94*'2-3.設備仕様入力'!$G$100*3.6/1000*VLOOKUP('2-3.設備仕様入力'!$G$96,計算!$N$16:$P$26,3,FALSE),1),""),""),"")</f>
        <v/>
      </c>
      <c r="AA34" s="71" t="str">
        <f t="shared" si="3"/>
        <v/>
      </c>
      <c r="AB34" s="71" t="str">
        <f>IF('2-3.設備仕様入力'!$G$90="ガスヒートポンプ式空調機",IF('2-3.設備仕様入力'!$G$95="LPG",IF('2-3.設備仕様入力'!$G$101="kg/h",ROUND('2-3.設備仕様入力'!$G$94*'2-3.設備仕様入力'!$G$99*計算!$C$11/1000*VLOOKUP('2-3.設備仕様入力'!$G$96,計算!$N$16:$P$26,2,FALSE),1),""),""),"")</f>
        <v/>
      </c>
      <c r="AC34" s="71" t="str">
        <f>IF('2-3.設備仕様入力'!$G$90="ガスヒートポンプ式空調機",IF('2-3.設備仕様入力'!$G$95="LPG",IF('2-3.設備仕様入力'!$G$101="kg/h",ROUND('2-3.設備仕様入力'!$G$94*'2-3.設備仕様入力'!$G$100*計算!$C$11/1000*VLOOKUP('2-3.設備仕様入力'!$G$96,計算!$N$16:$P$26,3,FALSE),1),""),""),"")</f>
        <v/>
      </c>
      <c r="AD34" s="71" t="str">
        <f t="shared" si="4"/>
        <v/>
      </c>
    </row>
    <row r="35" spans="3:30" ht="19.2" x14ac:dyDescent="0.55000000000000004">
      <c r="I35" s="128" t="s">
        <v>246</v>
      </c>
      <c r="J35" s="24" t="str">
        <f>IF(ISERROR('4.エネルギー使用量'!$H$78/1000*$C$5*$C$7),"",ROUND('4.エネルギー使用量'!$H$78/1000*$C$5*$C$7,2))</f>
        <v/>
      </c>
      <c r="K35" s="18" t="str">
        <f>IF(ISERROR('4.エネルギー使用量'!$H$78/1000*$C$5*$E$5),"",ROUND('4.エネルギー使用量'!$H$78/1000*$C$5*$E$5,2))</f>
        <v/>
      </c>
      <c r="N35" s="125" t="s">
        <v>131</v>
      </c>
      <c r="O35" s="56" t="str">
        <f>IF(AND('2-3.設備仕様入力'!H$95="電気",'2-3.設備仕様入力'!H$101="kW"),1,IF(AND('2-3.設備仕様入力'!H$95="都市ガス",'2-3.設備仕様入力'!H$101="kW"),2,IF(AND('2-3.設備仕様入力'!H$95="都市ガス",'2-3.設備仕様入力'!H$101="ｍ3N/h"),3,IF(AND('2-3.設備仕様入力'!H$95="LPG",'2-3.設備仕様入力'!H$101="kW"),4,IF(AND('2-3.設備仕様入力'!H$95="LPG",'2-3.設備仕様入力'!H$101="kg/h"),5,"")))))</f>
        <v/>
      </c>
      <c r="P35" s="71" t="str">
        <f>IF(OR('2-3.設備仕様入力'!$H$90="電気式パッケージ形空調機",'2-3.設備仕様入力'!$H$90="ルームエアコン"),ROUND('2-3.設備仕様入力'!$H$99*'2-3.設備仕様入力'!$H$94*計算!$C$3*VLOOKUP('2-3.設備仕様入力'!$H$96,計算!$N$16:$P$26,2,FALSE)/1000,1),"")</f>
        <v/>
      </c>
      <c r="Q35" s="71" t="str">
        <f>IF(OR('2-3.設備仕様入力'!$H$90="電気式パッケージ形空調機",'2-3.設備仕様入力'!$H$90="ルームエアコン"),ROUND('2-3.設備仕様入力'!$H$100*'2-3.設備仕様入力'!$H$94*計算!$C$3*VLOOKUP('2-3.設備仕様入力'!$H$96,計算!$N$16:$P$26,3,FALSE)/1000,1),"")</f>
        <v/>
      </c>
      <c r="R35" s="71" t="str">
        <f t="shared" si="0"/>
        <v/>
      </c>
      <c r="S35" s="71" t="str">
        <f>IF('2-3.設備仕様入力'!$H$90="ガスヒートポンプ式空調機",IF('2-3.設備仕様入力'!$H$95="都市ガス",IF('2-3.設備仕様入力'!$H$101="kW",ROUND('2-3.設備仕様入力'!$H$94*'2-3.設備仕様入力'!$H$99*3.6/1000*VLOOKUP('2-3.設備仕様入力'!$H$96,計算!$N$16:$P$26,2,FALSE),1),""),""),"")</f>
        <v/>
      </c>
      <c r="T35" s="71" t="str">
        <f>IF('2-3.設備仕様入力'!$H$90="ガスヒートポンプ式空調機",IF('2-3.設備仕様入力'!$H$95="都市ガス",IF('2-3.設備仕様入力'!$H$101="kW",ROUND('2-3.設備仕様入力'!$H$94*'2-3.設備仕様入力'!$H$100*3.6/1000*VLOOKUP('2-3.設備仕様入力'!$H$96,計算!$N$16:$P$26,3,FALSE),1),""),""),"")</f>
        <v/>
      </c>
      <c r="U35" s="71" t="str">
        <f t="shared" si="1"/>
        <v/>
      </c>
      <c r="V35" s="71" t="str">
        <f>IF('2-3.設備仕様入力'!$H$90="ガスヒートポンプ式空調機",IF('2-3.設備仕様入力'!$H$101="ｍ3N/h",ROUND('2-3.設備仕様入力'!$H$94*'2-3.設備仕様入力'!$H$99*計算!$C$10/1000*VLOOKUP('2-3.設備仕様入力'!$H$96,計算!$N$16:$P$26,2,FALSE),1),""),"")</f>
        <v/>
      </c>
      <c r="W35" s="71" t="str">
        <f>IF('2-3.設備仕様入力'!$H$90="ガスヒートポンプ式空調機",IF('2-3.設備仕様入力'!$H$101="ｍ3N/h",ROUND('2-3.設備仕様入力'!$H$94*'2-3.設備仕様入力'!$H$100*計算!$C$10/1000*VLOOKUP('2-3.設備仕様入力'!$H$96,計算!$N$16:$P$26,3,FALSE),1),""),"")</f>
        <v/>
      </c>
      <c r="X35" s="71" t="str">
        <f t="shared" si="2"/>
        <v/>
      </c>
      <c r="Y35" s="71" t="str">
        <f>IF('2-3.設備仕様入力'!$H$90="ガスヒートポンプ式空調機",IF('2-3.設備仕様入力'!$H$95="LPG",IF('2-3.設備仕様入力'!$H$101="kW",ROUND('2-3.設備仕様入力'!$H$94*'2-3.設備仕様入力'!$H$99*3.6/1000*VLOOKUP('2-3.設備仕様入力'!$H$96,計算!$N$16:$P$26,2,FALSE),1),""),""),"")</f>
        <v/>
      </c>
      <c r="Z35" s="71" t="str">
        <f>IF('2-3.設備仕様入力'!$H$90="ガスヒートポンプ式空調機",IF('2-3.設備仕様入力'!$H$95="LPG",IF('2-3.設備仕様入力'!$H$101="kW",ROUND('2-3.設備仕様入力'!$H$94*'2-3.設備仕様入力'!$H$100*3.6/1000*VLOOKUP('2-3.設備仕様入力'!$H$96,計算!$N$16:$P$26,3,FALSE),1),""),""),"")</f>
        <v/>
      </c>
      <c r="AA35" s="71" t="str">
        <f t="shared" si="3"/>
        <v/>
      </c>
      <c r="AB35" s="71" t="str">
        <f>IF('2-3.設備仕様入力'!$H$90="ガスヒートポンプ式空調機",IF('2-3.設備仕様入力'!$H$95="LPG",IF('2-3.設備仕様入力'!$H$101="kg/h",ROUND('2-3.設備仕様入力'!$H$94*'2-3.設備仕様入力'!$H$99*計算!$C$11/1000*VLOOKUP('2-3.設備仕様入力'!$H$96,計算!$N$16:$P$26,2,FALSE),1),""),""),"")</f>
        <v/>
      </c>
      <c r="AC35" s="71" t="str">
        <f>IF('2-3.設備仕様入力'!$H$90="ガスヒートポンプ式空調機",IF('2-3.設備仕様入力'!$H$95="LPG",IF('2-3.設備仕様入力'!$H$101="kg/h",ROUND('2-3.設備仕様入力'!$H$94*'2-3.設備仕様入力'!$H$100*計算!$C$11/1000*VLOOKUP('2-3.設備仕様入力'!$H$96,計算!$N$16:$P$26,3,FALSE),1),""),""),"")</f>
        <v/>
      </c>
      <c r="AD35" s="71" t="str">
        <f t="shared" si="4"/>
        <v/>
      </c>
    </row>
    <row r="36" spans="3:30" ht="19.2" x14ac:dyDescent="0.55000000000000004">
      <c r="I36" s="128" t="s">
        <v>247</v>
      </c>
      <c r="J36" s="24" t="str">
        <f>IF(ISERROR('4.エネルギー使用量'!$H$78/1000*$C$6*$C$7),"",ROUND('4.エネルギー使用量'!$H$78/1000*$C$6*$C$7,2))</f>
        <v/>
      </c>
      <c r="K36" s="18" t="str">
        <f>IF(ISERROR('4.エネルギー使用量'!$H$78/1000*$C$6*$E$6),"",ROUND('4.エネルギー使用量'!$H$78/1000*$C$6*$E$6,2))</f>
        <v/>
      </c>
      <c r="N36" s="125" t="s">
        <v>132</v>
      </c>
      <c r="O36" s="56" t="str">
        <f>IF(AND('2-3.設備仕様入力'!I$95="電気",'2-3.設備仕様入力'!I$101="kW"),1,IF(AND('2-3.設備仕様入力'!I$95="都市ガス",'2-3.設備仕様入力'!I$101="kW"),2,IF(AND('2-3.設備仕様入力'!I$95="都市ガス",'2-3.設備仕様入力'!I$101="ｍ3N/h"),3,IF(AND('2-3.設備仕様入力'!I$95="LPG",'2-3.設備仕様入力'!I$101="kW"),4,IF(AND('2-3.設備仕様入力'!I$95="LPG",'2-3.設備仕様入力'!I$101="kg/h"),5,"")))))</f>
        <v/>
      </c>
      <c r="P36" s="71" t="str">
        <f>IF(OR('2-3.設備仕様入力'!$I$90="電気式パッケージ形空調機",'2-3.設備仕様入力'!$I$90="ルームエアコン"),ROUND('2-3.設備仕様入力'!$I$99*'2-3.設備仕様入力'!$I$94*計算!$C$3*VLOOKUP('2-3.設備仕様入力'!$I$96,計算!$N$16:$P$26,2,FALSE)/1000,1),"")</f>
        <v/>
      </c>
      <c r="Q36" s="71" t="str">
        <f>IF(OR('2-3.設備仕様入力'!$I$90="電気式パッケージ形空調機",'2-3.設備仕様入力'!$I$90="ルームエアコン"),ROUND('2-3.設備仕様入力'!$I$100*'2-3.設備仕様入力'!$I$94*計算!$C$3*VLOOKUP('2-3.設備仕様入力'!$I$96,計算!$N$16:$P$26,3,FALSE)/1000,1),"")</f>
        <v/>
      </c>
      <c r="R36" s="71" t="str">
        <f t="shared" si="0"/>
        <v/>
      </c>
      <c r="S36" s="71" t="str">
        <f>IF('2-3.設備仕様入力'!$I$90="ガスヒートポンプ式空調機",IF('2-3.設備仕様入力'!$I$95="都市ガス",IF('2-3.設備仕様入力'!$I$101="kW",ROUND('2-3.設備仕様入力'!$I$94*'2-3.設備仕様入力'!$I$99*3.6/1000*VLOOKUP('2-3.設備仕様入力'!$I$96,計算!$N$16:$P$26,2,FALSE),1),""),""),"")</f>
        <v/>
      </c>
      <c r="T36" s="71" t="str">
        <f>IF('2-3.設備仕様入力'!$I$90="ガスヒートポンプ式空調機",IF('2-3.設備仕様入力'!$I$95="都市ガス",IF('2-3.設備仕様入力'!$I$101="kW",ROUND('2-3.設備仕様入力'!$I$94*'2-3.設備仕様入力'!$I$100*3.6/1000*VLOOKUP('2-3.設備仕様入力'!$I$96,計算!$N$16:$P$26,3,FALSE),1),""),""),"")</f>
        <v/>
      </c>
      <c r="U36" s="71" t="str">
        <f t="shared" si="1"/>
        <v/>
      </c>
      <c r="V36" s="71" t="str">
        <f>IF('2-3.設備仕様入力'!$I$90="ガスヒートポンプ式空調機",IF('2-3.設備仕様入力'!$I$101="ｍ3N/h",ROUND('2-3.設備仕様入力'!$I$94*'2-3.設備仕様入力'!$I$99*計算!$C$10/1000*VLOOKUP('2-3.設備仕様入力'!$I$96,計算!$N$16:$P$26,2,FALSE),1),""),"")</f>
        <v/>
      </c>
      <c r="W36" s="71" t="str">
        <f>IF('2-3.設備仕様入力'!$I$90="ガスヒートポンプ式空調機",IF('2-3.設備仕様入力'!$I$101="ｍ3N/h",ROUND('2-3.設備仕様入力'!$I$94*'2-3.設備仕様入力'!$I$100*計算!$C$10/1000*VLOOKUP('2-3.設備仕様入力'!$I$96,計算!$N$16:$P$26,3,FALSE),1),""),"")</f>
        <v/>
      </c>
      <c r="X36" s="71" t="str">
        <f t="shared" si="2"/>
        <v/>
      </c>
      <c r="Y36" s="71" t="str">
        <f>IF('2-3.設備仕様入力'!$I$90="ガスヒートポンプ式空調機",IF('2-3.設備仕様入力'!$I$95="LPG",IF('2-3.設備仕様入力'!$I$101="kW",ROUND('2-3.設備仕様入力'!$I$94*'2-3.設備仕様入力'!$I$99*3.6/1000*VLOOKUP('2-3.設備仕様入力'!$I$96,計算!$N$16:$P$26,2,FALSE),1),""),""),"")</f>
        <v/>
      </c>
      <c r="Z36" s="71" t="str">
        <f>IF('2-3.設備仕様入力'!$I$90="ガスヒートポンプ式空調機",IF('2-3.設備仕様入力'!$I$95="LPG",IF('2-3.設備仕様入力'!$I$101="kW",ROUND('2-3.設備仕様入力'!$I$94*'2-3.設備仕様入力'!$I$100*3.6/1000*VLOOKUP('2-3.設備仕様入力'!$I$96,計算!$N$16:$P$26,3,FALSE),1),""),""),"")</f>
        <v/>
      </c>
      <c r="AA36" s="71" t="str">
        <f t="shared" si="3"/>
        <v/>
      </c>
      <c r="AB36" s="71" t="str">
        <f>IF('2-3.設備仕様入力'!$I$90="ガスヒートポンプ式空調機",IF('2-3.設備仕様入力'!$I$95="LPG",IF('2-3.設備仕様入力'!$I$101="kg/h",ROUND('2-3.設備仕様入力'!$I$94*'2-3.設備仕様入力'!$I$99*計算!$C$11/1000*VLOOKUP('2-3.設備仕様入力'!$I$96,計算!$N$16:$P$26,2,FALSE),1),""),""),"")</f>
        <v/>
      </c>
      <c r="AC36" s="71" t="str">
        <f>IF('2-3.設備仕様入力'!$I$90="ガスヒートポンプ式空調機",IF('2-3.設備仕様入力'!$I$95="LPG",IF('2-3.設備仕様入力'!$I$101="kg/h",ROUND('2-3.設備仕様入力'!$I$94*'2-3.設備仕様入力'!$I$100*計算!$C$11/1000*VLOOKUP('2-3.設備仕様入力'!$I$96,計算!$N$16:$P$26,3,FALSE),1),""),""),"")</f>
        <v/>
      </c>
      <c r="AD36" s="71" t="str">
        <f t="shared" si="4"/>
        <v/>
      </c>
    </row>
    <row r="37" spans="3:30" ht="19.2" x14ac:dyDescent="0.55000000000000004">
      <c r="F37" s="12"/>
      <c r="I37" s="128" t="s">
        <v>241</v>
      </c>
      <c r="J37" s="19" t="str">
        <f>IF(ISERROR('4.エネルギー使用量'!$H$78/1000*$C$18*$C$7),"",ROUND('4.エネルギー使用量'!$H$78/1000*$C$18*$C$7,2))</f>
        <v/>
      </c>
      <c r="K37" s="18" t="str">
        <f>IF(ISERROR('4.エネルギー使用量'!$H$78/1000*$C$18*$E$18*$E$7),"",ROUND('4.エネルギー使用量'!$H$78/1000*$C$18*$E$18*$E$7,2))</f>
        <v/>
      </c>
      <c r="N37" s="125" t="s">
        <v>133</v>
      </c>
      <c r="O37" s="56" t="str">
        <f>IF(AND('2-3.設備仕様入力'!J$95="電気",'2-3.設備仕様入力'!J$101="kW"),1,IF(AND('2-3.設備仕様入力'!J$95="都市ガス",'2-3.設備仕様入力'!J$101="kW"),2,IF(AND('2-3.設備仕様入力'!J$95="都市ガス",'2-3.設備仕様入力'!J$101="ｍ3N/h"),3,IF(AND('2-3.設備仕様入力'!J$95="LPG",'2-3.設備仕様入力'!J$101="kW"),4,IF(AND('2-3.設備仕様入力'!J$95="LPG",'2-3.設備仕様入力'!J$101="kg/h"),5,"")))))</f>
        <v/>
      </c>
      <c r="P37" s="71" t="str">
        <f>IF(OR('2-3.設備仕様入力'!$J$90="電気式パッケージ形空調機",'2-3.設備仕様入力'!$J$90="ルームエアコン"),ROUND('2-3.設備仕様入力'!$J$99*'2-3.設備仕様入力'!$J$94*計算!$C$3*VLOOKUP('2-3.設備仕様入力'!$J$96,計算!$N$16:$P$26,2,FALSE)/1000,1),"")</f>
        <v/>
      </c>
      <c r="Q37" s="71" t="str">
        <f>IF(OR('2-3.設備仕様入力'!$J$90="電気式パッケージ形空調機",'2-3.設備仕様入力'!$J$90="ルームエアコン"),ROUND('2-3.設備仕様入力'!$J$100*'2-3.設備仕様入力'!$J$94*計算!$C$3*VLOOKUP('2-3.設備仕様入力'!$J$96,計算!$N$16:$P$26,3,FALSE)/1000,1),"")</f>
        <v/>
      </c>
      <c r="R37" s="71" t="str">
        <f t="shared" si="0"/>
        <v/>
      </c>
      <c r="S37" s="71" t="str">
        <f>IF('2-3.設備仕様入力'!$J$90="ガスヒートポンプ式空調機",IF('2-3.設備仕様入力'!$J$95="都市ガス",IF('2-3.設備仕様入力'!$J$101="kW",ROUND('2-3.設備仕様入力'!$J$94*'2-3.設備仕様入力'!$J$99*3.6/1000*VLOOKUP('2-3.設備仕様入力'!$J$96,計算!$N$16:$P$26,2,FALSE),1),""),""),"")</f>
        <v/>
      </c>
      <c r="T37" s="71" t="str">
        <f>IF('2-3.設備仕様入力'!$J$90="ガスヒートポンプ式空調機",IF('2-3.設備仕様入力'!$J$95="都市ガス",IF('2-3.設備仕様入力'!$J$101="kW",ROUND('2-3.設備仕様入力'!$J$94*'2-3.設備仕様入力'!$J$100*3.6/1000*VLOOKUP('2-3.設備仕様入力'!$J$96,計算!$N$16:$P$26,3,FALSE),1),""),""),"")</f>
        <v/>
      </c>
      <c r="U37" s="71" t="str">
        <f t="shared" si="1"/>
        <v/>
      </c>
      <c r="V37" s="71" t="str">
        <f>IF('2-3.設備仕様入力'!$J$90="ガスヒートポンプ式空調機",IF('2-3.設備仕様入力'!$J$101="ｍ3N/h",ROUND('2-3.設備仕様入力'!$J$94*'2-3.設備仕様入力'!$J$99*計算!$C$10/1000*VLOOKUP('2-3.設備仕様入力'!$J$96,計算!$N$16:$P$26,2,FALSE),1),""),"")</f>
        <v/>
      </c>
      <c r="W37" s="71" t="str">
        <f>IF('2-3.設備仕様入力'!$J$90="ガスヒートポンプ式空調機",IF('2-3.設備仕様入力'!$J$101="ｍ3N/h",ROUND('2-3.設備仕様入力'!$J$94*'2-3.設備仕様入力'!$J$100*計算!$C$10/1000*VLOOKUP('2-3.設備仕様入力'!$J$96,計算!$N$16:$P$26,3,FALSE),1),""),"")</f>
        <v/>
      </c>
      <c r="X37" s="71" t="str">
        <f t="shared" si="2"/>
        <v/>
      </c>
      <c r="Y37" s="71" t="str">
        <f>IF('2-3.設備仕様入力'!$J$90="ガスヒートポンプ式空調機",IF('2-3.設備仕様入力'!$J$95="LPG",IF('2-3.設備仕様入力'!$J$101="kW",ROUND('2-3.設備仕様入力'!$J$94*'2-3.設備仕様入力'!$J$99*3.6/1000*VLOOKUP('2-3.設備仕様入力'!$J$96,計算!$N$16:$P$26,2,FALSE),1),""),""),"")</f>
        <v/>
      </c>
      <c r="Z37" s="71" t="str">
        <f>IF('2-3.設備仕様入力'!$J$90="ガスヒートポンプ式空調機",IF('2-3.設備仕様入力'!$J$95="LPG",IF('2-3.設備仕様入力'!$J$101="kW",ROUND('2-3.設備仕様入力'!$J$94*'2-3.設備仕様入力'!$J$100*3.6/1000*VLOOKUP('2-3.設備仕様入力'!$J$96,計算!$N$16:$P$26,3,FALSE),1),""),""),"")</f>
        <v/>
      </c>
      <c r="AA37" s="71" t="str">
        <f t="shared" si="3"/>
        <v/>
      </c>
      <c r="AB37" s="71" t="str">
        <f>IF('2-3.設備仕様入力'!$J$90="ガスヒートポンプ式空調機",IF('2-3.設備仕様入力'!$J$95="LPG",IF('2-3.設備仕様入力'!$J$101="kg/h",ROUND('2-3.設備仕様入力'!$J$94*'2-3.設備仕様入力'!$J$99*計算!$C$11/1000*VLOOKUP('2-3.設備仕様入力'!$J$96,計算!$N$16:$P$26,2,FALSE),1),""),""),"")</f>
        <v/>
      </c>
      <c r="AC37" s="71" t="str">
        <f>IF('2-3.設備仕様入力'!$J$90="ガスヒートポンプ式空調機",IF('2-3.設備仕様入力'!$J$95="LPG",IF('2-3.設備仕様入力'!$J$101="kg/h",ROUND('2-3.設備仕様入力'!$J$94*'2-3.設備仕様入力'!$J$100*計算!$C$11/1000*VLOOKUP('2-3.設備仕様入力'!$J$96,計算!$N$16:$P$26,3,FALSE),1),""),""),"")</f>
        <v/>
      </c>
      <c r="AD37" s="71" t="str">
        <f t="shared" si="4"/>
        <v/>
      </c>
    </row>
    <row r="38" spans="3:30" ht="19.2" x14ac:dyDescent="0.55000000000000004">
      <c r="F38" s="12"/>
      <c r="I38" s="128" t="s">
        <v>242</v>
      </c>
      <c r="J38" s="19" t="str">
        <f>IF(ISERROR('4.エネルギー使用量'!$H$78/1000*$C$19*$C$7),"",ROUND('4.エネルギー使用量'!$H$78/1000*$C$19*$C$7,2))</f>
        <v/>
      </c>
      <c r="K38" s="18" t="str">
        <f>IF(ISERROR('4.エネルギー使用量'!$H$78/1000*$C$19*$E$19*$E$7),"",ROUND('4.エネルギー使用量'!$H$78/1000*$C$19*$E$19*$E$7,2))</f>
        <v/>
      </c>
      <c r="N38" s="125" t="s">
        <v>134</v>
      </c>
      <c r="O38" s="56" t="str">
        <f>IF(AND('2-3.設備仕様入力'!K$95="電気",'2-3.設備仕様入力'!K$101="kW"),1,IF(AND('2-3.設備仕様入力'!K$95="都市ガス",'2-3.設備仕様入力'!K$101="kW"),2,IF(AND('2-3.設備仕様入力'!K$95="都市ガス",'2-3.設備仕様入力'!K$101="ｍ3N/h"),3,IF(AND('2-3.設備仕様入力'!K$95="LPG",'2-3.設備仕様入力'!K$101="kW"),4,IF(AND('2-3.設備仕様入力'!K$95="LPG",'2-3.設備仕様入力'!K$101="kg/h"),5,"")))))</f>
        <v/>
      </c>
      <c r="P38" s="71" t="str">
        <f>IF(OR('2-3.設備仕様入力'!$K$90="電気式パッケージ形空調機",'2-3.設備仕様入力'!$K$90="ルームエアコン"),ROUND('2-3.設備仕様入力'!$K$99*'2-3.設備仕様入力'!$K$94*計算!$C$3*VLOOKUP('2-3.設備仕様入力'!$K$96,計算!$N$16:$P$26,2,FALSE)/1000,1),"")</f>
        <v/>
      </c>
      <c r="Q38" s="71" t="str">
        <f>IF(OR('2-3.設備仕様入力'!$K$90="電気式パッケージ形空調機",'2-3.設備仕様入力'!$K$90="ルームエアコン"),ROUND('2-3.設備仕様入力'!$K$100*'2-3.設備仕様入力'!$K$94*計算!$C$3*VLOOKUP('2-3.設備仕様入力'!$K$96,計算!$N$16:$P$26,3,FALSE)/1000,1),"")</f>
        <v/>
      </c>
      <c r="R38" s="71" t="str">
        <f t="shared" si="0"/>
        <v/>
      </c>
      <c r="S38" s="71" t="str">
        <f>IF('2-3.設備仕様入力'!$K$90="ガスヒートポンプ式空調機",IF('2-3.設備仕様入力'!$K$95="都市ガス",IF('2-3.設備仕様入力'!$K$101="kW",ROUND('2-3.設備仕様入力'!$K$94*'2-3.設備仕様入力'!$K$99*3.6/1000*VLOOKUP('2-3.設備仕様入力'!$K$96,計算!$N$16:$P$26,2,FALSE),1),""),""),"")</f>
        <v/>
      </c>
      <c r="T38" s="71" t="str">
        <f>IF('2-3.設備仕様入力'!$K$90="ガスヒートポンプ式空調機",IF('2-3.設備仕様入力'!$K$95="都市ガス",IF('2-3.設備仕様入力'!$K$101="kW",ROUND('2-3.設備仕様入力'!$K$94*'2-3.設備仕様入力'!$K$100*3.6/1000*VLOOKUP('2-3.設備仕様入力'!$K$96,計算!$N$16:$P$26,3,FALSE),1),""),""),"")</f>
        <v/>
      </c>
      <c r="U38" s="71" t="str">
        <f t="shared" si="1"/>
        <v/>
      </c>
      <c r="V38" s="71" t="str">
        <f>IF('2-3.設備仕様入力'!$K$90="ガスヒートポンプ式空調機",IF('2-3.設備仕様入力'!$K$101="ｍ3N/h",ROUND('2-3.設備仕様入力'!$K$94*'2-3.設備仕様入力'!$K$99*計算!$C$10/1000*VLOOKUP('2-3.設備仕様入力'!$K$96,計算!$N$16:$P$26,2,FALSE),1),""),"")</f>
        <v/>
      </c>
      <c r="W38" s="71" t="str">
        <f>IF('2-3.設備仕様入力'!$K$90="ガスヒートポンプ式空調機",IF('2-3.設備仕様入力'!$K$101="ｍ3N/h",ROUND('2-3.設備仕様入力'!$K$94*'2-3.設備仕様入力'!$K$100*計算!$C$10/1000*VLOOKUP('2-3.設備仕様入力'!$K$96,計算!$N$16:$P$26,3,FALSE),1),""),"")</f>
        <v/>
      </c>
      <c r="X38" s="71" t="str">
        <f t="shared" si="2"/>
        <v/>
      </c>
      <c r="Y38" s="71" t="str">
        <f>IF('2-3.設備仕様入力'!$K$90="ガスヒートポンプ式空調機",IF('2-3.設備仕様入力'!$K$95="LPG",IF('2-3.設備仕様入力'!$K$101="kW",ROUND('2-3.設備仕様入力'!$K$94*'2-3.設備仕様入力'!$K$99*3.6/1000*VLOOKUP('2-3.設備仕様入力'!$K$96,計算!$N$16:$P$26,2,FALSE),1),""),""),"")</f>
        <v/>
      </c>
      <c r="Z38" s="71" t="str">
        <f>IF('2-3.設備仕様入力'!$K$90="ガスヒートポンプ式空調機",IF('2-3.設備仕様入力'!$K$95="LPG",IF('2-3.設備仕様入力'!$K$101="kW",ROUND('2-3.設備仕様入力'!$K$94*'2-3.設備仕様入力'!$K$100*3.6/1000*VLOOKUP('2-3.設備仕様入力'!$K$96,計算!$N$16:$P$26,3,FALSE),1),""),""),"")</f>
        <v/>
      </c>
      <c r="AA38" s="71" t="str">
        <f t="shared" si="3"/>
        <v/>
      </c>
      <c r="AB38" s="71" t="str">
        <f>IF('2-3.設備仕様入力'!$K$90="ガスヒートポンプ式空調機",IF('2-3.設備仕様入力'!$K$95="LPG",IF('2-3.設備仕様入力'!$K$101="kg/h",ROUND('2-3.設備仕様入力'!$K$94*'2-3.設備仕様入力'!$K$99*計算!$C$11/1000*VLOOKUP('2-3.設備仕様入力'!$K$96,計算!$N$16:$P$26,2,FALSE),1),""),""),"")</f>
        <v/>
      </c>
      <c r="AC38" s="71" t="str">
        <f>IF('2-3.設備仕様入力'!$K$90="ガスヒートポンプ式空調機",IF('2-3.設備仕様入力'!$K$95="LPG",IF('2-3.設備仕様入力'!$K$101="kg/h",ROUND('2-3.設備仕様入力'!$K$94*'2-3.設備仕様入力'!$K$100*計算!$C$11/1000*VLOOKUP('2-3.設備仕様入力'!$K$96,計算!$N$16:$P$26,3,FALSE),1),""),""),"")</f>
        <v/>
      </c>
      <c r="AD38" s="71" t="str">
        <f t="shared" si="4"/>
        <v/>
      </c>
    </row>
    <row r="39" spans="3:30" ht="19.2" x14ac:dyDescent="0.55000000000000004">
      <c r="F39" s="12"/>
      <c r="I39" s="128" t="s">
        <v>243</v>
      </c>
      <c r="J39" s="19" t="str">
        <f>IF(ISERROR('4.エネルギー使用量'!$H$78/1000*$C$20*$C$7),"",ROUND('4.エネルギー使用量'!$H$78/1000*$C$20*$C$7,2))</f>
        <v/>
      </c>
      <c r="K39" s="18" t="str">
        <f>IF(ISERROR('4.エネルギー使用量'!$H$78/1000*$C$20*$E$20*$E$7),"",ROUND('4.エネルギー使用量'!$H$78/1000*$C$20*$E$20*$E$7,2))</f>
        <v/>
      </c>
      <c r="N39" s="125" t="s">
        <v>135</v>
      </c>
      <c r="O39" s="56" t="str">
        <f>IF(AND('2-3.設備仕様入力'!L$95="電気",'2-3.設備仕様入力'!L$101="kW"),1,IF(AND('2-3.設備仕様入力'!L$95="都市ガス",'2-3.設備仕様入力'!L$101="kW"),2,IF(AND('2-3.設備仕様入力'!L$95="都市ガス",'2-3.設備仕様入力'!L$101="ｍ3N/h"),3,IF(AND('2-3.設備仕様入力'!L$95="LPG",'2-3.設備仕様入力'!L$101="kW"),4,IF(AND('2-3.設備仕様入力'!L$95="LPG",'2-3.設備仕様入力'!L$101="kg/h"),5,"")))))</f>
        <v/>
      </c>
      <c r="P39" s="71" t="str">
        <f>IF(OR('2-3.設備仕様入力'!$L$90="電気式パッケージ形空調機",'2-3.設備仕様入力'!$L$90="ルームエアコン"),ROUND('2-3.設備仕様入力'!$L$99*'2-3.設備仕様入力'!$L$94*計算!$C$3*VLOOKUP('2-3.設備仕様入力'!$L$96,計算!$N$16:$P$26,2,FALSE)/1000,1),"")</f>
        <v/>
      </c>
      <c r="Q39" s="71" t="str">
        <f>IF(OR('2-3.設備仕様入力'!$L$90="電気式パッケージ形空調機",'2-3.設備仕様入力'!$L$90="ルームエアコン"),ROUND('2-3.設備仕様入力'!$L$100*'2-3.設備仕様入力'!$L$94*計算!$C$3*VLOOKUP('2-3.設備仕様入力'!$L$96,計算!$N$16:$P$26,3,FALSE)/1000,1),"")</f>
        <v/>
      </c>
      <c r="R39" s="71" t="str">
        <f t="shared" si="0"/>
        <v/>
      </c>
      <c r="S39" s="71" t="str">
        <f>IF('2-3.設備仕様入力'!$L$90="ガスヒートポンプ式空調機",IF('2-3.設備仕様入力'!$L$95="都市ガス",IF('2-3.設備仕様入力'!$L$101="kW",ROUND('2-3.設備仕様入力'!$L$94*'2-3.設備仕様入力'!$L$99*3.6/1000*VLOOKUP('2-3.設備仕様入力'!$L$96,計算!$N$16:$P$26,2,FALSE),1),""),""),"")</f>
        <v/>
      </c>
      <c r="T39" s="71" t="str">
        <f>IF('2-3.設備仕様入力'!$L$90="ガスヒートポンプ式空調機",IF('2-3.設備仕様入力'!$L$95="都市ガス",IF('2-3.設備仕様入力'!$L$101="kW",ROUND('2-3.設備仕様入力'!$L$94*'2-3.設備仕様入力'!$L$100*3.6/1000*VLOOKUP('2-3.設備仕様入力'!$L$96,計算!$N$16:$P$26,3,FALSE),1),""),""),"")</f>
        <v/>
      </c>
      <c r="U39" s="71" t="str">
        <f t="shared" si="1"/>
        <v/>
      </c>
      <c r="V39" s="71" t="str">
        <f>IF('2-3.設備仕様入力'!$L$90="ガスヒートポンプ式空調機",IF('2-3.設備仕様入力'!$L$101="ｍ3N/h",ROUND('2-3.設備仕様入力'!$L$94*'2-3.設備仕様入力'!$L$99*計算!$C$10/1000*VLOOKUP('2-3.設備仕様入力'!$L$96,計算!$N$16:$P$26,2,FALSE),1),""),"")</f>
        <v/>
      </c>
      <c r="W39" s="71" t="str">
        <f>IF('2-3.設備仕様入力'!$L$90="ガスヒートポンプ式空調機",IF('2-3.設備仕様入力'!$L$101="ｍ3N/h",ROUND('2-3.設備仕様入力'!$L$94*'2-3.設備仕様入力'!$L$100*計算!$C$10/1000*VLOOKUP('2-3.設備仕様入力'!$L$96,計算!$N$16:$P$26,3,FALSE),1),""),"")</f>
        <v/>
      </c>
      <c r="X39" s="71" t="str">
        <f t="shared" si="2"/>
        <v/>
      </c>
      <c r="Y39" s="71" t="str">
        <f>IF('2-3.設備仕様入力'!$L$90="ガスヒートポンプ式空調機",IF('2-3.設備仕様入力'!$L$95="LPG",IF('2-3.設備仕様入力'!$L$101="kW",ROUND('2-3.設備仕様入力'!$L$94*'2-3.設備仕様入力'!$L$99*3.6/1000*VLOOKUP('2-3.設備仕様入力'!$L$96,計算!$N$16:$P$26,2,FALSE),1),""),""),"")</f>
        <v/>
      </c>
      <c r="Z39" s="71" t="str">
        <f>IF('2-3.設備仕様入力'!$L$90="ガスヒートポンプ式空調機",IF('2-3.設備仕様入力'!$L$95="LPG",IF('2-3.設備仕様入力'!$L$101="kW",ROUND('2-3.設備仕様入力'!$L$94*'2-3.設備仕様入力'!$L$100*3.6/1000*VLOOKUP('2-3.設備仕様入力'!$L$96,計算!$N$16:$P$26,3,FALSE),1),""),""),"")</f>
        <v/>
      </c>
      <c r="AA39" s="71" t="str">
        <f t="shared" si="3"/>
        <v/>
      </c>
      <c r="AB39" s="71" t="str">
        <f>IF('2-3.設備仕様入力'!$L$90="ガスヒートポンプ式空調機",IF('2-3.設備仕様入力'!$L$95="LPG",IF('2-3.設備仕様入力'!$L$101="kg/h",ROUND('2-3.設備仕様入力'!$L$94*'2-3.設備仕様入力'!$L$99*計算!$C$11/1000*VLOOKUP('2-3.設備仕様入力'!$L$96,計算!$N$16:$P$26,2,FALSE),1),""),""),"")</f>
        <v/>
      </c>
      <c r="AC39" s="71" t="str">
        <f>IF('2-3.設備仕様入力'!$L$90="ガスヒートポンプ式空調機",IF('2-3.設備仕様入力'!$L$95="LPG",IF('2-3.設備仕様入力'!$L$101="kg/h",ROUND('2-3.設備仕様入力'!$L$94*'2-3.設備仕様入力'!$L$100*計算!$C$11/1000*VLOOKUP('2-3.設備仕様入力'!$L$96,計算!$N$16:$P$26,3,FALSE),1),""),""),"")</f>
        <v/>
      </c>
      <c r="AD39" s="71" t="str">
        <f t="shared" si="4"/>
        <v/>
      </c>
    </row>
    <row r="40" spans="3:30" ht="19.8" thickBot="1" x14ac:dyDescent="0.6">
      <c r="F40" s="12"/>
      <c r="I40" s="128" t="s">
        <v>244</v>
      </c>
      <c r="J40" s="16" t="str">
        <f>IF(ISERROR('4.エネルギー使用量'!$H$78/1000*$C$21*$C$7),"",ROUND('4.エネルギー使用量'!$H$78/1000*$C$21*$C$7,2))</f>
        <v/>
      </c>
      <c r="K40" s="15" t="str">
        <f>IF(ISERROR('4.エネルギー使用量'!$H$78/1000*$C$21*$E$21*$E$7),"",ROUND('4.エネルギー使用量'!$H$78/1000*$C$21*$E$21*$E$7,2))</f>
        <v/>
      </c>
      <c r="N40" s="125" t="s">
        <v>136</v>
      </c>
      <c r="O40" s="56" t="str">
        <f>IF(AND('2-3.設備仕様入力'!M$95="電気",'2-3.設備仕様入力'!M$101="kW"),1,IF(AND('2-3.設備仕様入力'!M$95="都市ガス",'2-3.設備仕様入力'!M$101="kW"),2,IF(AND('2-3.設備仕様入力'!M$95="都市ガス",'2-3.設備仕様入力'!M$101="ｍ3N/h"),3,IF(AND('2-3.設備仕様入力'!M$95="LPG",'2-3.設備仕様入力'!M$101="kW"),4,IF(AND('2-3.設備仕様入力'!M$95="LPG",'2-3.設備仕様入力'!M$101="kg/h"),5,"")))))</f>
        <v/>
      </c>
      <c r="P40" s="71" t="str">
        <f>IF(OR('2-3.設備仕様入力'!$M$90="電気式パッケージ形空調機",'2-3.設備仕様入力'!$M$90="ルームエアコン"),ROUND('2-3.設備仕様入力'!$M$99*'2-3.設備仕様入力'!$M$94*計算!$C$3*VLOOKUP('2-3.設備仕様入力'!$M$96,計算!$N$16:$P$26,2,FALSE)/1000,1),"")</f>
        <v/>
      </c>
      <c r="Q40" s="71" t="str">
        <f>IF(OR('2-3.設備仕様入力'!$M$90="電気式パッケージ形空調機",'2-3.設備仕様入力'!$M$90="ルームエアコン"),ROUND('2-3.設備仕様入力'!$M$100*'2-3.設備仕様入力'!$M$94*計算!$C$3*VLOOKUP('2-3.設備仕様入力'!$M$96,計算!$N$16:$P$26,3,FALSE)/1000,1),"")</f>
        <v/>
      </c>
      <c r="R40" s="71" t="str">
        <f t="shared" si="0"/>
        <v/>
      </c>
      <c r="S40" s="71" t="str">
        <f>IF('2-3.設備仕様入力'!$M$90="ガスヒートポンプ式空調機",IF('2-3.設備仕様入力'!$M$95="都市ガス",IF('2-3.設備仕様入力'!$M$101="kW",ROUND('2-3.設備仕様入力'!$M$94*'2-3.設備仕様入力'!$M$99*3.6/1000*VLOOKUP('2-3.設備仕様入力'!$M$96,計算!$N$16:$P$26,2,FALSE),1),""),""),"")</f>
        <v/>
      </c>
      <c r="T40" s="71" t="str">
        <f>IF('2-3.設備仕様入力'!$M$90="ガスヒートポンプ式空調機",IF('2-3.設備仕様入力'!$M$95="都市ガス",IF('2-3.設備仕様入力'!$M$101="kW",ROUND('2-3.設備仕様入力'!$M$94*'2-3.設備仕様入力'!$M$100*3.6/1000*VLOOKUP('2-3.設備仕様入力'!$M$96,計算!$N$16:$P$26,3,FALSE),1),""),""),"")</f>
        <v/>
      </c>
      <c r="U40" s="71" t="str">
        <f t="shared" si="1"/>
        <v/>
      </c>
      <c r="V40" s="71" t="str">
        <f>IF('2-3.設備仕様入力'!$M$90="ガスヒートポンプ式空調機",IF('2-3.設備仕様入力'!$M$101="ｍ3N/h",ROUND('2-3.設備仕様入力'!$M$94*'2-3.設備仕様入力'!$M$99*計算!$C$10/1000*VLOOKUP('2-3.設備仕様入力'!$M$96,計算!$N$16:$P$26,2,FALSE),1),""),"")</f>
        <v/>
      </c>
      <c r="W40" s="71" t="str">
        <f>IF('2-3.設備仕様入力'!$M$90="ガスヒートポンプ式空調機",IF('2-3.設備仕様入力'!$M$101="ｍ3N/h",ROUND('2-3.設備仕様入力'!$M$94*'2-3.設備仕様入力'!$M$100*計算!$C$10/1000*VLOOKUP('2-3.設備仕様入力'!$M$96,計算!$N$16:$P$26,3,FALSE),1),""),"")</f>
        <v/>
      </c>
      <c r="X40" s="71" t="str">
        <f t="shared" si="2"/>
        <v/>
      </c>
      <c r="Y40" s="71" t="str">
        <f>IF('2-3.設備仕様入力'!$M$90="ガスヒートポンプ式空調機",IF('2-3.設備仕様入力'!$M$95="LPG",IF('2-3.設備仕様入力'!$M$101="kW",ROUND('2-3.設備仕様入力'!$M$94*'2-3.設備仕様入力'!$M$99*3.6/1000*VLOOKUP('2-3.設備仕様入力'!$M$96,計算!$N$16:$P$26,2,FALSE),1),""),""),"")</f>
        <v/>
      </c>
      <c r="Z40" s="71" t="str">
        <f>IF('2-3.設備仕様入力'!$M$90="ガスヒートポンプ式空調機",IF('2-3.設備仕様入力'!$M$95="LPG",IF('2-3.設備仕様入力'!$M$101="kW",ROUND('2-3.設備仕様入力'!$M$94*'2-3.設備仕様入力'!$M$100*3.6/1000*VLOOKUP('2-3.設備仕様入力'!$M$96,計算!$N$16:$P$26,3,FALSE),1),""),""),"")</f>
        <v/>
      </c>
      <c r="AA40" s="71" t="str">
        <f t="shared" si="3"/>
        <v/>
      </c>
      <c r="AB40" s="71" t="str">
        <f>IF('2-3.設備仕様入力'!$M$90="ガスヒートポンプ式空調機",IF('2-3.設備仕様入力'!$M$95="LPG",IF('2-3.設備仕様入力'!$M$101="kg/h",ROUND('2-3.設備仕様入力'!$M$94*'2-3.設備仕様入力'!$M$99*計算!$C$11/1000*VLOOKUP('2-3.設備仕様入力'!$M$96,計算!$N$16:$P$26,2,FALSE),1),""),""),"")</f>
        <v/>
      </c>
      <c r="AC40" s="71" t="str">
        <f>IF('2-3.設備仕様入力'!$M$90="ガスヒートポンプ式空調機",IF('2-3.設備仕様入力'!$M$95="LPG",IF('2-3.設備仕様入力'!$M$101="kg/h",ROUND('2-3.設備仕様入力'!$M$94*'2-3.設備仕様入力'!$M$100*計算!$C$11/1000*VLOOKUP('2-3.設備仕様入力'!$M$96,計算!$N$16:$P$26,3,FALSE),1),""),""),"")</f>
        <v/>
      </c>
      <c r="AD40" s="71" t="str">
        <f t="shared" si="4"/>
        <v/>
      </c>
    </row>
    <row r="41" spans="3:30" ht="18" thickBot="1" x14ac:dyDescent="0.6">
      <c r="F41" s="12"/>
    </row>
    <row r="42" spans="3:30" x14ac:dyDescent="0.55000000000000004">
      <c r="I42" s="128" t="s">
        <v>342</v>
      </c>
      <c r="J42" s="21" t="s">
        <v>23</v>
      </c>
      <c r="K42" s="20" t="s">
        <v>22</v>
      </c>
    </row>
    <row r="43" spans="3:30" ht="18" x14ac:dyDescent="0.55000000000000004">
      <c r="I43" s="128" t="s">
        <v>245</v>
      </c>
      <c r="J43" s="24" t="str">
        <f>IF(ISERROR('4.エネルギー使用量'!$H$91/1000*$C$4*$C$7),"",ROUND('4.エネルギー使用量'!$H$91/1000*$C$4*$C$7,2))</f>
        <v/>
      </c>
      <c r="K43" s="18" t="str">
        <f>IF(ISERROR('4.エネルギー使用量'!$H$91/1000*$C$4*$E$4),"",ROUND('4.エネルギー使用量'!$H$91/1000*$C$4*$E$4,2))</f>
        <v/>
      </c>
      <c r="N43" s="124"/>
      <c r="O43" s="56"/>
      <c r="P43" s="204" t="s">
        <v>210</v>
      </c>
      <c r="Q43" s="205"/>
      <c r="R43" s="205"/>
      <c r="S43" s="205"/>
      <c r="T43" s="205"/>
      <c r="U43" s="205"/>
      <c r="V43" s="205"/>
      <c r="W43" s="205"/>
      <c r="X43" s="205"/>
      <c r="Y43" s="205"/>
      <c r="Z43" s="205"/>
      <c r="AA43" s="205"/>
      <c r="AB43" s="205"/>
      <c r="AC43" s="205"/>
      <c r="AD43" s="206"/>
    </row>
    <row r="44" spans="3:30" ht="18" x14ac:dyDescent="0.55000000000000004">
      <c r="I44" s="128" t="s">
        <v>246</v>
      </c>
      <c r="J44" s="24" t="str">
        <f>IF(ISERROR('4.エネルギー使用量'!$H$91/1000*$C$5*$C$7),"",ROUND('4.エネルギー使用量'!$H$91/1000*$C$5*$C$7,2))</f>
        <v/>
      </c>
      <c r="K44" s="18" t="str">
        <f>IF(ISERROR('4.エネルギー使用量'!$H$91/1000*$C$5*$E$5),"",ROUND('4.エネルギー使用量'!$H$91/1000*$C$5*$E$5,2))</f>
        <v/>
      </c>
      <c r="N44" s="124"/>
      <c r="O44" s="56"/>
      <c r="P44" s="207" t="s">
        <v>213</v>
      </c>
      <c r="Q44" s="207"/>
      <c r="R44" s="207"/>
      <c r="S44" s="207" t="s">
        <v>212</v>
      </c>
      <c r="T44" s="207"/>
      <c r="U44" s="207"/>
      <c r="V44" s="207" t="s">
        <v>125</v>
      </c>
      <c r="W44" s="207"/>
      <c r="X44" s="207"/>
      <c r="Y44" s="207" t="s">
        <v>126</v>
      </c>
      <c r="Z44" s="207"/>
      <c r="AA44" s="207"/>
      <c r="AB44" s="207" t="s">
        <v>127</v>
      </c>
      <c r="AC44" s="207"/>
      <c r="AD44" s="207"/>
    </row>
    <row r="45" spans="3:30" ht="18" x14ac:dyDescent="0.55000000000000004">
      <c r="I45" s="128" t="s">
        <v>247</v>
      </c>
      <c r="J45" s="24" t="str">
        <f>IF(ISERROR('4.エネルギー使用量'!$H$91/1000*$C$6*$C$7),"",ROUND('4.エネルギー使用量'!$H$91/1000*$C$6*$C$7,2))</f>
        <v/>
      </c>
      <c r="K45" s="18" t="str">
        <f>IF(ISERROR('4.エネルギー使用量'!$H$91/1000*$C$6*$E$6),"",ROUND('4.エネルギー使用量'!$H$91/1000*$C$6*$E$6,2))</f>
        <v/>
      </c>
      <c r="N45" s="124"/>
      <c r="O45" s="56"/>
      <c r="P45" s="74" t="s">
        <v>109</v>
      </c>
      <c r="Q45" s="74" t="s">
        <v>108</v>
      </c>
      <c r="R45" s="74" t="s">
        <v>107</v>
      </c>
      <c r="S45" s="74" t="s">
        <v>109</v>
      </c>
      <c r="T45" s="74" t="s">
        <v>108</v>
      </c>
      <c r="U45" s="74" t="s">
        <v>107</v>
      </c>
      <c r="V45" s="74" t="s">
        <v>109</v>
      </c>
      <c r="W45" s="74" t="s">
        <v>108</v>
      </c>
      <c r="X45" s="74" t="s">
        <v>107</v>
      </c>
      <c r="Y45" s="74" t="s">
        <v>109</v>
      </c>
      <c r="Z45" s="74" t="s">
        <v>108</v>
      </c>
      <c r="AA45" s="74" t="s">
        <v>107</v>
      </c>
      <c r="AB45" s="74" t="s">
        <v>109</v>
      </c>
      <c r="AC45" s="74" t="s">
        <v>108</v>
      </c>
      <c r="AD45" s="74" t="s">
        <v>107</v>
      </c>
    </row>
    <row r="46" spans="3:30" ht="19.2" x14ac:dyDescent="0.55000000000000004">
      <c r="I46" s="128" t="s">
        <v>241</v>
      </c>
      <c r="J46" s="19" t="str">
        <f>IF(ISERROR('4.エネルギー使用量'!$H$91/1000*$C$18*$C$7),"",ROUND('4.エネルギー使用量'!$H$91/1000*$C$18*$C$7,2))</f>
        <v/>
      </c>
      <c r="K46" s="18" t="str">
        <f>IF(ISERROR('4.エネルギー使用量'!$H$91/1000*$C$18*$E$18*$E$7),"",ROUND('4.エネルギー使用量'!$H$91/1000*$C$18*$E$18*$E$7,2))</f>
        <v/>
      </c>
      <c r="N46" s="125" t="s">
        <v>168</v>
      </c>
      <c r="O46" s="56" t="str">
        <f>IF(AND('2-3.設備仕様入力'!D$118="電気",'2-3.設備仕様入力'!D$124="kW"),1,IF(AND('2-3.設備仕様入力'!D$118="都市ガス",'2-3.設備仕様入力'!D$124="kW"),2,IF(AND('2-3.設備仕様入力'!D$118="都市ガス",'2-3.設備仕様入力'!D$124="ｍ3N/h"),3,IF(AND('2-3.設備仕様入力'!D$118="LPG",'2-3.設備仕様入力'!D$124="kW"),4,IF(AND('2-3.設備仕様入力'!D$118="LPG",'2-3.設備仕様入力'!D$124="kg/h"),5,"")))))</f>
        <v/>
      </c>
      <c r="P46" s="71" t="str">
        <f>IF(OR('2-3.設備仕様入力'!$D$113="電気式パッケージ形空調機",'2-3.設備仕様入力'!$D$113="ルームエアコン"),ROUND('2-3.設備仕様入力'!$D$122*'2-3.設備仕様入力'!$D$117*計算!$C$3*VLOOKUP('2-3.設備仕様入力'!$D$119,計算!$N$16:$P$26,2,FALSE)/1000,1),"")</f>
        <v/>
      </c>
      <c r="Q46" s="71" t="str">
        <f>IF(OR('2-3.設備仕様入力'!$D$113="電気式パッケージ形空調機",'2-3.設備仕様入力'!$D$113="ルームエアコン"),ROUND('2-3.設備仕様入力'!$D$123*'2-3.設備仕様入力'!$D$117*計算!$C$3*VLOOKUP('2-3.設備仕様入力'!$D$119,計算!$N$16:$P$26,3,FALSE)/1000,1),"")</f>
        <v/>
      </c>
      <c r="R46" s="71" t="str">
        <f t="shared" ref="R46:R55" si="5">IF(AND(P46="",Q46=""),"",P46+Q46)</f>
        <v/>
      </c>
      <c r="S46" s="71" t="str">
        <f>IF('2-3.設備仕様入力'!$D$113="ガスヒートポンプ式空調機",IF('2-3.設備仕様入力'!$D$118="都市ガス",IF('2-3.設備仕様入力'!$D$124="kW",ROUND('2-3.設備仕様入力'!$D$117*'2-3.設備仕様入力'!$D$122*3.6/1000*VLOOKUP('2-3.設備仕様入力'!$D$119,計算!$N$16:$P$26,2,FALSE),1),""),""),"")</f>
        <v/>
      </c>
      <c r="T46" s="71" t="str">
        <f>IF('2-3.設備仕様入力'!$D$113="ガスヒートポンプ式空調機",IF('2-3.設備仕様入力'!$D$118="都市ガス",IF('2-3.設備仕様入力'!$D$124="kW",ROUND('2-3.設備仕様入力'!$D$117*'2-3.設備仕様入力'!$D$123*3.6/1000*VLOOKUP('2-3.設備仕様入力'!$D$119,計算!$N$16:$P$26,3,FALSE),1),""),""),"")</f>
        <v/>
      </c>
      <c r="U46" s="71" t="str">
        <f t="shared" ref="U46:U55" si="6">IF(AND(S46="",T46=""),"",S46+T46)</f>
        <v/>
      </c>
      <c r="V46" s="71" t="str">
        <f>IF('2-3.設備仕様入力'!$D$113="ガスヒートポンプ式空調機",IF('2-3.設備仕様入力'!$D$124="ｍ3N/h",ROUND('2-3.設備仕様入力'!$D$117*'2-3.設備仕様入力'!$D$122*計算!$C$10/1000*VLOOKUP('2-3.設備仕様入力'!$D$119,計算!$N$16:$P$26,2,FALSE),1),""),"")</f>
        <v/>
      </c>
      <c r="W46" s="71" t="str">
        <f>IF('2-3.設備仕様入力'!$D$113="ガスヒートポンプ式空調機",IF('2-3.設備仕様入力'!$D$124="ｍ3N/h",ROUND('2-3.設備仕様入力'!$D$117*'2-3.設備仕様入力'!$D$123*計算!$C$10/1000*VLOOKUP('2-3.設備仕様入力'!$D$119,計算!$N$16:$P$26,3,FALSE),1),""),"")</f>
        <v/>
      </c>
      <c r="X46" s="71" t="str">
        <f t="shared" ref="X46:X55" si="7">IF(AND(V46="",W46=""),"",V46+W46)</f>
        <v/>
      </c>
      <c r="Y46" s="71" t="str">
        <f>IF('2-3.設備仕様入力'!$D$113="ガスヒートポンプ式空調機",IF('2-3.設備仕様入力'!$D$118="LPG",IF('2-3.設備仕様入力'!$D$124="kW",ROUND('2-3.設備仕様入力'!$D$117*'2-3.設備仕様入力'!$D$122*3.6/1000*VLOOKUP('2-3.設備仕様入力'!$D$119,計算!$N$16:$P$26,2,FALSE),1),""),""),"")</f>
        <v/>
      </c>
      <c r="Z46" s="71" t="str">
        <f>IF('2-3.設備仕様入力'!$D$113="ガスヒートポンプ式空調機",IF('2-3.設備仕様入力'!$D$118="LPG",IF('2-3.設備仕様入力'!$D$124="kW",ROUND('2-3.設備仕様入力'!$D$117*'2-3.設備仕様入力'!$D$123*3.6/1000*VLOOKUP('2-3.設備仕様入力'!$D$119,計算!$N$16:$P$26,3,FALSE),1),""),""),"")</f>
        <v/>
      </c>
      <c r="AA46" s="71" t="str">
        <f t="shared" ref="AA46:AA55" si="8">IF(AND(Y46="",Z46=""),"",Y46+Z46)</f>
        <v/>
      </c>
      <c r="AB46" s="71" t="str">
        <f>IF('2-3.設備仕様入力'!$D$113="ガスヒートポンプ式空調機",IF('2-3.設備仕様入力'!$D$118="LPG",IF('2-3.設備仕様入力'!$D$124="kg/h",ROUND('2-3.設備仕様入力'!$D$117*'2-3.設備仕様入力'!$D$122*計算!$C$11/1000*VLOOKUP('2-3.設備仕様入力'!$D$119,計算!$N$16:$P$26,2,FALSE),1),""),""),"")</f>
        <v/>
      </c>
      <c r="AC46" s="71" t="str">
        <f>IF('2-3.設備仕様入力'!$D$113="ガスヒートポンプ式空調機",IF('2-3.設備仕様入力'!$D$118="LPG",IF('2-3.設備仕様入力'!$D$124="kg/h",ROUND('2-3.設備仕様入力'!$D$117*'2-3.設備仕様入力'!$D$123*計算!$C$11/1000*VLOOKUP('2-3.設備仕様入力'!$D$119,計算!$N$16:$P$26,3,FALSE),1),""),""),"")</f>
        <v/>
      </c>
      <c r="AD46" s="71" t="str">
        <f t="shared" ref="AD46:AD55" si="9">IF(AND(AB46="",AC46=""),"",AB46+AC46)</f>
        <v/>
      </c>
    </row>
    <row r="47" spans="3:30" ht="19.2" x14ac:dyDescent="0.55000000000000004">
      <c r="I47" s="128" t="s">
        <v>242</v>
      </c>
      <c r="J47" s="19" t="str">
        <f>IF(ISERROR('4.エネルギー使用量'!$H$91/1000*$C$19*$C$7),"",ROUND('4.エネルギー使用量'!$H$91/1000*$C$19*$C$7,2))</f>
        <v/>
      </c>
      <c r="K47" s="18" t="str">
        <f>IF(ISERROR('4.エネルギー使用量'!$H$91/1000*$C$19*$E$19*$E$7),"",ROUND('4.エネルギー使用量'!$H$91/1000*$C$19*$E$19*$E$7,2))</f>
        <v/>
      </c>
      <c r="N47" s="125" t="s">
        <v>128</v>
      </c>
      <c r="O47" s="56" t="str">
        <f>IF(AND('2-3.設備仕様入力'!E$118="電気",'2-3.設備仕様入力'!E$124="kW"),1,IF(AND('2-3.設備仕様入力'!E$118="都市ガス",'2-3.設備仕様入力'!E$124="kW"),2,IF(AND('2-3.設備仕様入力'!E$118="都市ガス",'2-3.設備仕様入力'!E$124="ｍ3N/h"),3,IF(AND('2-3.設備仕様入力'!E$118="LPG",'2-3.設備仕様入力'!E$124="kW"),4,IF(AND('2-3.設備仕様入力'!E$118="LPG",'2-3.設備仕様入力'!E$124="kg/h"),5,"")))))</f>
        <v/>
      </c>
      <c r="P47" s="71" t="str">
        <f>IF(OR('2-3.設備仕様入力'!$E$113="電気式パッケージ形空調機",'2-3.設備仕様入力'!$E$113="ルームエアコン"),ROUND('2-3.設備仕様入力'!$E$122*'2-3.設備仕様入力'!$E$117*計算!$C$3*VLOOKUP('2-3.設備仕様入力'!$E$119,計算!$N$16:$P$26,2,FALSE)/1000,1),"")</f>
        <v/>
      </c>
      <c r="Q47" s="71" t="str">
        <f>IF(OR('2-3.設備仕様入力'!$E$113="電気式パッケージ形空調機",'2-3.設備仕様入力'!$E$113="ルームエアコン"),ROUND('2-3.設備仕様入力'!$E$123*'2-3.設備仕様入力'!$E$117*計算!$C$3*VLOOKUP('2-3.設備仕様入力'!$E$119,計算!$N$16:$P$26,3,FALSE)/1000,1),"")</f>
        <v/>
      </c>
      <c r="R47" s="71" t="str">
        <f t="shared" si="5"/>
        <v/>
      </c>
      <c r="S47" s="71" t="str">
        <f>IF('2-3.設備仕様入力'!$E$113="ガスヒートポンプ式空調機",IF('2-3.設備仕様入力'!$E$118="都市ガス",IF('2-3.設備仕様入力'!$E$124="kW",ROUND('2-3.設備仕様入力'!$E$117*'2-3.設備仕様入力'!$E$122*3.6/1000*VLOOKUP('2-3.設備仕様入力'!$E$119,計算!$N$16:$P$26,2,FALSE),1),""),""),"")</f>
        <v/>
      </c>
      <c r="T47" s="71" t="str">
        <f>IF('2-3.設備仕様入力'!$E$113="ガスヒートポンプ式空調機",IF('2-3.設備仕様入力'!$E$118="都市ガス",IF('2-3.設備仕様入力'!$E$124="kW",ROUND('2-3.設備仕様入力'!$E$117*'2-3.設備仕様入力'!$E$123*3.6/1000*VLOOKUP('2-3.設備仕様入力'!$E$119,計算!$N$16:$P$26,3,FALSE),1),""),""),"")</f>
        <v/>
      </c>
      <c r="U47" s="71" t="str">
        <f t="shared" si="6"/>
        <v/>
      </c>
      <c r="V47" s="71" t="str">
        <f>IF('2-3.設備仕様入力'!$E$113="ガスヒートポンプ式空調機",IF('2-3.設備仕様入力'!$E$124="ｍ3N/h",ROUND('2-3.設備仕様入力'!$E$117*'2-3.設備仕様入力'!$E$122*計算!$C$10/1000*VLOOKUP('2-3.設備仕様入力'!$E$119,計算!$N$16:$P$26,2,FALSE),1),""),"")</f>
        <v/>
      </c>
      <c r="W47" s="71" t="str">
        <f>IF('2-3.設備仕様入力'!$E$113="ガスヒートポンプ式空調機",IF('2-3.設備仕様入力'!$E$124="ｍ3N/h",ROUND('2-3.設備仕様入力'!$E$117*'2-3.設備仕様入力'!$E$123*計算!$C$10/1000*VLOOKUP('2-3.設備仕様入力'!$E$119,計算!$N$16:$P$26,3,FALSE),1),""),"")</f>
        <v/>
      </c>
      <c r="X47" s="71" t="str">
        <f t="shared" si="7"/>
        <v/>
      </c>
      <c r="Y47" s="71" t="str">
        <f>IF('2-3.設備仕様入力'!$E$113="ガスヒートポンプ式空調機",IF('2-3.設備仕様入力'!$E$118="LPG",IF('2-3.設備仕様入力'!$E$124="kW",ROUND('2-3.設備仕様入力'!$E$117*'2-3.設備仕様入力'!$E$122*3.6/1000*VLOOKUP('2-3.設備仕様入力'!$E$119,計算!$N$16:$P$26,2,FALSE),1),""),""),"")</f>
        <v/>
      </c>
      <c r="Z47" s="71" t="str">
        <f>IF('2-3.設備仕様入力'!$E$113="ガスヒートポンプ式空調機",IF('2-3.設備仕様入力'!$E$118="LPG",IF('2-3.設備仕様入力'!$E$124="kW",ROUND('2-3.設備仕様入力'!$E$117*'2-3.設備仕様入力'!$E$123*3.6/1000*VLOOKUP('2-3.設備仕様入力'!$E$119,計算!$N$16:$P$26,3,FALSE),1),""),""),"")</f>
        <v/>
      </c>
      <c r="AA47" s="71" t="str">
        <f t="shared" si="8"/>
        <v/>
      </c>
      <c r="AB47" s="71" t="str">
        <f>IF('2-3.設備仕様入力'!$E$113="ガスヒートポンプ式空調機",IF('2-3.設備仕様入力'!$E$118="LPG",IF('2-3.設備仕様入力'!$E$124="kg/h",ROUND('2-3.設備仕様入力'!$E$117*'2-3.設備仕様入力'!$E$122*計算!$C$11/1000*VLOOKUP('2-3.設備仕様入力'!$E$119,計算!$N$16:$P$26,2,FALSE),1),""),""),"")</f>
        <v/>
      </c>
      <c r="AC47" s="71" t="str">
        <f>IF('2-3.設備仕様入力'!$E$113="ガスヒートポンプ式空調機",IF('2-3.設備仕様入力'!$E$118="LPG",IF('2-3.設備仕様入力'!$E$124="kg/h",ROUND('2-3.設備仕様入力'!$E$117*'2-3.設備仕様入力'!$E$123*計算!$C$11/1000*VLOOKUP('2-3.設備仕様入力'!$E$119,計算!$N$16:$P$26,3,FALSE),1),""),""),"")</f>
        <v/>
      </c>
      <c r="AD47" s="71" t="str">
        <f t="shared" si="9"/>
        <v/>
      </c>
    </row>
    <row r="48" spans="3:30" ht="19.2" x14ac:dyDescent="0.55000000000000004">
      <c r="I48" s="128" t="s">
        <v>243</v>
      </c>
      <c r="J48" s="19" t="str">
        <f>IF(ISERROR('4.エネルギー使用量'!$H$91/1000*$C$20*$C$7),"",ROUND('4.エネルギー使用量'!$H$91/1000*$C$20*$C$7,2))</f>
        <v/>
      </c>
      <c r="K48" s="18" t="str">
        <f>IF(ISERROR('4.エネルギー使用量'!$H$91/1000*$C$20*$E$20*$E$7),"",ROUND('4.エネルギー使用量'!$H$91/1000*$C$20*$E$20*$E$7,2))</f>
        <v/>
      </c>
      <c r="N48" s="125" t="s">
        <v>129</v>
      </c>
      <c r="O48" s="56" t="str">
        <f>IF(AND('2-3.設備仕様入力'!F$118="電気",'2-3.設備仕様入力'!F$124="kW"),1,IF(AND('2-3.設備仕様入力'!F$118="都市ガス",'2-3.設備仕様入力'!F$124="kW"),2,IF(AND('2-3.設備仕様入力'!F$118="都市ガス",'2-3.設備仕様入力'!F$124="ｍ3N/h"),3,IF(AND('2-3.設備仕様入力'!F$118="LPG",'2-3.設備仕様入力'!F$124="kW"),4,IF(AND('2-3.設備仕様入力'!F$118="LPG",'2-3.設備仕様入力'!F$124="kg/h"),5,"")))))</f>
        <v/>
      </c>
      <c r="P48" s="71" t="str">
        <f>IF(OR('2-3.設備仕様入力'!$F$113="電気式パッケージ形空調機",'2-3.設備仕様入力'!$F$113="ルームエアコン"),ROUND('2-3.設備仕様入力'!$F$122*'2-3.設備仕様入力'!$F$117*計算!$C$3*VLOOKUP('2-3.設備仕様入力'!$F$119,計算!$N$16:$P$26,2,FALSE)/1000,1),"")</f>
        <v/>
      </c>
      <c r="Q48" s="71" t="str">
        <f>IF(OR('2-3.設備仕様入力'!$F$113="電気式パッケージ形空調機",'2-3.設備仕様入力'!$F$113="ルームエアコン"),ROUND('2-3.設備仕様入力'!$F$123*'2-3.設備仕様入力'!$F$117*計算!$C$3*VLOOKUP('2-3.設備仕様入力'!$F$119,計算!$N$16:$P$26,3,FALSE)/1000,1),"")</f>
        <v/>
      </c>
      <c r="R48" s="71" t="str">
        <f t="shared" si="5"/>
        <v/>
      </c>
      <c r="S48" s="71" t="str">
        <f>IF('2-3.設備仕様入力'!$F$113="ガスヒートポンプ式空調機",IF('2-3.設備仕様入力'!$F$118="都市ガス",IF('2-3.設備仕様入力'!$F$124="kW",ROUND('2-3.設備仕様入力'!$F$117*'2-3.設備仕様入力'!$F$122*3.6/1000*VLOOKUP('2-3.設備仕様入力'!$F$119,計算!$N$16:$P$26,2,FALSE),1),""),""),"")</f>
        <v/>
      </c>
      <c r="T48" s="71" t="str">
        <f>IF('2-3.設備仕様入力'!$F$113="ガスヒートポンプ式空調機",IF('2-3.設備仕様入力'!$F$118="都市ガス",IF('2-3.設備仕様入力'!$F$124="kW",ROUND('2-3.設備仕様入力'!$F$117*'2-3.設備仕様入力'!$F$123*3.6/1000*VLOOKUP('2-3.設備仕様入力'!$F$119,計算!$N$16:$P$26,3,FALSE),1),""),""),"")</f>
        <v/>
      </c>
      <c r="U48" s="71" t="str">
        <f t="shared" si="6"/>
        <v/>
      </c>
      <c r="V48" s="71" t="str">
        <f>IF('2-3.設備仕様入力'!$F$113="ガスヒートポンプ式空調機",IF('2-3.設備仕様入力'!$F$124="ｍ3N/h",ROUND('2-3.設備仕様入力'!$F$117*'2-3.設備仕様入力'!$F$122*計算!$C$10/1000*VLOOKUP('2-3.設備仕様入力'!$F$119,計算!$N$16:$P$26,2,FALSE),1),""),"")</f>
        <v/>
      </c>
      <c r="W48" s="71" t="str">
        <f>IF('2-3.設備仕様入力'!$F$113="ガスヒートポンプ式空調機",IF('2-3.設備仕様入力'!$F$124="ｍ3N/h",ROUND('2-3.設備仕様入力'!$F$117*'2-3.設備仕様入力'!$F$123*計算!$C$10/1000*VLOOKUP('2-3.設備仕様入力'!$F$119,計算!$N$16:$P$26,3,FALSE),1),""),"")</f>
        <v/>
      </c>
      <c r="X48" s="71" t="str">
        <f t="shared" si="7"/>
        <v/>
      </c>
      <c r="Y48" s="71" t="str">
        <f>IF('2-3.設備仕様入力'!$F$113="ガスヒートポンプ式空調機",IF('2-3.設備仕様入力'!$F$118="LPG",IF('2-3.設備仕様入力'!$F$124="kW",ROUND('2-3.設備仕様入力'!$F$117*'2-3.設備仕様入力'!$F$122*3.6/1000*VLOOKUP('2-3.設備仕様入力'!$F$119,計算!$N$16:$P$26,2,FALSE),1),""),""),"")</f>
        <v/>
      </c>
      <c r="Z48" s="71" t="str">
        <f>IF('2-3.設備仕様入力'!$F$113="ガスヒートポンプ式空調機",IF('2-3.設備仕様入力'!$F$118="LPG",IF('2-3.設備仕様入力'!$F$124="kW",ROUND('2-3.設備仕様入力'!$F$117*'2-3.設備仕様入力'!$F$123*3.6/1000*VLOOKUP('2-3.設備仕様入力'!$F$119,計算!$N$16:$P$26,3,FALSE),1),""),""),"")</f>
        <v/>
      </c>
      <c r="AA48" s="71" t="str">
        <f t="shared" si="8"/>
        <v/>
      </c>
      <c r="AB48" s="71" t="str">
        <f>IF('2-3.設備仕様入力'!$F$113="ガスヒートポンプ式空調機",IF('2-3.設備仕様入力'!$F$118="LPG",IF('2-3.設備仕様入力'!$F$124="kg/h",ROUND('2-3.設備仕様入力'!$F$117*'2-3.設備仕様入力'!$F$122*計算!$C$11/1000*VLOOKUP('2-3.設備仕様入力'!$F$119,計算!$N$16:$P$26,2,FALSE),1),""),""),"")</f>
        <v/>
      </c>
      <c r="AC48" s="71" t="str">
        <f>IF('2-3.設備仕様入力'!$F$113="ガスヒートポンプ式空調機",IF('2-3.設備仕様入力'!$F$118="LPG",IF('2-3.設備仕様入力'!$F$124="kg/h",ROUND('2-3.設備仕様入力'!$F$117*'2-3.設備仕様入力'!$F$123*計算!$C$11/1000*VLOOKUP('2-3.設備仕様入力'!$F$119,計算!$N$16:$P$26,3,FALSE),1),""),""),"")</f>
        <v/>
      </c>
      <c r="AD48" s="71" t="str">
        <f t="shared" si="9"/>
        <v/>
      </c>
    </row>
    <row r="49" spans="9:30" ht="19.8" thickBot="1" x14ac:dyDescent="0.6">
      <c r="I49" s="128" t="s">
        <v>244</v>
      </c>
      <c r="J49" s="16" t="str">
        <f>IF(ISERROR('4.エネルギー使用量'!$H$91/1000*$C$21*$C$7),"",ROUND('4.エネルギー使用量'!$H$91/1000*$C$21*$C$7,2))</f>
        <v/>
      </c>
      <c r="K49" s="15" t="str">
        <f>IF(ISERROR('4.エネルギー使用量'!$H$91/1000*$C$21*$E$21*$E$7),"",ROUND('4.エネルギー使用量'!$H$91/1000*$C$21*$E$21*$E$7,2))</f>
        <v/>
      </c>
      <c r="N49" s="125" t="s">
        <v>130</v>
      </c>
      <c r="O49" s="56" t="str">
        <f>IF(AND('2-3.設備仕様入力'!G$118="電気",'2-3.設備仕様入力'!G$124="kW"),1,IF(AND('2-3.設備仕様入力'!G$118="都市ガス",'2-3.設備仕様入力'!G$124="kW"),2,IF(AND('2-3.設備仕様入力'!G$118="都市ガス",'2-3.設備仕様入力'!G$124="ｍ3N/h"),3,IF(AND('2-3.設備仕様入力'!G$118="LPG",'2-3.設備仕様入力'!G$124="kW"),4,IF(AND('2-3.設備仕様入力'!G$118="LPG",'2-3.設備仕様入力'!G$124="kg/h"),5,"")))))</f>
        <v/>
      </c>
      <c r="P49" s="71" t="str">
        <f>IF(OR('2-3.設備仕様入力'!$G$113="電気式パッケージ形空調機",'2-3.設備仕様入力'!$G$113="ルームエアコン"),ROUND('2-3.設備仕様入力'!$G$122*'2-3.設備仕様入力'!$G$117*計算!$C$3*VLOOKUP('2-3.設備仕様入力'!$G$119,計算!$N$16:$P$26,2,FALSE)/1000,1),"")</f>
        <v/>
      </c>
      <c r="Q49" s="71" t="str">
        <f>IF(OR('2-3.設備仕様入力'!$G$113="電気式パッケージ形空調機",'2-3.設備仕様入力'!$G$113="ルームエアコン"),ROUND('2-3.設備仕様入力'!$G$123*'2-3.設備仕様入力'!$G$117*計算!$C$3*VLOOKUP('2-3.設備仕様入力'!$G$119,計算!$N$16:$P$26,3,FALSE)/1000,1),"")</f>
        <v/>
      </c>
      <c r="R49" s="71" t="str">
        <f t="shared" si="5"/>
        <v/>
      </c>
      <c r="S49" s="71" t="str">
        <f>IF('2-3.設備仕様入力'!$G$113="ガスヒートポンプ式空調機",IF('2-3.設備仕様入力'!$G$118="都市ガス",IF('2-3.設備仕様入力'!$G$124="kW",ROUND('2-3.設備仕様入力'!$G$117*'2-3.設備仕様入力'!$G$122*3.6/1000*VLOOKUP('2-3.設備仕様入力'!$G$119,計算!$N$16:$P$26,2,FALSE),1),""),""),"")</f>
        <v/>
      </c>
      <c r="T49" s="71" t="str">
        <f>IF('2-3.設備仕様入力'!$G$113="ガスヒートポンプ式空調機",IF('2-3.設備仕様入力'!$G$118="都市ガス",IF('2-3.設備仕様入力'!$G$124="kW",ROUND('2-3.設備仕様入力'!$G$117*'2-3.設備仕様入力'!$G$123*3.6/1000*VLOOKUP('2-3.設備仕様入力'!$G$119,計算!$N$16:$P$26,3,FALSE),1),""),""),"")</f>
        <v/>
      </c>
      <c r="U49" s="71" t="str">
        <f t="shared" si="6"/>
        <v/>
      </c>
      <c r="V49" s="71" t="str">
        <f>IF('2-3.設備仕様入力'!$G$113="ガスヒートポンプ式空調機",IF('2-3.設備仕様入力'!$G$124="ｍ3N/h",ROUND('2-3.設備仕様入力'!$G$117*'2-3.設備仕様入力'!$G$122*計算!$C$10/1000*VLOOKUP('2-3.設備仕様入力'!$G$119,計算!$N$16:$P$26,2,FALSE),1),""),"")</f>
        <v/>
      </c>
      <c r="W49" s="71" t="str">
        <f>IF('2-3.設備仕様入力'!$G$113="ガスヒートポンプ式空調機",IF('2-3.設備仕様入力'!$G$124="ｍ3N/h",ROUND('2-3.設備仕様入力'!$G$117*'2-3.設備仕様入力'!$G$123*計算!$C$10/1000*VLOOKUP('2-3.設備仕様入力'!$G$119,計算!$N$16:$P$26,3,FALSE),1),""),"")</f>
        <v/>
      </c>
      <c r="X49" s="71" t="str">
        <f t="shared" si="7"/>
        <v/>
      </c>
      <c r="Y49" s="71" t="str">
        <f>IF('2-3.設備仕様入力'!$G$113="ガスヒートポンプ式空調機",IF('2-3.設備仕様入力'!$G$118="LPG",IF('2-3.設備仕様入力'!$G$124="kW",ROUND('2-3.設備仕様入力'!$G$117*'2-3.設備仕様入力'!$G$122*3.6/1000*VLOOKUP('2-3.設備仕様入力'!$G$119,計算!$N$16:$P$26,2,FALSE),1),""),""),"")</f>
        <v/>
      </c>
      <c r="Z49" s="71" t="str">
        <f>IF('2-3.設備仕様入力'!$G$113="ガスヒートポンプ式空調機",IF('2-3.設備仕様入力'!$G$118="LPG",IF('2-3.設備仕様入力'!$G$124="kW",ROUND('2-3.設備仕様入力'!$G$117*'2-3.設備仕様入力'!$G$123*3.6/1000*VLOOKUP('2-3.設備仕様入力'!$G$119,計算!$N$16:$P$26,3,FALSE),1),""),""),"")</f>
        <v/>
      </c>
      <c r="AA49" s="71" t="str">
        <f t="shared" si="8"/>
        <v/>
      </c>
      <c r="AB49" s="71" t="str">
        <f>IF('2-3.設備仕様入力'!$G$113="ガスヒートポンプ式空調機",IF('2-3.設備仕様入力'!$G$118="LPG",IF('2-3.設備仕様入力'!$G$124="kg/h",ROUND('2-3.設備仕様入力'!$G$117*'2-3.設備仕様入力'!$G$122*計算!$C$11/1000*VLOOKUP('2-3.設備仕様入力'!$G$119,計算!$N$16:$P$26,2,FALSE),1),""),""),"")</f>
        <v/>
      </c>
      <c r="AC49" s="71" t="str">
        <f>IF('2-3.設備仕様入力'!$G$113="ガスヒートポンプ式空調機",IF('2-3.設備仕様入力'!$G$118="LPG",IF('2-3.設備仕様入力'!$G$124="kg/h",ROUND('2-3.設備仕様入力'!$G$117*'2-3.設備仕様入力'!$G$123*計算!$C$11/1000*VLOOKUP('2-3.設備仕様入力'!$G$119,計算!$N$16:$P$26,3,FALSE),1),""),""),"")</f>
        <v/>
      </c>
      <c r="AD49" s="71" t="str">
        <f t="shared" si="9"/>
        <v/>
      </c>
    </row>
    <row r="50" spans="9:30" ht="19.2" x14ac:dyDescent="0.55000000000000004">
      <c r="N50" s="125" t="s">
        <v>131</v>
      </c>
      <c r="O50" s="56" t="str">
        <f>IF(AND('2-3.設備仕様入力'!H$118="電気",'2-3.設備仕様入力'!H$124="kW"),1,IF(AND('2-3.設備仕様入力'!H$118="都市ガス",'2-3.設備仕様入力'!H$124="kW"),2,IF(AND('2-3.設備仕様入力'!H$118="都市ガス",'2-3.設備仕様入力'!H$124="ｍ3N/h"),3,IF(AND('2-3.設備仕様入力'!H$118="LPG",'2-3.設備仕様入力'!H$124="kW"),4,IF(AND('2-3.設備仕様入力'!H$118="LPG",'2-3.設備仕様入力'!H$124="kg/h"),5,"")))))</f>
        <v/>
      </c>
      <c r="P50" s="71" t="str">
        <f>IF(OR('2-3.設備仕様入力'!$H$113="電気式パッケージ形空調機",'2-3.設備仕様入力'!$H$113="ルームエアコン"),ROUND('2-3.設備仕様入力'!$H$122*'2-3.設備仕様入力'!$H$117*計算!$C$3*VLOOKUP('2-3.設備仕様入力'!$H$119,計算!$N$16:$P$26,2,FALSE)/1000,1),"")</f>
        <v/>
      </c>
      <c r="Q50" s="71" t="str">
        <f>IF(OR('2-3.設備仕様入力'!$H$113="電気式パッケージ形空調機",'2-3.設備仕様入力'!$H$113="ルームエアコン"),ROUND('2-3.設備仕様入力'!$H$123*'2-3.設備仕様入力'!$H$117*計算!$C$3*VLOOKUP('2-3.設備仕様入力'!$H$119,計算!$N$16:$P$26,3,FALSE)/1000,1),"")</f>
        <v/>
      </c>
      <c r="R50" s="71" t="str">
        <f t="shared" si="5"/>
        <v/>
      </c>
      <c r="S50" s="71" t="str">
        <f>IF('2-3.設備仕様入力'!$H$113="ガスヒートポンプ式空調機",IF('2-3.設備仕様入力'!$H$118="都市ガス",IF('2-3.設備仕様入力'!$H$124="kW",ROUND('2-3.設備仕様入力'!$H$117*'2-3.設備仕様入力'!$H$122*3.6/1000*VLOOKUP('2-3.設備仕様入力'!$H$119,計算!$N$16:$P$26,2,FALSE),1),""),""),"")</f>
        <v/>
      </c>
      <c r="T50" s="71" t="str">
        <f>IF('2-3.設備仕様入力'!$H$113="ガスヒートポンプ式空調機",IF('2-3.設備仕様入力'!$H$118="都市ガス",IF('2-3.設備仕様入力'!$H$124="kW",ROUND('2-3.設備仕様入力'!$H$117*'2-3.設備仕様入力'!$H$123*3.6/1000*VLOOKUP('2-3.設備仕様入力'!$H$119,計算!$N$16:$P$26,3,FALSE),1),""),""),"")</f>
        <v/>
      </c>
      <c r="U50" s="71" t="str">
        <f t="shared" si="6"/>
        <v/>
      </c>
      <c r="V50" s="71" t="str">
        <f>IF('2-3.設備仕様入力'!$H$113="ガスヒートポンプ式空調機",IF('2-3.設備仕様入力'!$H$124="ｍ3N/h",ROUND('2-3.設備仕様入力'!$H$117*'2-3.設備仕様入力'!$H$122*計算!$C$10/1000*VLOOKUP('2-3.設備仕様入力'!$H$119,計算!$N$16:$P$26,2,FALSE),1),""),"")</f>
        <v/>
      </c>
      <c r="W50" s="71" t="str">
        <f>IF('2-3.設備仕様入力'!$H$113="ガスヒートポンプ式空調機",IF('2-3.設備仕様入力'!$H$124="ｍ3N/h",ROUND('2-3.設備仕様入力'!$H$117*'2-3.設備仕様入力'!$H$123*計算!$C$10/1000*VLOOKUP('2-3.設備仕様入力'!$H$119,計算!$N$16:$P$26,3,FALSE),1),""),"")</f>
        <v/>
      </c>
      <c r="X50" s="71" t="str">
        <f t="shared" si="7"/>
        <v/>
      </c>
      <c r="Y50" s="71" t="str">
        <f>IF('2-3.設備仕様入力'!$H$113="ガスヒートポンプ式空調機",IF('2-3.設備仕様入力'!$H$118="LPG",IF('2-3.設備仕様入力'!$H$124="kW",ROUND('2-3.設備仕様入力'!$H$117*'2-3.設備仕様入力'!$H$122*3.6/1000*VLOOKUP('2-3.設備仕様入力'!$H$119,計算!$N$16:$P$26,2,FALSE),1),""),""),"")</f>
        <v/>
      </c>
      <c r="Z50" s="71" t="str">
        <f>IF('2-3.設備仕様入力'!$H$113="ガスヒートポンプ式空調機",IF('2-3.設備仕様入力'!$H$118="LPG",IF('2-3.設備仕様入力'!$H$124="kW",ROUND('2-3.設備仕様入力'!$H$117*'2-3.設備仕様入力'!$H$123*3.6/1000*VLOOKUP('2-3.設備仕様入力'!$H$119,計算!$N$16:$P$26,3,FALSE),1),""),""),"")</f>
        <v/>
      </c>
      <c r="AA50" s="71" t="str">
        <f t="shared" si="8"/>
        <v/>
      </c>
      <c r="AB50" s="71" t="str">
        <f>IF('2-3.設備仕様入力'!$H$113="ガスヒートポンプ式空調機",IF('2-3.設備仕様入力'!$H$118="LPG",IF('2-3.設備仕様入力'!$H$124="kg/h",ROUND('2-3.設備仕様入力'!$H$117*'2-3.設備仕様入力'!$H$122*計算!$C$11/1000*VLOOKUP('2-3.設備仕様入力'!$H$119,計算!$N$16:$P$26,2,FALSE),1),""),""),"")</f>
        <v/>
      </c>
      <c r="AC50" s="71" t="str">
        <f>IF('2-3.設備仕様入力'!$H$113="ガスヒートポンプ式空調機",IF('2-3.設備仕様入力'!$H$118="LPG",IF('2-3.設備仕様入力'!$H$124="kg/h",ROUND('2-3.設備仕様入力'!$H$117*'2-3.設備仕様入力'!$H$123*計算!$C$11/1000*VLOOKUP('2-3.設備仕様入力'!$H$119,計算!$N$16:$P$26,3,FALSE),1),""),""),"")</f>
        <v/>
      </c>
      <c r="AD50" s="71" t="str">
        <f t="shared" si="9"/>
        <v/>
      </c>
    </row>
    <row r="51" spans="9:30" ht="19.2" x14ac:dyDescent="0.55000000000000004">
      <c r="N51" s="125" t="s">
        <v>132</v>
      </c>
      <c r="O51" s="56" t="str">
        <f>IF(AND('2-3.設備仕様入力'!I$118="電気",'2-3.設備仕様入力'!I$124="kW"),1,IF(AND('2-3.設備仕様入力'!I$118="都市ガス",'2-3.設備仕様入力'!I$124="kW"),2,IF(AND('2-3.設備仕様入力'!I$118="都市ガス",'2-3.設備仕様入力'!I$124="ｍ3N/h"),3,IF(AND('2-3.設備仕様入力'!I$118="LPG",'2-3.設備仕様入力'!I$124="kW"),4,IF(AND('2-3.設備仕様入力'!I$118="LPG",'2-3.設備仕様入力'!I$124="kg/h"),5,"")))))</f>
        <v/>
      </c>
      <c r="P51" s="71" t="str">
        <f>IF(OR('2-3.設備仕様入力'!$I$113="電気式パッケージ形空調機",'2-3.設備仕様入力'!$I$113="ルームエアコン"),ROUND('2-3.設備仕様入力'!$I$122*'2-3.設備仕様入力'!$I$117*計算!$C$3*VLOOKUP('2-3.設備仕様入力'!$I$119,計算!$N$16:$P$26,2,FALSE)/1000,1),"")</f>
        <v/>
      </c>
      <c r="Q51" s="71" t="str">
        <f>IF(OR('2-3.設備仕様入力'!$I$113="電気式パッケージ形空調機",'2-3.設備仕様入力'!$I$113="ルームエアコン"),ROUND('2-3.設備仕様入力'!$I$123*'2-3.設備仕様入力'!$I$117*計算!$C$3*VLOOKUP('2-3.設備仕様入力'!$I$119,計算!$N$16:$P$26,3,FALSE)/1000,1),"")</f>
        <v/>
      </c>
      <c r="R51" s="71" t="str">
        <f t="shared" si="5"/>
        <v/>
      </c>
      <c r="S51" s="71" t="str">
        <f>IF('2-3.設備仕様入力'!$I$113="ガスヒートポンプ式空調機",IF('2-3.設備仕様入力'!$I$118="都市ガス",IF('2-3.設備仕様入力'!$I$124="kW",ROUND('2-3.設備仕様入力'!$I$117*'2-3.設備仕様入力'!$I$122*3.6/1000*VLOOKUP('2-3.設備仕様入力'!$I$119,計算!$N$16:$P$26,2,FALSE),1),""),""),"")</f>
        <v/>
      </c>
      <c r="T51" s="71" t="str">
        <f>IF('2-3.設備仕様入力'!$I$113="ガスヒートポンプ式空調機",IF('2-3.設備仕様入力'!$I$118="都市ガス",IF('2-3.設備仕様入力'!$I$124="kW",ROUND('2-3.設備仕様入力'!$I$117*'2-3.設備仕様入力'!$I$123*3.6/1000*VLOOKUP('2-3.設備仕様入力'!$I$119,計算!$N$16:$P$26,3,FALSE),1),""),""),"")</f>
        <v/>
      </c>
      <c r="U51" s="71" t="str">
        <f t="shared" si="6"/>
        <v/>
      </c>
      <c r="V51" s="71" t="str">
        <f>IF('2-3.設備仕様入力'!$I$113="ガスヒートポンプ式空調機",IF('2-3.設備仕様入力'!$I$124="ｍ3N/h",ROUND('2-3.設備仕様入力'!$I$117*'2-3.設備仕様入力'!$I$122*計算!$C$10/1000*VLOOKUP('2-3.設備仕様入力'!$I$119,計算!$N$16:$P$26,2,FALSE),1),""),"")</f>
        <v/>
      </c>
      <c r="W51" s="71" t="str">
        <f>IF('2-3.設備仕様入力'!$I$113="ガスヒートポンプ式空調機",IF('2-3.設備仕様入力'!$I$124="ｍ3N/h",ROUND('2-3.設備仕様入力'!$I$117*'2-3.設備仕様入力'!$I$123*計算!$C$10/1000*VLOOKUP('2-3.設備仕様入力'!$I$119,計算!$N$16:$P$26,3,FALSE),1),""),"")</f>
        <v/>
      </c>
      <c r="X51" s="71" t="str">
        <f t="shared" si="7"/>
        <v/>
      </c>
      <c r="Y51" s="71" t="str">
        <f>IF('2-3.設備仕様入力'!$I$113="ガスヒートポンプ式空調機",IF('2-3.設備仕様入力'!$I$118="LPG",IF('2-3.設備仕様入力'!$I$124="kW",ROUND('2-3.設備仕様入力'!$I$117*'2-3.設備仕様入力'!$I$122*3.6/1000*VLOOKUP('2-3.設備仕様入力'!$I$119,計算!$N$16:$P$26,2,FALSE),1),""),""),"")</f>
        <v/>
      </c>
      <c r="Z51" s="71" t="str">
        <f>IF('2-3.設備仕様入力'!$I$113="ガスヒートポンプ式空調機",IF('2-3.設備仕様入力'!$I$118="LPG",IF('2-3.設備仕様入力'!$I$124="kW",ROUND('2-3.設備仕様入力'!$I$117*'2-3.設備仕様入力'!$I$123*3.6/1000*VLOOKUP('2-3.設備仕様入力'!$I$119,計算!$N$16:$P$26,3,FALSE),1),""),""),"")</f>
        <v/>
      </c>
      <c r="AA51" s="71" t="str">
        <f t="shared" si="8"/>
        <v/>
      </c>
      <c r="AB51" s="71" t="str">
        <f>IF('2-3.設備仕様入力'!$I$113="ガスヒートポンプ式空調機",IF('2-3.設備仕様入力'!$I$118="LPG",IF('2-3.設備仕様入力'!$I$124="kg/h",ROUND('2-3.設備仕様入力'!$I$117*'2-3.設備仕様入力'!$I$122*計算!$C$11/1000*VLOOKUP('2-3.設備仕様入力'!$I$119,計算!$N$16:$P$26,2,FALSE),1),""),""),"")</f>
        <v/>
      </c>
      <c r="AC51" s="71" t="str">
        <f>IF('2-3.設備仕様入力'!$I$113="ガスヒートポンプ式空調機",IF('2-3.設備仕様入力'!$I$118="LPG",IF('2-3.設備仕様入力'!$I$124="kg/h",ROUND('2-3.設備仕様入力'!$I$117*'2-3.設備仕様入力'!$I$123*計算!$C$11/1000*VLOOKUP('2-3.設備仕様入力'!$I$119,計算!$N$16:$P$26,3,FALSE),1),""),""),"")</f>
        <v/>
      </c>
      <c r="AD51" s="71" t="str">
        <f t="shared" si="9"/>
        <v/>
      </c>
    </row>
    <row r="52" spans="9:30" ht="19.2" x14ac:dyDescent="0.55000000000000004">
      <c r="N52" s="125" t="s">
        <v>133</v>
      </c>
      <c r="O52" s="56" t="str">
        <f>IF(AND('2-3.設備仕様入力'!J$118="電気",'2-3.設備仕様入力'!J$124="kW"),1,IF(AND('2-3.設備仕様入力'!J$118="都市ガス",'2-3.設備仕様入力'!J$124="kW"),2,IF(AND('2-3.設備仕様入力'!J$118="都市ガス",'2-3.設備仕様入力'!J$124="ｍ3N/h"),3,IF(AND('2-3.設備仕様入力'!J$118="LPG",'2-3.設備仕様入力'!J$124="kW"),4,IF(AND('2-3.設備仕様入力'!J$118="LPG",'2-3.設備仕様入力'!J$124="kg/h"),5,"")))))</f>
        <v/>
      </c>
      <c r="P52" s="71" t="str">
        <f>IF(OR('2-3.設備仕様入力'!$J$113="電気式パッケージ形空調機",'2-3.設備仕様入力'!$J$113="ルームエアコン"),ROUND('2-3.設備仕様入力'!$J$122*'2-3.設備仕様入力'!$J$117*計算!$C$3*VLOOKUP('2-3.設備仕様入力'!$J$119,計算!$N$16:$P$26,2,FALSE)/1000,1),"")</f>
        <v/>
      </c>
      <c r="Q52" s="71" t="str">
        <f>IF(OR('2-3.設備仕様入力'!$J$113="電気式パッケージ形空調機",'2-3.設備仕様入力'!$J$113="ルームエアコン"),ROUND('2-3.設備仕様入力'!$J$123*'2-3.設備仕様入力'!$J$117*計算!$C$3*VLOOKUP('2-3.設備仕様入力'!$J$119,計算!$N$16:$P$26,3,FALSE)/1000,1),"")</f>
        <v/>
      </c>
      <c r="R52" s="71" t="str">
        <f t="shared" si="5"/>
        <v/>
      </c>
      <c r="S52" s="71" t="str">
        <f>IF('2-3.設備仕様入力'!$J$113="ガスヒートポンプ式空調機",IF('2-3.設備仕様入力'!$J$118="都市ガス",IF('2-3.設備仕様入力'!$J$124="kW",ROUND('2-3.設備仕様入力'!$J$117*'2-3.設備仕様入力'!$J$122*3.6/1000*VLOOKUP('2-3.設備仕様入力'!$J$119,計算!$N$16:$P$26,2,FALSE),1),""),""),"")</f>
        <v/>
      </c>
      <c r="T52" s="71" t="str">
        <f>IF('2-3.設備仕様入力'!$J$113="ガスヒートポンプ式空調機",IF('2-3.設備仕様入力'!$J$118="都市ガス",IF('2-3.設備仕様入力'!$J$124="kW",ROUND('2-3.設備仕様入力'!$J$117*'2-3.設備仕様入力'!$J$123*3.6/1000*VLOOKUP('2-3.設備仕様入力'!$J$119,計算!$N$16:$P$26,3,FALSE),1),""),""),"")</f>
        <v/>
      </c>
      <c r="U52" s="71" t="str">
        <f t="shared" si="6"/>
        <v/>
      </c>
      <c r="V52" s="71" t="str">
        <f>IF('2-3.設備仕様入力'!$J$113="ガスヒートポンプ式空調機",IF('2-3.設備仕様入力'!$J$124="ｍ3N/h",ROUND('2-3.設備仕様入力'!$J$117*'2-3.設備仕様入力'!$J$122*計算!$C$10/1000*VLOOKUP('2-3.設備仕様入力'!$J$119,計算!$N$16:$P$26,2,FALSE),1),""),"")</f>
        <v/>
      </c>
      <c r="W52" s="71" t="str">
        <f>IF('2-3.設備仕様入力'!$J$113="ガスヒートポンプ式空調機",IF('2-3.設備仕様入力'!$J$124="ｍ3N/h",ROUND('2-3.設備仕様入力'!$J$117*'2-3.設備仕様入力'!$J$123*計算!$C$10/1000*VLOOKUP('2-3.設備仕様入力'!$J$119,計算!$N$16:$P$26,3,FALSE),1),""),"")</f>
        <v/>
      </c>
      <c r="X52" s="71" t="str">
        <f t="shared" si="7"/>
        <v/>
      </c>
      <c r="Y52" s="71" t="str">
        <f>IF('2-3.設備仕様入力'!$J$113="ガスヒートポンプ式空調機",IF('2-3.設備仕様入力'!$J$118="LPG",IF('2-3.設備仕様入力'!$J$124="kW",ROUND('2-3.設備仕様入力'!$J$117*'2-3.設備仕様入力'!$J$122*3.6/1000*VLOOKUP('2-3.設備仕様入力'!$J$119,計算!$N$16:$P$26,2,FALSE),1),""),""),"")</f>
        <v/>
      </c>
      <c r="Z52" s="71" t="str">
        <f>IF('2-3.設備仕様入力'!$J$113="ガスヒートポンプ式空調機",IF('2-3.設備仕様入力'!$J$118="LPG",IF('2-3.設備仕様入力'!$J$124="kW",ROUND('2-3.設備仕様入力'!$J$117*'2-3.設備仕様入力'!$J$123*3.6/1000*VLOOKUP('2-3.設備仕様入力'!$J$119,計算!$N$16:$P$26,3,FALSE),1),""),""),"")</f>
        <v/>
      </c>
      <c r="AA52" s="71" t="str">
        <f t="shared" si="8"/>
        <v/>
      </c>
      <c r="AB52" s="71" t="str">
        <f>IF('2-3.設備仕様入力'!$J$113="ガスヒートポンプ式空調機",IF('2-3.設備仕様入力'!$J$118="LPG",IF('2-3.設備仕様入力'!$J$124="kg/h",ROUND('2-3.設備仕様入力'!$J$117*'2-3.設備仕様入力'!$J$122*計算!$C$11/1000*VLOOKUP('2-3.設備仕様入力'!$J$119,計算!$N$16:$P$26,2,FALSE),1),""),""),"")</f>
        <v/>
      </c>
      <c r="AC52" s="71" t="str">
        <f>IF('2-3.設備仕様入力'!$J$113="ガスヒートポンプ式空調機",IF('2-3.設備仕様入力'!$J$118="LPG",IF('2-3.設備仕様入力'!$J$124="kg/h",ROUND('2-3.設備仕様入力'!$J$117*'2-3.設備仕様入力'!$J$123*計算!$C$11/1000*VLOOKUP('2-3.設備仕様入力'!$J$119,計算!$N$16:$P$26,3,FALSE),1),""),""),"")</f>
        <v/>
      </c>
      <c r="AD52" s="71" t="str">
        <f t="shared" si="9"/>
        <v/>
      </c>
    </row>
    <row r="53" spans="9:30" ht="19.2" x14ac:dyDescent="0.55000000000000004">
      <c r="N53" s="125" t="s">
        <v>134</v>
      </c>
      <c r="O53" s="56" t="str">
        <f>IF(AND('2-3.設備仕様入力'!K$118="電気",'2-3.設備仕様入力'!K$124="kW"),1,IF(AND('2-3.設備仕様入力'!K$118="都市ガス",'2-3.設備仕様入力'!K$124="kW"),2,IF(AND('2-3.設備仕様入力'!K$118="都市ガス",'2-3.設備仕様入力'!K$124="ｍ3N/h"),3,IF(AND('2-3.設備仕様入力'!K$118="LPG",'2-3.設備仕様入力'!K$124="kW"),4,IF(AND('2-3.設備仕様入力'!K$118="LPG",'2-3.設備仕様入力'!K$124="kg/h"),5,"")))))</f>
        <v/>
      </c>
      <c r="P53" s="71" t="str">
        <f>IF(OR('2-3.設備仕様入力'!$K$113="電気式パッケージ形空調機",'2-3.設備仕様入力'!$K$113="ルームエアコン"),ROUND('2-3.設備仕様入力'!$K$122*'2-3.設備仕様入力'!$K$117*計算!$C$3*VLOOKUP('2-3.設備仕様入力'!$K$119,計算!$N$16:$P$26,2,FALSE)/1000,1),"")</f>
        <v/>
      </c>
      <c r="Q53" s="71" t="str">
        <f>IF(OR('2-3.設備仕様入力'!$K$113="電気式パッケージ形空調機",'2-3.設備仕様入力'!$K$113="ルームエアコン"),ROUND('2-3.設備仕様入力'!$K$123*'2-3.設備仕様入力'!$K$117*計算!$C$3*VLOOKUP('2-3.設備仕様入力'!$K$119,計算!$N$16:$P$26,3,FALSE)/1000,1),"")</f>
        <v/>
      </c>
      <c r="R53" s="71" t="str">
        <f t="shared" si="5"/>
        <v/>
      </c>
      <c r="S53" s="71" t="str">
        <f>IF('2-3.設備仕様入力'!$K$113="ガスヒートポンプ式空調機",IF('2-3.設備仕様入力'!$K$118="都市ガス",IF('2-3.設備仕様入力'!$K$124="kW",ROUND('2-3.設備仕様入力'!$K$117*'2-3.設備仕様入力'!$K$122*3.6/1000*VLOOKUP('2-3.設備仕様入力'!$K$119,計算!$N$16:$P$26,2,FALSE),1),""),""),"")</f>
        <v/>
      </c>
      <c r="T53" s="71" t="str">
        <f>IF('2-3.設備仕様入力'!$K$113="ガスヒートポンプ式空調機",IF('2-3.設備仕様入力'!$K$118="都市ガス",IF('2-3.設備仕様入力'!$K$124="kW",ROUND('2-3.設備仕様入力'!$K$117*'2-3.設備仕様入力'!$K$123*3.6/1000*VLOOKUP('2-3.設備仕様入力'!$K$119,計算!$N$16:$P$26,3,FALSE),1),""),""),"")</f>
        <v/>
      </c>
      <c r="U53" s="71" t="str">
        <f t="shared" si="6"/>
        <v/>
      </c>
      <c r="V53" s="71" t="str">
        <f>IF('2-3.設備仕様入力'!$K$113="ガスヒートポンプ式空調機",IF('2-3.設備仕様入力'!$K$124="ｍ3N/h",ROUND('2-3.設備仕様入力'!$K$117*'2-3.設備仕様入力'!$K$122*計算!$C$10/1000*VLOOKUP('2-3.設備仕様入力'!$K$119,計算!$N$16:$P$26,2,FALSE),1),""),"")</f>
        <v/>
      </c>
      <c r="W53" s="71" t="str">
        <f>IF('2-3.設備仕様入力'!$K$113="ガスヒートポンプ式空調機",IF('2-3.設備仕様入力'!$K$124="ｍ3N/h",ROUND('2-3.設備仕様入力'!$K$117*'2-3.設備仕様入力'!$K$123*計算!$C$10/1000*VLOOKUP('2-3.設備仕様入力'!$K$119,計算!$N$16:$P$26,3,FALSE),1),""),"")</f>
        <v/>
      </c>
      <c r="X53" s="71" t="str">
        <f t="shared" si="7"/>
        <v/>
      </c>
      <c r="Y53" s="71" t="str">
        <f>IF('2-3.設備仕様入力'!$K$113="ガスヒートポンプ式空調機",IF('2-3.設備仕様入力'!$K$118="LPG",IF('2-3.設備仕様入力'!$K$124="kW",ROUND('2-3.設備仕様入力'!$K$117*'2-3.設備仕様入力'!$K$122*3.6/1000*VLOOKUP('2-3.設備仕様入力'!$K$119,計算!$N$16:$P$26,2,FALSE),1),""),""),"")</f>
        <v/>
      </c>
      <c r="Z53" s="71" t="str">
        <f>IF('2-3.設備仕様入力'!$K$113="ガスヒートポンプ式空調機",IF('2-3.設備仕様入力'!$K$118="LPG",IF('2-3.設備仕様入力'!$K$124="kW",ROUND('2-3.設備仕様入力'!$K$117*'2-3.設備仕様入力'!$K$123*3.6/1000*VLOOKUP('2-3.設備仕様入力'!$K$119,計算!$N$16:$P$26,3,FALSE),1),""),""),"")</f>
        <v/>
      </c>
      <c r="AA53" s="71" t="str">
        <f t="shared" si="8"/>
        <v/>
      </c>
      <c r="AB53" s="71" t="str">
        <f>IF('2-3.設備仕様入力'!$K$113="ガスヒートポンプ式空調機",IF('2-3.設備仕様入力'!$K$118="LPG",IF('2-3.設備仕様入力'!$K$124="kg/h",ROUND('2-3.設備仕様入力'!$K$117*'2-3.設備仕様入力'!$K$122*計算!$C$11/1000*VLOOKUP('2-3.設備仕様入力'!$K$119,計算!$N$16:$P$26,2,FALSE),1),""),""),"")</f>
        <v/>
      </c>
      <c r="AC53" s="71" t="str">
        <f>IF('2-3.設備仕様入力'!$K$113="ガスヒートポンプ式空調機",IF('2-3.設備仕様入力'!$K$118="LPG",IF('2-3.設備仕様入力'!$K$124="kg/h",ROUND('2-3.設備仕様入力'!$K$117*'2-3.設備仕様入力'!$K$123*計算!$C$11/1000*VLOOKUP('2-3.設備仕様入力'!$K$119,計算!$N$16:$P$26,3,FALSE),1),""),""),"")</f>
        <v/>
      </c>
      <c r="AD53" s="71" t="str">
        <f t="shared" si="9"/>
        <v/>
      </c>
    </row>
    <row r="54" spans="9:30" ht="19.2" x14ac:dyDescent="0.55000000000000004">
      <c r="N54" s="125" t="s">
        <v>135</v>
      </c>
      <c r="O54" s="56" t="str">
        <f>IF(AND('2-3.設備仕様入力'!L$118="電気",'2-3.設備仕様入力'!L$124="kW"),1,IF(AND('2-3.設備仕様入力'!L$118="都市ガス",'2-3.設備仕様入力'!L$124="kW"),2,IF(AND('2-3.設備仕様入力'!L$118="都市ガス",'2-3.設備仕様入力'!L$124="ｍ3N/h"),3,IF(AND('2-3.設備仕様入力'!L$118="LPG",'2-3.設備仕様入力'!L$124="kW"),4,IF(AND('2-3.設備仕様入力'!L$118="LPG",'2-3.設備仕様入力'!L$124="kg/h"),5,"")))))</f>
        <v/>
      </c>
      <c r="P54" s="71" t="str">
        <f>IF(OR('2-3.設備仕様入力'!$L$113="電気式パッケージ形空調機",'2-3.設備仕様入力'!$L$113="ルームエアコン"),ROUND('2-3.設備仕様入力'!$L$122*'2-3.設備仕様入力'!$L$117*計算!$C$3*VLOOKUP('2-3.設備仕様入力'!$L$119,計算!$N$16:$P$26,2,FALSE)/1000,1),"")</f>
        <v/>
      </c>
      <c r="Q54" s="71" t="str">
        <f>IF(OR('2-3.設備仕様入力'!$L$113="電気式パッケージ形空調機",'2-3.設備仕様入力'!$L$113="ルームエアコン"),ROUND('2-3.設備仕様入力'!$L$123*'2-3.設備仕様入力'!$L$117*計算!$C$3*VLOOKUP('2-3.設備仕様入力'!$L$119,計算!$N$16:$P$26,3,FALSE)/1000,1),"")</f>
        <v/>
      </c>
      <c r="R54" s="71" t="str">
        <f t="shared" si="5"/>
        <v/>
      </c>
      <c r="S54" s="71" t="str">
        <f>IF('2-3.設備仕様入力'!$L$113="ガスヒートポンプ式空調機",IF('2-3.設備仕様入力'!$L$118="都市ガス",IF('2-3.設備仕様入力'!$L$124="kW",ROUND('2-3.設備仕様入力'!$L$117*'2-3.設備仕様入力'!$L$122*3.6/1000*VLOOKUP('2-3.設備仕様入力'!$L$119,計算!$N$16:$P$26,2,FALSE),1),""),""),"")</f>
        <v/>
      </c>
      <c r="T54" s="71" t="str">
        <f>IF('2-3.設備仕様入力'!$L$113="ガスヒートポンプ式空調機",IF('2-3.設備仕様入力'!$L$118="都市ガス",IF('2-3.設備仕様入力'!$L$124="kW",ROUND('2-3.設備仕様入力'!$L$117*'2-3.設備仕様入力'!$L$123*3.6/1000*VLOOKUP('2-3.設備仕様入力'!$L$119,計算!$N$16:$P$26,3,FALSE),1),""),""),"")</f>
        <v/>
      </c>
      <c r="U54" s="71" t="str">
        <f t="shared" si="6"/>
        <v/>
      </c>
      <c r="V54" s="71" t="str">
        <f>IF('2-3.設備仕様入力'!$L$113="ガスヒートポンプ式空調機",IF('2-3.設備仕様入力'!$L$124="ｍ3N/h",ROUND('2-3.設備仕様入力'!$L$117*'2-3.設備仕様入力'!$L$122*計算!$C$10/1000*VLOOKUP('2-3.設備仕様入力'!$L$119,計算!$N$16:$P$26,2,FALSE),1),""),"")</f>
        <v/>
      </c>
      <c r="W54" s="71" t="str">
        <f>IF('2-3.設備仕様入力'!$L$113="ガスヒートポンプ式空調機",IF('2-3.設備仕様入力'!$L$124="ｍ3N/h",ROUND('2-3.設備仕様入力'!$L$117*'2-3.設備仕様入力'!$L$123*計算!$C$10/1000*VLOOKUP('2-3.設備仕様入力'!$L$119,計算!$N$16:$P$26,3,FALSE),1),""),"")</f>
        <v/>
      </c>
      <c r="X54" s="71" t="str">
        <f t="shared" si="7"/>
        <v/>
      </c>
      <c r="Y54" s="71" t="str">
        <f>IF('2-3.設備仕様入力'!$L$113="ガスヒートポンプ式空調機",IF('2-3.設備仕様入力'!$L$118="LPG",IF('2-3.設備仕様入力'!$L$124="kW",ROUND('2-3.設備仕様入力'!$L$117*'2-3.設備仕様入力'!$L$122*3.6/1000*VLOOKUP('2-3.設備仕様入力'!$L$119,計算!$N$16:$P$26,2,FALSE),1),""),""),"")</f>
        <v/>
      </c>
      <c r="Z54" s="71" t="str">
        <f>IF('2-3.設備仕様入力'!$L$113="ガスヒートポンプ式空調機",IF('2-3.設備仕様入力'!$L$118="LPG",IF('2-3.設備仕様入力'!$L$124="kW",ROUND('2-3.設備仕様入力'!$L$117*'2-3.設備仕様入力'!$L$123*3.6/1000*VLOOKUP('2-3.設備仕様入力'!$L$119,計算!$N$16:$P$26,3,FALSE),1),""),""),"")</f>
        <v/>
      </c>
      <c r="AA54" s="71" t="str">
        <f t="shared" si="8"/>
        <v/>
      </c>
      <c r="AB54" s="71" t="str">
        <f>IF('2-3.設備仕様入力'!$L$113="ガスヒートポンプ式空調機",IF('2-3.設備仕様入力'!$L$118="LPG",IF('2-3.設備仕様入力'!$L$124="kg/h",ROUND('2-3.設備仕様入力'!$L$117*'2-3.設備仕様入力'!$L$122*計算!$C$11/1000*VLOOKUP('2-3.設備仕様入力'!$L$119,計算!$N$16:$P$26,2,FALSE),1),""),""),"")</f>
        <v/>
      </c>
      <c r="AC54" s="71" t="str">
        <f>IF('2-3.設備仕様入力'!$L$113="ガスヒートポンプ式空調機",IF('2-3.設備仕様入力'!$L$118="LPG",IF('2-3.設備仕様入力'!$L$124="kg/h",ROUND('2-3.設備仕様入力'!$L$117*'2-3.設備仕様入力'!$L$123*計算!$C$11/1000*VLOOKUP('2-3.設備仕様入力'!$L$119,計算!$N$16:$P$26,3,FALSE),1),""),""),"")</f>
        <v/>
      </c>
      <c r="AD54" s="71" t="str">
        <f t="shared" si="9"/>
        <v/>
      </c>
    </row>
    <row r="55" spans="9:30" ht="19.2" x14ac:dyDescent="0.55000000000000004">
      <c r="N55" s="125" t="s">
        <v>136</v>
      </c>
      <c r="O55" s="56" t="str">
        <f>IF(AND('2-3.設備仕様入力'!M$118="電気",'2-3.設備仕様入力'!M$124="kW"),1,IF(AND('2-3.設備仕様入力'!M$118="都市ガス",'2-3.設備仕様入力'!M$124="kW"),2,IF(AND('2-3.設備仕様入力'!M$118="都市ガス",'2-3.設備仕様入力'!M$124="ｍ3N/h"),3,IF(AND('2-3.設備仕様入力'!M$118="LPG",'2-3.設備仕様入力'!M$124="kW"),4,IF(AND('2-3.設備仕様入力'!M$118="LPG",'2-3.設備仕様入力'!M$124="kg/h"),5,"")))))</f>
        <v/>
      </c>
      <c r="P55" s="71" t="str">
        <f>IF(OR('2-3.設備仕様入力'!$M$113="電気式パッケージ形空調機",'2-3.設備仕様入力'!$M$113="ルームエアコン"),ROUND('2-3.設備仕様入力'!$M$122*'2-3.設備仕様入力'!$M$117*計算!$C$3*VLOOKUP('2-3.設備仕様入力'!$M$119,計算!$N$16:$P$26,2,FALSE)/1000,1),"")</f>
        <v/>
      </c>
      <c r="Q55" s="71" t="str">
        <f>IF(OR('2-3.設備仕様入力'!$M$113="電気式パッケージ形空調機",'2-3.設備仕様入力'!$M$113="ルームエアコン"),ROUND('2-3.設備仕様入力'!$M$123*'2-3.設備仕様入力'!$M$117*計算!$C$3*VLOOKUP('2-3.設備仕様入力'!$M$119,計算!$N$16:$P$26,3,FALSE)/1000,1),"")</f>
        <v/>
      </c>
      <c r="R55" s="71" t="str">
        <f t="shared" si="5"/>
        <v/>
      </c>
      <c r="S55" s="71" t="str">
        <f>IF('2-3.設備仕様入力'!$M$113="ガスヒートポンプ式空調機",IF('2-3.設備仕様入力'!$M$118="都市ガス",IF('2-3.設備仕様入力'!$M$124="kW",ROUND('2-3.設備仕様入力'!$M$117*'2-3.設備仕様入力'!$M$122*3.6/1000*VLOOKUP('2-3.設備仕様入力'!$M$119,計算!$N$16:$P$26,2,FALSE),1),""),""),"")</f>
        <v/>
      </c>
      <c r="T55" s="71" t="str">
        <f>IF('2-3.設備仕様入力'!$M$113="ガスヒートポンプ式空調機",IF('2-3.設備仕様入力'!$M$118="都市ガス",IF('2-3.設備仕様入力'!$M$124="kW",ROUND('2-3.設備仕様入力'!$M$117*'2-3.設備仕様入力'!$M$123*3.6/1000*VLOOKUP('2-3.設備仕様入力'!$M$119,計算!$N$16:$P$26,3,FALSE),1),""),""),"")</f>
        <v/>
      </c>
      <c r="U55" s="71" t="str">
        <f t="shared" si="6"/>
        <v/>
      </c>
      <c r="V55" s="71" t="str">
        <f>IF('2-3.設備仕様入力'!$M$113="ガスヒートポンプ式空調機",IF('2-3.設備仕様入力'!$M$124="ｍ3N/h",ROUND('2-3.設備仕様入力'!$M$117*'2-3.設備仕様入力'!$M$122*計算!$C$10/1000*VLOOKUP('2-3.設備仕様入力'!$M$119,計算!$N$16:$P$26,2,FALSE),1),""),"")</f>
        <v/>
      </c>
      <c r="W55" s="71" t="str">
        <f>IF('2-3.設備仕様入力'!$M$113="ガスヒートポンプ式空調機",IF('2-3.設備仕様入力'!$M$124="ｍ3N/h",ROUND('2-3.設備仕様入力'!$M$117*'2-3.設備仕様入力'!$M$123*計算!$C$10/1000*VLOOKUP('2-3.設備仕様入力'!$M$119,計算!$N$16:$P$26,3,FALSE),1),""),"")</f>
        <v/>
      </c>
      <c r="X55" s="71" t="str">
        <f t="shared" si="7"/>
        <v/>
      </c>
      <c r="Y55" s="71" t="str">
        <f>IF('2-3.設備仕様入力'!$M$113="ガスヒートポンプ式空調機",IF('2-3.設備仕様入力'!$M$118="LPG",IF('2-3.設備仕様入力'!$M$124="kW",ROUND('2-3.設備仕様入力'!$M$117*'2-3.設備仕様入力'!$M$122*3.6/1000*VLOOKUP('2-3.設備仕様入力'!$M$119,計算!$N$16:$P$26,2,FALSE),1),""),""),"")</f>
        <v/>
      </c>
      <c r="Z55" s="71" t="str">
        <f>IF('2-3.設備仕様入力'!$M$113="ガスヒートポンプ式空調機",IF('2-3.設備仕様入力'!$M$118="LPG",IF('2-3.設備仕様入力'!$M$124="kW",ROUND('2-3.設備仕様入力'!$M$117*'2-3.設備仕様入力'!$M$123*3.6/1000*VLOOKUP('2-3.設備仕様入力'!$M$119,計算!$N$16:$P$26,3,FALSE),1),""),""),"")</f>
        <v/>
      </c>
      <c r="AA55" s="71" t="str">
        <f t="shared" si="8"/>
        <v/>
      </c>
      <c r="AB55" s="71" t="str">
        <f>IF('2-3.設備仕様入力'!$M$113="ガスヒートポンプ式空調機",IF('2-3.設備仕様入力'!$M$118="LPG",IF('2-3.設備仕様入力'!$M$124="kg/h",ROUND('2-3.設備仕様入力'!$M$117*'2-3.設備仕様入力'!$M$122*計算!$C$11/1000*VLOOKUP('2-3.設備仕様入力'!$M$119,計算!$N$16:$P$26,2,FALSE),1),""),""),"")</f>
        <v/>
      </c>
      <c r="AC55" s="71" t="str">
        <f>IF('2-3.設備仕様入力'!$M$113="ガスヒートポンプ式空調機",IF('2-3.設備仕様入力'!$M$118="LPG",IF('2-3.設備仕様入力'!$M$124="kg/h",ROUND('2-3.設備仕様入力'!$M$117*'2-3.設備仕様入力'!$M$123*計算!$C$11/1000*VLOOKUP('2-3.設備仕様入力'!$M$119,計算!$N$16:$P$26,3,FALSE),1),""),""),"")</f>
        <v/>
      </c>
      <c r="AD55" s="71" t="str">
        <f t="shared" si="9"/>
        <v/>
      </c>
    </row>
  </sheetData>
  <mergeCells count="13">
    <mergeCell ref="J1:K1"/>
    <mergeCell ref="P28:AD28"/>
    <mergeCell ref="Y29:AA29"/>
    <mergeCell ref="AB29:AD29"/>
    <mergeCell ref="P29:R29"/>
    <mergeCell ref="S29:U29"/>
    <mergeCell ref="V29:X29"/>
    <mergeCell ref="P43:AD43"/>
    <mergeCell ref="P44:R44"/>
    <mergeCell ref="S44:U44"/>
    <mergeCell ref="V44:X44"/>
    <mergeCell ref="Y44:AA44"/>
    <mergeCell ref="AB44:AD44"/>
  </mergeCells>
  <phoneticPr fontId="2"/>
  <pageMargins left="0.7" right="0.7" top="0.75" bottom="0.75" header="0.3" footer="0.3"/>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Q50"/>
  <sheetViews>
    <sheetView tabSelected="1" zoomScaleNormal="100" zoomScaleSheetLayoutView="78" workbookViewId="0">
      <selection activeCell="E22" sqref="E22"/>
    </sheetView>
  </sheetViews>
  <sheetFormatPr defaultColWidth="7.1640625" defaultRowHeight="19.2" x14ac:dyDescent="0.55000000000000004"/>
  <cols>
    <col min="1" max="1" width="2.1640625" style="69" customWidth="1"/>
    <col min="2" max="2" width="14.9140625" style="69" customWidth="1"/>
    <col min="3" max="3" width="4.83203125" style="69" customWidth="1"/>
    <col min="4" max="4" width="4" style="69" customWidth="1"/>
    <col min="5" max="14" width="9.33203125" style="69" customWidth="1"/>
    <col min="15" max="15" width="2.1640625" style="69" customWidth="1"/>
    <col min="16" max="16" width="7.1640625" style="69"/>
    <col min="17" max="17" width="7.1640625" style="76" customWidth="1"/>
    <col min="18" max="21" width="7.1640625" style="69" customWidth="1"/>
    <col min="22" max="16384" width="7.1640625" style="69"/>
  </cols>
  <sheetData>
    <row r="1" spans="2:14" s="92" customFormat="1" ht="17.399999999999999" x14ac:dyDescent="0.55000000000000004"/>
    <row r="2" spans="2:14" s="35" customFormat="1" x14ac:dyDescent="0.55000000000000004">
      <c r="B2" s="83" t="s">
        <v>287</v>
      </c>
      <c r="C2" s="83"/>
      <c r="D2" s="84"/>
      <c r="E2" s="84"/>
      <c r="F2" s="84"/>
      <c r="G2" s="84"/>
      <c r="H2" s="84"/>
      <c r="I2" s="84"/>
      <c r="J2" s="84"/>
      <c r="K2" s="84"/>
      <c r="L2" s="84"/>
      <c r="M2" s="84"/>
      <c r="N2" s="84"/>
    </row>
    <row r="3" spans="2:14" s="92" customFormat="1" x14ac:dyDescent="0.55000000000000004">
      <c r="B3" s="116" t="s">
        <v>288</v>
      </c>
      <c r="C3" s="69"/>
      <c r="D3" s="69"/>
      <c r="E3" s="69"/>
      <c r="F3" s="69"/>
      <c r="G3" s="69"/>
      <c r="H3" s="69"/>
      <c r="I3" s="69"/>
      <c r="J3" s="69"/>
      <c r="K3" s="84"/>
      <c r="L3" s="69"/>
      <c r="M3" s="69"/>
      <c r="N3" s="69"/>
    </row>
    <row r="4" spans="2:14" s="92" customFormat="1" x14ac:dyDescent="0.55000000000000004">
      <c r="B4" s="116"/>
      <c r="C4" s="69"/>
      <c r="D4" s="69"/>
      <c r="E4" s="69"/>
      <c r="F4" s="69"/>
      <c r="G4" s="69"/>
      <c r="H4" s="69"/>
      <c r="I4" s="69"/>
      <c r="J4" s="69"/>
      <c r="K4" s="84"/>
      <c r="L4" s="69"/>
      <c r="M4" s="69"/>
      <c r="N4" s="69"/>
    </row>
    <row r="5" spans="2:14" s="35" customFormat="1" x14ac:dyDescent="0.55000000000000004">
      <c r="B5" s="83" t="s">
        <v>214</v>
      </c>
      <c r="C5" s="83"/>
      <c r="D5" s="84"/>
      <c r="E5" s="84"/>
      <c r="F5" s="84"/>
      <c r="G5" s="84"/>
      <c r="H5" s="84"/>
      <c r="I5" s="84"/>
      <c r="J5" s="84"/>
      <c r="K5" s="84"/>
      <c r="L5" s="84"/>
      <c r="M5" s="84"/>
      <c r="N5" s="84"/>
    </row>
    <row r="6" spans="2:14" s="92" customFormat="1" x14ac:dyDescent="0.55000000000000004">
      <c r="B6" s="116" t="s">
        <v>225</v>
      </c>
      <c r="C6" s="69"/>
      <c r="D6" s="69"/>
      <c r="E6" s="69"/>
      <c r="F6" s="69"/>
      <c r="G6" s="69"/>
      <c r="H6" s="69"/>
      <c r="I6" s="69"/>
      <c r="J6" s="69"/>
      <c r="K6" s="84"/>
      <c r="L6" s="69"/>
      <c r="M6" s="69"/>
      <c r="N6" s="69"/>
    </row>
    <row r="7" spans="2:14" s="92" customFormat="1" x14ac:dyDescent="0.55000000000000004">
      <c r="B7" s="116" t="s">
        <v>226</v>
      </c>
      <c r="C7" s="69"/>
      <c r="D7" s="69"/>
      <c r="E7" s="69"/>
      <c r="F7" s="69"/>
      <c r="G7" s="69"/>
      <c r="H7" s="69"/>
      <c r="I7" s="69"/>
      <c r="J7" s="69"/>
      <c r="K7" s="84"/>
      <c r="L7" s="69"/>
      <c r="M7" s="69"/>
      <c r="N7" s="69"/>
    </row>
    <row r="8" spans="2:14" s="92" customFormat="1" x14ac:dyDescent="0.55000000000000004">
      <c r="B8" s="116" t="s">
        <v>349</v>
      </c>
      <c r="C8" s="69"/>
      <c r="D8" s="137"/>
      <c r="E8" s="137"/>
      <c r="F8" s="137"/>
      <c r="G8" s="69"/>
      <c r="H8" s="69"/>
      <c r="I8" s="69"/>
      <c r="J8" s="69"/>
      <c r="K8" s="84"/>
      <c r="L8" s="69"/>
      <c r="M8" s="69"/>
      <c r="N8" s="69"/>
    </row>
    <row r="9" spans="2:14" s="92" customFormat="1" x14ac:dyDescent="0.55000000000000004">
      <c r="B9" s="116" t="s">
        <v>228</v>
      </c>
      <c r="C9" s="69"/>
      <c r="D9" s="69"/>
      <c r="E9" s="69"/>
      <c r="F9" s="69"/>
      <c r="G9" s="69"/>
      <c r="H9" s="69"/>
      <c r="I9" s="69"/>
      <c r="J9" s="69"/>
      <c r="K9" s="84"/>
      <c r="L9" s="69"/>
      <c r="M9" s="69"/>
      <c r="N9" s="69"/>
    </row>
    <row r="10" spans="2:14" s="92" customFormat="1" x14ac:dyDescent="0.55000000000000004">
      <c r="B10" s="116" t="s">
        <v>227</v>
      </c>
      <c r="C10" s="69"/>
      <c r="D10" s="69"/>
      <c r="E10" s="69"/>
      <c r="F10" s="69"/>
      <c r="G10" s="69"/>
      <c r="H10" s="69"/>
      <c r="I10" s="69"/>
      <c r="J10" s="69"/>
      <c r="K10" s="84"/>
      <c r="L10" s="69"/>
      <c r="M10" s="69"/>
      <c r="N10" s="69"/>
    </row>
    <row r="11" spans="2:14" s="92" customFormat="1" x14ac:dyDescent="0.55000000000000004">
      <c r="B11" s="116" t="s">
        <v>350</v>
      </c>
      <c r="C11" s="69"/>
      <c r="D11" s="69"/>
      <c r="E11" s="69"/>
      <c r="F11" s="69"/>
      <c r="G11" s="69"/>
      <c r="H11" s="69"/>
      <c r="I11" s="69"/>
      <c r="J11" s="69"/>
      <c r="K11" s="84"/>
      <c r="L11" s="69"/>
      <c r="M11" s="69"/>
      <c r="N11" s="69"/>
    </row>
    <row r="12" spans="2:14" s="92" customFormat="1" x14ac:dyDescent="0.55000000000000004">
      <c r="B12" s="116" t="s">
        <v>229</v>
      </c>
      <c r="C12" s="69"/>
      <c r="D12" s="69"/>
      <c r="E12" s="69"/>
      <c r="F12" s="69"/>
      <c r="G12" s="69"/>
      <c r="H12" s="69"/>
      <c r="I12" s="69"/>
      <c r="J12" s="69"/>
      <c r="K12" s="84"/>
      <c r="L12" s="69"/>
      <c r="M12" s="69"/>
      <c r="N12" s="69"/>
    </row>
    <row r="13" spans="2:14" s="35" customFormat="1" x14ac:dyDescent="0.55000000000000004">
      <c r="B13" s="83"/>
      <c r="C13" s="83"/>
      <c r="D13" s="84"/>
      <c r="E13" s="84"/>
      <c r="F13" s="84"/>
      <c r="G13" s="84"/>
      <c r="H13" s="84"/>
      <c r="I13" s="84"/>
      <c r="J13" s="84"/>
      <c r="K13" s="84"/>
      <c r="L13" s="84"/>
      <c r="M13" s="84"/>
      <c r="N13" s="84"/>
    </row>
    <row r="14" spans="2:14" s="35" customFormat="1" x14ac:dyDescent="0.55000000000000004">
      <c r="B14" s="144" t="s">
        <v>215</v>
      </c>
      <c r="C14" s="85"/>
      <c r="D14" s="84" t="s">
        <v>285</v>
      </c>
      <c r="F14" s="84"/>
      <c r="G14" s="84"/>
      <c r="H14" s="84"/>
      <c r="I14" s="84"/>
      <c r="J14" s="84"/>
      <c r="K14" s="84"/>
      <c r="L14" s="84"/>
      <c r="M14" s="84"/>
      <c r="N14" s="84"/>
    </row>
    <row r="15" spans="2:14" s="35" customFormat="1" x14ac:dyDescent="0.55000000000000004">
      <c r="B15" s="86"/>
      <c r="C15" s="87"/>
      <c r="D15" s="84" t="s">
        <v>142</v>
      </c>
      <c r="F15" s="84"/>
      <c r="G15" s="84"/>
      <c r="H15" s="84"/>
      <c r="I15" s="84"/>
      <c r="J15" s="84"/>
      <c r="K15" s="88"/>
      <c r="L15" s="84"/>
      <c r="M15" s="84"/>
      <c r="N15" s="88"/>
    </row>
    <row r="16" spans="2:14" s="35" customFormat="1" x14ac:dyDescent="0.55000000000000004">
      <c r="B16" s="86"/>
      <c r="C16" s="89"/>
      <c r="D16" s="84" t="s">
        <v>143</v>
      </c>
      <c r="F16" s="84"/>
      <c r="G16" s="84"/>
      <c r="H16" s="84"/>
      <c r="I16" s="84"/>
      <c r="J16" s="84"/>
      <c r="K16" s="84"/>
      <c r="L16" s="84"/>
      <c r="M16" s="84"/>
      <c r="N16" s="84"/>
    </row>
    <row r="17" spans="2:16" s="35" customFormat="1" x14ac:dyDescent="0.55000000000000004">
      <c r="B17" s="86"/>
      <c r="C17" s="86"/>
      <c r="D17" s="84"/>
      <c r="F17" s="84"/>
      <c r="G17" s="84"/>
      <c r="H17" s="84"/>
      <c r="I17" s="84"/>
      <c r="J17" s="84"/>
      <c r="K17" s="84"/>
      <c r="L17" s="84"/>
      <c r="M17" s="84"/>
      <c r="N17" s="84"/>
    </row>
    <row r="18" spans="2:16" ht="24.75" customHeight="1" x14ac:dyDescent="0.55000000000000004">
      <c r="O18" s="187"/>
    </row>
    <row r="19" spans="2:16" ht="49.5" customHeight="1" x14ac:dyDescent="0.55000000000000004">
      <c r="B19" s="147" t="s">
        <v>257</v>
      </c>
      <c r="C19" s="147"/>
      <c r="D19" s="147"/>
      <c r="E19" s="147"/>
      <c r="F19" s="147"/>
      <c r="G19" s="212" t="s">
        <v>345</v>
      </c>
      <c r="H19" s="213"/>
      <c r="I19" s="209" t="str">
        <f>IF(SUM(E23:N23)=0,"",IF(AND(SUM(E34:N34)=0,SUM(E36:N36)=0),"必要換気量に係る要件を満たしています。","必要換気量に係る要件を満たしていません。"))</f>
        <v/>
      </c>
      <c r="J19" s="210"/>
      <c r="K19" s="210"/>
      <c r="L19" s="210"/>
      <c r="M19" s="210"/>
      <c r="N19" s="211"/>
    </row>
    <row r="20" spans="2:16" ht="24.75" customHeight="1" x14ac:dyDescent="0.6">
      <c r="B20" s="146"/>
      <c r="C20" s="146"/>
      <c r="D20" s="146"/>
      <c r="E20" s="146"/>
      <c r="F20" s="146"/>
      <c r="G20" s="146"/>
      <c r="H20" s="146"/>
      <c r="I20" s="146"/>
      <c r="J20" s="146"/>
      <c r="K20" s="146"/>
      <c r="L20" s="146"/>
      <c r="M20" s="146"/>
      <c r="N20" s="184"/>
    </row>
    <row r="21" spans="2:16" ht="42" customHeight="1" x14ac:dyDescent="0.55000000000000004">
      <c r="B21" s="219" t="s">
        <v>144</v>
      </c>
      <c r="C21" s="219"/>
      <c r="D21" s="219"/>
      <c r="E21" s="151" t="s">
        <v>145</v>
      </c>
      <c r="F21" s="151" t="s">
        <v>146</v>
      </c>
      <c r="G21" s="151" t="s">
        <v>147</v>
      </c>
      <c r="H21" s="151" t="s">
        <v>148</v>
      </c>
      <c r="I21" s="151" t="s">
        <v>149</v>
      </c>
      <c r="J21" s="151" t="s">
        <v>150</v>
      </c>
      <c r="K21" s="151" t="s">
        <v>151</v>
      </c>
      <c r="L21" s="151" t="s">
        <v>217</v>
      </c>
      <c r="M21" s="151" t="s">
        <v>218</v>
      </c>
      <c r="N21" s="151" t="s">
        <v>219</v>
      </c>
    </row>
    <row r="22" spans="2:16" ht="58.5" customHeight="1" x14ac:dyDescent="0.55000000000000004">
      <c r="B22" s="219" t="s">
        <v>152</v>
      </c>
      <c r="C22" s="219"/>
      <c r="D22" s="219"/>
      <c r="E22" s="152"/>
      <c r="F22" s="152"/>
      <c r="G22" s="152"/>
      <c r="H22" s="152"/>
      <c r="I22" s="152"/>
      <c r="J22" s="152"/>
      <c r="K22" s="152"/>
      <c r="L22" s="152"/>
      <c r="M22" s="152"/>
      <c r="N22" s="152"/>
      <c r="P22" s="192" t="s">
        <v>381</v>
      </c>
    </row>
    <row r="23" spans="2:16" ht="20.25" hidden="1" customHeight="1" x14ac:dyDescent="0.55000000000000004">
      <c r="B23" s="138"/>
      <c r="C23" s="153"/>
      <c r="D23" s="139"/>
      <c r="E23" s="69">
        <f t="shared" ref="E23:N23" si="0">IF(E22="",0,1)</f>
        <v>0</v>
      </c>
      <c r="F23" s="69">
        <f t="shared" si="0"/>
        <v>0</v>
      </c>
      <c r="G23" s="69">
        <f t="shared" si="0"/>
        <v>0</v>
      </c>
      <c r="H23" s="69">
        <f t="shared" si="0"/>
        <v>0</v>
      </c>
      <c r="I23" s="69">
        <f t="shared" si="0"/>
        <v>0</v>
      </c>
      <c r="J23" s="69">
        <f t="shared" si="0"/>
        <v>0</v>
      </c>
      <c r="K23" s="69">
        <f t="shared" si="0"/>
        <v>0</v>
      </c>
      <c r="L23" s="69">
        <f t="shared" si="0"/>
        <v>0</v>
      </c>
      <c r="M23" s="69">
        <f t="shared" si="0"/>
        <v>0</v>
      </c>
      <c r="N23" s="69">
        <f t="shared" si="0"/>
        <v>0</v>
      </c>
    </row>
    <row r="24" spans="2:16" ht="49.5" customHeight="1" x14ac:dyDescent="0.55000000000000004">
      <c r="B24" s="220" t="s">
        <v>156</v>
      </c>
      <c r="C24" s="220"/>
      <c r="D24" s="220"/>
      <c r="E24" s="154"/>
      <c r="F24" s="154"/>
      <c r="G24" s="154"/>
      <c r="H24" s="154"/>
      <c r="I24" s="154"/>
      <c r="J24" s="154"/>
      <c r="K24" s="154"/>
      <c r="L24" s="154"/>
      <c r="M24" s="154"/>
      <c r="N24" s="154"/>
    </row>
    <row r="25" spans="2:16" ht="49.5" customHeight="1" x14ac:dyDescent="0.55000000000000004">
      <c r="B25" s="220" t="s">
        <v>159</v>
      </c>
      <c r="C25" s="220"/>
      <c r="D25" s="220"/>
      <c r="E25" s="154"/>
      <c r="F25" s="154"/>
      <c r="G25" s="154"/>
      <c r="H25" s="154"/>
      <c r="I25" s="154"/>
      <c r="J25" s="154"/>
      <c r="K25" s="154"/>
      <c r="L25" s="154"/>
      <c r="M25" s="154"/>
      <c r="N25" s="154"/>
    </row>
    <row r="26" spans="2:16" ht="49.5" customHeight="1" x14ac:dyDescent="0.55000000000000004">
      <c r="B26" s="220" t="s">
        <v>224</v>
      </c>
      <c r="C26" s="220"/>
      <c r="D26" s="220"/>
      <c r="E26" s="155"/>
      <c r="F26" s="155"/>
      <c r="G26" s="155"/>
      <c r="H26" s="155"/>
      <c r="I26" s="155"/>
      <c r="J26" s="155"/>
      <c r="K26" s="155"/>
      <c r="L26" s="155"/>
      <c r="M26" s="155"/>
      <c r="N26" s="155"/>
      <c r="P26" s="192" t="s">
        <v>385</v>
      </c>
    </row>
    <row r="27" spans="2:16" ht="49.5" customHeight="1" x14ac:dyDescent="0.55000000000000004">
      <c r="B27" s="217" t="s">
        <v>162</v>
      </c>
      <c r="C27" s="220" t="s">
        <v>163</v>
      </c>
      <c r="D27" s="220"/>
      <c r="E27" s="156"/>
      <c r="F27" s="156"/>
      <c r="G27" s="156"/>
      <c r="H27" s="156"/>
      <c r="I27" s="156"/>
      <c r="J27" s="156"/>
      <c r="K27" s="156"/>
      <c r="L27" s="156"/>
      <c r="M27" s="156"/>
      <c r="N27" s="156"/>
    </row>
    <row r="28" spans="2:16" ht="49.5" customHeight="1" x14ac:dyDescent="0.55000000000000004">
      <c r="B28" s="218"/>
      <c r="C28" s="220" t="s">
        <v>216</v>
      </c>
      <c r="D28" s="220"/>
      <c r="E28" s="156"/>
      <c r="F28" s="156"/>
      <c r="G28" s="156"/>
      <c r="H28" s="156"/>
      <c r="I28" s="156"/>
      <c r="J28" s="156"/>
      <c r="K28" s="156"/>
      <c r="L28" s="156"/>
      <c r="M28" s="156"/>
      <c r="N28" s="156"/>
    </row>
    <row r="29" spans="2:16" ht="49.5" customHeight="1" x14ac:dyDescent="0.55000000000000004">
      <c r="B29" s="217" t="s">
        <v>230</v>
      </c>
      <c r="C29" s="220" t="s">
        <v>163</v>
      </c>
      <c r="D29" s="220"/>
      <c r="E29" s="156"/>
      <c r="F29" s="156"/>
      <c r="G29" s="156"/>
      <c r="H29" s="156"/>
      <c r="I29" s="156"/>
      <c r="J29" s="156"/>
      <c r="K29" s="156"/>
      <c r="L29" s="156"/>
      <c r="M29" s="156"/>
      <c r="N29" s="156"/>
    </row>
    <row r="30" spans="2:16" ht="49.5" customHeight="1" x14ac:dyDescent="0.55000000000000004">
      <c r="B30" s="218"/>
      <c r="C30" s="220" t="s">
        <v>216</v>
      </c>
      <c r="D30" s="220"/>
      <c r="E30" s="156"/>
      <c r="F30" s="156"/>
      <c r="G30" s="156"/>
      <c r="H30" s="156"/>
      <c r="I30" s="156"/>
      <c r="J30" s="156"/>
      <c r="K30" s="156"/>
      <c r="L30" s="156"/>
      <c r="M30" s="156"/>
      <c r="N30" s="156"/>
    </row>
    <row r="31" spans="2:16" ht="49.5" customHeight="1" x14ac:dyDescent="0.55000000000000004">
      <c r="B31" s="217" t="s">
        <v>167</v>
      </c>
      <c r="C31" s="220" t="s">
        <v>163</v>
      </c>
      <c r="D31" s="220"/>
      <c r="E31" s="157" t="str">
        <f>IF(E22="","",IF(E26="自然換気",0,IF(ISERROR(E29/E27),"入力確認",E29/E27)))</f>
        <v/>
      </c>
      <c r="F31" s="157" t="str">
        <f t="shared" ref="F31:N31" si="1">IF(F22="","",IF(F26="自然換気",0,IF(ISERROR(F29/F27),"入力確認",F29/F27)))</f>
        <v/>
      </c>
      <c r="G31" s="157" t="str">
        <f t="shared" si="1"/>
        <v/>
      </c>
      <c r="H31" s="157" t="str">
        <f t="shared" si="1"/>
        <v/>
      </c>
      <c r="I31" s="157" t="str">
        <f t="shared" si="1"/>
        <v/>
      </c>
      <c r="J31" s="157" t="str">
        <f t="shared" si="1"/>
        <v/>
      </c>
      <c r="K31" s="157" t="str">
        <f t="shared" si="1"/>
        <v/>
      </c>
      <c r="L31" s="157" t="str">
        <f t="shared" si="1"/>
        <v/>
      </c>
      <c r="M31" s="157" t="str">
        <f t="shared" si="1"/>
        <v/>
      </c>
      <c r="N31" s="157" t="str">
        <f t="shared" si="1"/>
        <v/>
      </c>
    </row>
    <row r="32" spans="2:16" ht="49.5" customHeight="1" x14ac:dyDescent="0.55000000000000004">
      <c r="B32" s="218"/>
      <c r="C32" s="220" t="s">
        <v>216</v>
      </c>
      <c r="D32" s="220"/>
      <c r="E32" s="157" t="str">
        <f>IF(E22="","",IF(ISERROR(E30/E28),"入力確認",E30/E28))</f>
        <v/>
      </c>
      <c r="F32" s="157" t="str">
        <f t="shared" ref="F32:N32" si="2">IF(F22="","",IF(ISERROR(F30/F28),"入力確認",F30/F28))</f>
        <v/>
      </c>
      <c r="G32" s="157" t="str">
        <f t="shared" si="2"/>
        <v/>
      </c>
      <c r="H32" s="157" t="str">
        <f t="shared" si="2"/>
        <v/>
      </c>
      <c r="I32" s="157" t="str">
        <f t="shared" si="2"/>
        <v/>
      </c>
      <c r="J32" s="157" t="str">
        <f t="shared" si="2"/>
        <v/>
      </c>
      <c r="K32" s="157" t="str">
        <f t="shared" si="2"/>
        <v/>
      </c>
      <c r="L32" s="157" t="str">
        <f t="shared" si="2"/>
        <v/>
      </c>
      <c r="M32" s="157" t="str">
        <f t="shared" si="2"/>
        <v/>
      </c>
      <c r="N32" s="157" t="str">
        <f t="shared" si="2"/>
        <v/>
      </c>
    </row>
    <row r="33" spans="2:17" ht="49.5" customHeight="1" x14ac:dyDescent="0.55000000000000004">
      <c r="B33" s="214" t="s">
        <v>276</v>
      </c>
      <c r="C33" s="215"/>
      <c r="D33" s="216"/>
      <c r="E33" s="148" t="str">
        <f t="shared" ref="E33:N33" si="3">IF(E22="","",IF((E30-E29)&lt;0,"不適合","適合"))</f>
        <v/>
      </c>
      <c r="F33" s="148" t="str">
        <f t="shared" si="3"/>
        <v/>
      </c>
      <c r="G33" s="148" t="str">
        <f>IF(G22="","",IF((G30-G29)&lt;0,"不適合","適合"))</f>
        <v/>
      </c>
      <c r="H33" s="148" t="str">
        <f t="shared" si="3"/>
        <v/>
      </c>
      <c r="I33" s="148" t="str">
        <f t="shared" si="3"/>
        <v/>
      </c>
      <c r="J33" s="148" t="str">
        <f t="shared" si="3"/>
        <v/>
      </c>
      <c r="K33" s="148" t="str">
        <f t="shared" si="3"/>
        <v/>
      </c>
      <c r="L33" s="148" t="str">
        <f t="shared" si="3"/>
        <v/>
      </c>
      <c r="M33" s="148" t="str">
        <f t="shared" si="3"/>
        <v/>
      </c>
      <c r="N33" s="148" t="str">
        <f t="shared" si="3"/>
        <v/>
      </c>
    </row>
    <row r="34" spans="2:17" ht="21" hidden="1" customHeight="1" x14ac:dyDescent="0.55000000000000004">
      <c r="B34" s="138"/>
      <c r="C34" s="153"/>
      <c r="D34" s="139"/>
      <c r="E34" s="69" t="str">
        <f t="shared" ref="E34:N34" si="4">IF(E33="","",IF(E33="適合",0,1))</f>
        <v/>
      </c>
      <c r="F34" s="69" t="str">
        <f t="shared" si="4"/>
        <v/>
      </c>
      <c r="G34" s="69" t="str">
        <f t="shared" si="4"/>
        <v/>
      </c>
      <c r="H34" s="69" t="str">
        <f t="shared" si="4"/>
        <v/>
      </c>
      <c r="I34" s="69" t="str">
        <f t="shared" si="4"/>
        <v/>
      </c>
      <c r="J34" s="69" t="str">
        <f t="shared" si="4"/>
        <v/>
      </c>
      <c r="K34" s="69" t="str">
        <f t="shared" si="4"/>
        <v/>
      </c>
      <c r="L34" s="69" t="str">
        <f t="shared" si="4"/>
        <v/>
      </c>
      <c r="M34" s="69" t="str">
        <f t="shared" si="4"/>
        <v/>
      </c>
      <c r="N34" s="69" t="str">
        <f t="shared" si="4"/>
        <v/>
      </c>
    </row>
    <row r="35" spans="2:17" ht="49.5" customHeight="1" x14ac:dyDescent="0.55000000000000004">
      <c r="B35" s="214" t="s">
        <v>277</v>
      </c>
      <c r="C35" s="215"/>
      <c r="D35" s="216"/>
      <c r="E35" s="148" t="str">
        <f>IF(OR(E31="",E32=""),"",IF(ISERROR(AND((E32-E31)&gt;=0,E32&gt;=30)),"不適合",IF(AND((E32-E31)&gt;=0,E32&gt;=30),"適合","不適合")))</f>
        <v/>
      </c>
      <c r="F35" s="148" t="str">
        <f>IF(OR(F31="",F32=""),"",IF(ISERROR(AND((F32-F31)&gt;=0,F32&gt;=30)),"不適合",IF(AND((F32-F31)&gt;=0,F32&gt;=30),"適合","不適合")))</f>
        <v/>
      </c>
      <c r="G35" s="148" t="str">
        <f t="shared" ref="G35:N35" si="5">IF(OR(G31="",G32=""),"",IF(ISERROR(AND((G32-G31)&gt;=0,G32&gt;=30)),"不適合",IF(AND((G32-G31)&gt;=0,G32&gt;=30),"適合","不適合")))</f>
        <v/>
      </c>
      <c r="H35" s="148" t="str">
        <f t="shared" si="5"/>
        <v/>
      </c>
      <c r="I35" s="148" t="str">
        <f t="shared" si="5"/>
        <v/>
      </c>
      <c r="J35" s="148" t="str">
        <f t="shared" si="5"/>
        <v/>
      </c>
      <c r="K35" s="148" t="str">
        <f t="shared" si="5"/>
        <v/>
      </c>
      <c r="L35" s="148" t="str">
        <f t="shared" si="5"/>
        <v/>
      </c>
      <c r="M35" s="148" t="str">
        <f t="shared" si="5"/>
        <v/>
      </c>
      <c r="N35" s="148" t="str">
        <f t="shared" si="5"/>
        <v/>
      </c>
    </row>
    <row r="36" spans="2:17" hidden="1" x14ac:dyDescent="0.55000000000000004">
      <c r="E36" s="69" t="str">
        <f>IF(E35="","",IF(E35="適合",0,1))</f>
        <v/>
      </c>
      <c r="F36" s="69" t="str">
        <f t="shared" ref="F36:N36" si="6">IF(F35="","",IF(F35="適合",0,1))</f>
        <v/>
      </c>
      <c r="G36" s="69" t="str">
        <f t="shared" si="6"/>
        <v/>
      </c>
      <c r="H36" s="69" t="str">
        <f t="shared" si="6"/>
        <v/>
      </c>
      <c r="I36" s="69" t="str">
        <f t="shared" si="6"/>
        <v/>
      </c>
      <c r="J36" s="69" t="str">
        <f t="shared" si="6"/>
        <v/>
      </c>
      <c r="K36" s="69" t="str">
        <f t="shared" si="6"/>
        <v/>
      </c>
      <c r="L36" s="69" t="str">
        <f t="shared" si="6"/>
        <v/>
      </c>
      <c r="M36" s="69" t="str">
        <f t="shared" si="6"/>
        <v/>
      </c>
      <c r="N36" s="69" t="str">
        <f t="shared" si="6"/>
        <v/>
      </c>
    </row>
    <row r="39" spans="2:17" x14ac:dyDescent="0.55000000000000004">
      <c r="B39" s="137"/>
      <c r="C39" s="137"/>
      <c r="D39" s="137"/>
    </row>
    <row r="40" spans="2:17" x14ac:dyDescent="0.55000000000000004">
      <c r="B40" s="137"/>
      <c r="C40" s="137"/>
      <c r="D40" s="137"/>
      <c r="Q40" s="69"/>
    </row>
    <row r="41" spans="2:17" ht="44.25" customHeight="1" x14ac:dyDescent="0.55000000000000004">
      <c r="Q41" s="69"/>
    </row>
    <row r="42" spans="2:17" x14ac:dyDescent="0.55000000000000004">
      <c r="Q42" s="69"/>
    </row>
    <row r="43" spans="2:17" ht="44.25" customHeight="1" x14ac:dyDescent="0.55000000000000004">
      <c r="Q43" s="69"/>
    </row>
    <row r="47" spans="2:17" x14ac:dyDescent="0.55000000000000004">
      <c r="Q47" s="69"/>
    </row>
    <row r="50" spans="17:17" x14ac:dyDescent="0.55000000000000004">
      <c r="Q50" s="69"/>
    </row>
  </sheetData>
  <sheetProtection password="E6DC" sheet="1" objects="1" scenarios="1" formatCells="0" formatColumns="0" formatRows="0" selectLockedCells="1"/>
  <mergeCells count="18">
    <mergeCell ref="B35:D35"/>
    <mergeCell ref="B21:D21"/>
    <mergeCell ref="B22:D22"/>
    <mergeCell ref="B24:D24"/>
    <mergeCell ref="B25:D25"/>
    <mergeCell ref="B26:D26"/>
    <mergeCell ref="C27:D27"/>
    <mergeCell ref="C28:D28"/>
    <mergeCell ref="C29:D29"/>
    <mergeCell ref="C30:D30"/>
    <mergeCell ref="C31:D31"/>
    <mergeCell ref="C32:D32"/>
    <mergeCell ref="I19:N19"/>
    <mergeCell ref="G19:H19"/>
    <mergeCell ref="B33:D33"/>
    <mergeCell ref="B27:B28"/>
    <mergeCell ref="B29:B30"/>
    <mergeCell ref="B31:B32"/>
  </mergeCells>
  <phoneticPr fontId="2"/>
  <conditionalFormatting sqref="E35:N35">
    <cfRule type="expression" dxfId="36" priority="12">
      <formula>E35="不適合"</formula>
    </cfRule>
  </conditionalFormatting>
  <conditionalFormatting sqref="E32:N32">
    <cfRule type="cellIs" dxfId="35" priority="8" operator="lessThan">
      <formula>30</formula>
    </cfRule>
    <cfRule type="expression" dxfId="34" priority="9">
      <formula>E32="入力確認"</formula>
    </cfRule>
  </conditionalFormatting>
  <conditionalFormatting sqref="E33:N33">
    <cfRule type="expression" dxfId="33" priority="3">
      <formula>E33="不適合"</formula>
    </cfRule>
  </conditionalFormatting>
  <conditionalFormatting sqref="E32:N32 E30:N30">
    <cfRule type="expression" dxfId="32" priority="1">
      <formula>E30-E29&lt;0</formula>
    </cfRule>
  </conditionalFormatting>
  <dataValidations xWindow="937" yWindow="277" count="3">
    <dataValidation allowBlank="1" sqref="C14:C15"/>
    <dataValidation type="whole" operator="greaterThanOrEqual" allowBlank="1" showInputMessage="1" showErrorMessage="1" prompt="利用人数を整数で入力してください" sqref="E27:N28">
      <formula1>0</formula1>
    </dataValidation>
    <dataValidation type="whole" operator="greaterThanOrEqual" allowBlank="1" showInputMessage="1" showErrorMessage="1" prompt="”0”以上の整数を入力してください。" sqref="E29:N30">
      <formula1>0</formula1>
    </dataValidation>
  </dataValidations>
  <pageMargins left="0.6692913385826772" right="0.31496062992125984" top="1.1023622047244095" bottom="0.82677165354330717" header="0.55118110236220474" footer="0.31496062992125984"/>
  <pageSetup paperSize="9" scale="57" fitToHeight="0" orientation="portrait" r:id="rId1"/>
  <headerFooter>
    <oddHeader>&amp;C&amp;20換気量・省エネ計算シート&amp;RVer.5.1</oddHeader>
  </headerFooter>
  <colBreaks count="1" manualBreakCount="1">
    <brk id="15" max="1048575" man="1"/>
  </colBreaks>
  <legacyDrawing r:id="rId2"/>
  <extLst>
    <ext xmlns:x14="http://schemas.microsoft.com/office/spreadsheetml/2009/9/main" uri="{CCE6A557-97BC-4b89-ADB6-D9C93CAAB3DF}">
      <x14:dataValidations xmlns:xm="http://schemas.microsoft.com/office/excel/2006/main" xWindow="937" yWindow="277" count="2">
        <x14:dataValidation type="list" allowBlank="1" showInputMessage="1" showErrorMessage="1">
          <x14:formula1>
            <xm:f>計算!$T$17:$T$18</xm:f>
          </x14:formula1>
          <xm:sqref>E26:N26</xm:sqref>
        </x14:dataValidation>
        <x14:dataValidation type="list" allowBlank="1" showInputMessage="1" showErrorMessage="1">
          <x14:formula1>
            <xm:f>計算!$Z$4:$Z$14</xm:f>
          </x14:formula1>
          <xm:sqref>E22:N22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V159"/>
  <sheetViews>
    <sheetView zoomScaleNormal="100" zoomScaleSheetLayoutView="80" workbookViewId="0">
      <selection activeCell="D23" sqref="D23"/>
    </sheetView>
  </sheetViews>
  <sheetFormatPr defaultColWidth="8.83203125" defaultRowHeight="19.2" x14ac:dyDescent="0.55000000000000004"/>
  <cols>
    <col min="1" max="1" width="2.1640625" style="35" customWidth="1"/>
    <col min="2" max="2" width="11.4140625" style="36" customWidth="1"/>
    <col min="3" max="3" width="4.6640625" style="36" customWidth="1"/>
    <col min="4" max="4" width="8.83203125" style="35" customWidth="1"/>
    <col min="5" max="14" width="8.83203125" style="35"/>
    <col min="15" max="15" width="3.58203125" style="35" customWidth="1"/>
    <col min="16" max="18" width="4.1640625" style="35" customWidth="1"/>
    <col min="19" max="20" width="3.58203125" style="35" customWidth="1"/>
    <col min="21" max="21" width="3.83203125" style="35" customWidth="1"/>
    <col min="22" max="22" width="6.08203125" style="35" customWidth="1"/>
    <col min="23" max="32" width="11.08203125" style="35" customWidth="1"/>
    <col min="33" max="16384" width="8.83203125" style="35"/>
  </cols>
  <sheetData>
    <row r="1" spans="2:16" s="200" customFormat="1" ht="19.5" customHeight="1" x14ac:dyDescent="0.55000000000000004">
      <c r="B1" s="201"/>
      <c r="C1" s="201"/>
      <c r="D1" s="201"/>
      <c r="E1" s="201"/>
      <c r="F1" s="201"/>
      <c r="G1" s="201"/>
      <c r="H1" s="201"/>
      <c r="I1" s="201"/>
      <c r="J1" s="201"/>
      <c r="K1" s="201"/>
      <c r="L1" s="201"/>
      <c r="M1" s="201"/>
      <c r="N1" s="201"/>
      <c r="O1" s="202"/>
      <c r="P1" s="203"/>
    </row>
    <row r="2" spans="2:16" x14ac:dyDescent="0.55000000000000004">
      <c r="B2" s="81" t="s">
        <v>214</v>
      </c>
      <c r="C2" s="35"/>
    </row>
    <row r="3" spans="2:16" s="92" customFormat="1" x14ac:dyDescent="0.55000000000000004">
      <c r="B3" s="116" t="s">
        <v>279</v>
      </c>
      <c r="K3" s="35"/>
    </row>
    <row r="4" spans="2:16" s="92" customFormat="1" x14ac:dyDescent="0.55000000000000004">
      <c r="B4" s="116" t="s">
        <v>280</v>
      </c>
      <c r="K4" s="35"/>
    </row>
    <row r="5" spans="2:16" s="92" customFormat="1" x14ac:dyDescent="0.55000000000000004">
      <c r="B5" s="116" t="s">
        <v>321</v>
      </c>
      <c r="K5" s="35"/>
    </row>
    <row r="6" spans="2:16" s="92" customFormat="1" x14ac:dyDescent="0.55000000000000004">
      <c r="B6" s="116" t="s">
        <v>348</v>
      </c>
      <c r="G6" s="167"/>
      <c r="H6" s="167"/>
      <c r="K6" s="35"/>
    </row>
    <row r="7" spans="2:16" s="92" customFormat="1" x14ac:dyDescent="0.55000000000000004">
      <c r="B7" s="189" t="s">
        <v>368</v>
      </c>
      <c r="C7" s="190"/>
      <c r="D7" s="190"/>
      <c r="E7" s="190"/>
      <c r="F7" s="190"/>
      <c r="G7" s="190"/>
      <c r="H7" s="190"/>
      <c r="I7" s="190"/>
      <c r="J7" s="190"/>
      <c r="K7" s="191"/>
      <c r="L7" s="190"/>
    </row>
    <row r="8" spans="2:16" s="92" customFormat="1" x14ac:dyDescent="0.55000000000000004">
      <c r="B8" s="189" t="s">
        <v>369</v>
      </c>
      <c r="C8" s="190"/>
      <c r="D8" s="190"/>
      <c r="E8" s="190"/>
      <c r="F8" s="190"/>
      <c r="G8" s="190"/>
      <c r="H8" s="190"/>
      <c r="I8" s="190"/>
      <c r="J8" s="190"/>
      <c r="K8" s="191"/>
      <c r="L8" s="190"/>
    </row>
    <row r="9" spans="2:16" s="92" customFormat="1" x14ac:dyDescent="0.55000000000000004">
      <c r="B9" s="116" t="s">
        <v>366</v>
      </c>
      <c r="K9" s="35"/>
    </row>
    <row r="10" spans="2:16" s="92" customFormat="1" x14ac:dyDescent="0.55000000000000004">
      <c r="B10" s="116" t="s">
        <v>281</v>
      </c>
      <c r="K10" s="35"/>
    </row>
    <row r="11" spans="2:16" s="92" customFormat="1" x14ac:dyDescent="0.55000000000000004">
      <c r="B11" s="116" t="s">
        <v>282</v>
      </c>
      <c r="K11" s="35"/>
    </row>
    <row r="12" spans="2:16" s="92" customFormat="1" x14ac:dyDescent="0.55000000000000004">
      <c r="B12" s="116" t="s">
        <v>283</v>
      </c>
      <c r="K12" s="35"/>
    </row>
    <row r="13" spans="2:16" s="92" customFormat="1" x14ac:dyDescent="0.55000000000000004">
      <c r="B13" s="116" t="s">
        <v>367</v>
      </c>
      <c r="K13" s="35"/>
    </row>
    <row r="14" spans="2:16" s="92" customFormat="1" x14ac:dyDescent="0.55000000000000004">
      <c r="B14" s="116"/>
      <c r="K14" s="35"/>
    </row>
    <row r="15" spans="2:16" ht="19.5" customHeight="1" x14ac:dyDescent="0.55000000000000004">
      <c r="B15" s="143" t="s">
        <v>215</v>
      </c>
      <c r="C15" s="37"/>
      <c r="D15" s="79" t="s">
        <v>285</v>
      </c>
    </row>
    <row r="16" spans="2:16" ht="19.5" customHeight="1" x14ac:dyDescent="0.55000000000000004">
      <c r="C16" s="38"/>
      <c r="D16" s="80" t="s">
        <v>142</v>
      </c>
    </row>
    <row r="17" spans="2:21" ht="19.5" customHeight="1" x14ac:dyDescent="0.55000000000000004">
      <c r="C17" s="39"/>
      <c r="D17" s="80" t="s">
        <v>143</v>
      </c>
    </row>
    <row r="19" spans="2:21" ht="33" customHeight="1" x14ac:dyDescent="0.55000000000000004">
      <c r="B19" s="40" t="s">
        <v>258</v>
      </c>
      <c r="C19" s="41"/>
      <c r="F19" s="226" t="s">
        <v>396</v>
      </c>
      <c r="G19" s="227"/>
      <c r="H19" s="209" t="str">
        <f>IF(N30="入力確認","旧設備の入力をご確認ください。",IF(N53="入力確認","新設備の入力をご確認ください。",IF(AND(S45=0,S46=0,S47=0,S49=0,S51=0),"",IF(AND(OR(S30=0,N28&lt;=N40),N45="適合",N46="適合",N47="適合",N48="適合",N50="適合",N52="適合"),"換気設備導入の要件を満たしています。","換気設備導入の要件を満たしていません。"))))</f>
        <v/>
      </c>
      <c r="I19" s="210"/>
      <c r="J19" s="210"/>
      <c r="K19" s="210"/>
      <c r="L19" s="211"/>
      <c r="N19" s="185"/>
    </row>
    <row r="20" spans="2:21" ht="18.75" customHeight="1" x14ac:dyDescent="0.55000000000000004">
      <c r="B20" s="40"/>
      <c r="C20" s="41"/>
    </row>
    <row r="21" spans="2:21" ht="19.8" thickBot="1" x14ac:dyDescent="0.6">
      <c r="B21" s="35" t="s">
        <v>375</v>
      </c>
      <c r="C21" s="42"/>
    </row>
    <row r="22" spans="2:21" ht="19.8" thickBot="1" x14ac:dyDescent="0.6">
      <c r="B22" s="268" t="s">
        <v>138</v>
      </c>
      <c r="C22" s="268"/>
      <c r="D22" s="43" t="s">
        <v>169</v>
      </c>
      <c r="E22" s="43" t="s">
        <v>170</v>
      </c>
      <c r="F22" s="43" t="s">
        <v>171</v>
      </c>
      <c r="G22" s="43" t="s">
        <v>172</v>
      </c>
      <c r="H22" s="43" t="s">
        <v>173</v>
      </c>
      <c r="I22" s="43" t="s">
        <v>174</v>
      </c>
      <c r="J22" s="43" t="s">
        <v>175</v>
      </c>
      <c r="K22" s="43" t="s">
        <v>176</v>
      </c>
      <c r="L22" s="43" t="s">
        <v>177</v>
      </c>
      <c r="M22" s="43" t="s">
        <v>178</v>
      </c>
      <c r="N22" s="44" t="s">
        <v>0</v>
      </c>
      <c r="P22" s="192" t="s">
        <v>395</v>
      </c>
    </row>
    <row r="23" spans="2:21" ht="54.75" customHeight="1" thickBot="1" x14ac:dyDescent="0.6">
      <c r="B23" s="253" t="s">
        <v>1</v>
      </c>
      <c r="C23" s="253"/>
      <c r="D23" s="133"/>
      <c r="E23" s="133"/>
      <c r="F23" s="133"/>
      <c r="G23" s="133"/>
      <c r="H23" s="133"/>
      <c r="I23" s="133"/>
      <c r="J23" s="133"/>
      <c r="K23" s="133"/>
      <c r="L23" s="133"/>
      <c r="M23" s="133"/>
      <c r="N23" s="45" t="s">
        <v>10</v>
      </c>
      <c r="P23" s="192" t="s">
        <v>379</v>
      </c>
    </row>
    <row r="24" spans="2:21" hidden="1" x14ac:dyDescent="0.55000000000000004">
      <c r="B24" s="251" t="s">
        <v>139</v>
      </c>
      <c r="C24" s="252"/>
      <c r="D24" s="34"/>
      <c r="E24" s="34"/>
      <c r="F24" s="34"/>
      <c r="G24" s="34"/>
      <c r="H24" s="34"/>
      <c r="I24" s="34"/>
      <c r="J24" s="34"/>
      <c r="K24" s="34"/>
      <c r="L24" s="34"/>
      <c r="M24" s="34"/>
      <c r="N24" s="45" t="s">
        <v>10</v>
      </c>
    </row>
    <row r="25" spans="2:21" hidden="1" x14ac:dyDescent="0.55000000000000004">
      <c r="B25" s="251" t="s">
        <v>140</v>
      </c>
      <c r="C25" s="252"/>
      <c r="D25" s="34"/>
      <c r="E25" s="34"/>
      <c r="F25" s="34"/>
      <c r="G25" s="34"/>
      <c r="H25" s="34"/>
      <c r="I25" s="34"/>
      <c r="J25" s="34"/>
      <c r="K25" s="34"/>
      <c r="L25" s="34"/>
      <c r="M25" s="34"/>
      <c r="N25" s="45" t="s">
        <v>10</v>
      </c>
    </row>
    <row r="26" spans="2:21" ht="19.8" hidden="1" thickBot="1" x14ac:dyDescent="0.6">
      <c r="B26" s="253" t="s">
        <v>2</v>
      </c>
      <c r="C26" s="253"/>
      <c r="D26" s="5"/>
      <c r="E26" s="6"/>
      <c r="F26" s="6"/>
      <c r="G26" s="6"/>
      <c r="H26" s="6"/>
      <c r="I26" s="6"/>
      <c r="J26" s="6"/>
      <c r="K26" s="6"/>
      <c r="L26" s="6"/>
      <c r="M26" s="6"/>
      <c r="N26" s="45" t="s">
        <v>10</v>
      </c>
    </row>
    <row r="27" spans="2:21" x14ac:dyDescent="0.55000000000000004">
      <c r="B27" s="253" t="s">
        <v>3</v>
      </c>
      <c r="C27" s="253"/>
      <c r="D27" s="31"/>
      <c r="E27" s="31"/>
      <c r="F27" s="31"/>
      <c r="G27" s="31"/>
      <c r="H27" s="31"/>
      <c r="I27" s="31"/>
      <c r="J27" s="31"/>
      <c r="K27" s="31"/>
      <c r="L27" s="31"/>
      <c r="M27" s="31"/>
      <c r="N27" s="46" t="str">
        <f>IF(SUM(D27:M27)=0,"",SUM(D27:M27))</f>
        <v/>
      </c>
    </row>
    <row r="28" spans="2:21" x14ac:dyDescent="0.55000000000000004">
      <c r="B28" s="285" t="s">
        <v>4</v>
      </c>
      <c r="C28" s="285"/>
      <c r="D28" s="32"/>
      <c r="E28" s="32"/>
      <c r="F28" s="32"/>
      <c r="G28" s="32"/>
      <c r="H28" s="32"/>
      <c r="I28" s="32"/>
      <c r="J28" s="32"/>
      <c r="K28" s="32"/>
      <c r="L28" s="32"/>
      <c r="M28" s="32"/>
      <c r="N28" s="47" t="str">
        <f>IF(SUMPRODUCT(D27:M27,D28:M28)=0,"",SUMPRODUCT(D27:M27,D28:M28))</f>
        <v/>
      </c>
    </row>
    <row r="29" spans="2:21" ht="19.8" thickBot="1" x14ac:dyDescent="0.6">
      <c r="B29" s="253" t="s">
        <v>5</v>
      </c>
      <c r="C29" s="253"/>
      <c r="D29" s="33"/>
      <c r="E29" s="3"/>
      <c r="F29" s="33"/>
      <c r="G29" s="3"/>
      <c r="H29" s="33"/>
      <c r="I29" s="3"/>
      <c r="J29" s="33"/>
      <c r="K29" s="3"/>
      <c r="L29" s="33"/>
      <c r="M29" s="3"/>
      <c r="N29" s="48" t="str">
        <f>IF(SUMPRODUCT(D27:M27,D29:M29)=0,"",SUMPRODUCT(D27:M27,D29:M29))</f>
        <v/>
      </c>
    </row>
    <row r="30" spans="2:21" hidden="1" x14ac:dyDescent="0.55000000000000004">
      <c r="B30" s="165" t="s">
        <v>335</v>
      </c>
      <c r="C30" s="161"/>
      <c r="D30" s="161">
        <f>IF(AND(D23="",D27="",D28="",D29=""),2,IF(AND(D23&lt;&gt;"",D27&lt;&gt;"",D28&lt;&gt;"",D29&lt;&gt;""),0,1))</f>
        <v>2</v>
      </c>
      <c r="E30" s="161">
        <f t="shared" ref="E30:M30" si="0">IF(AND(E23="",E27="",E28="",E29=""),2,IF(AND(E23&lt;&gt;"",E27&lt;&gt;"",E28&lt;&gt;"",E29&lt;&gt;""),0,1))</f>
        <v>2</v>
      </c>
      <c r="F30" s="161">
        <f t="shared" si="0"/>
        <v>2</v>
      </c>
      <c r="G30" s="161">
        <f t="shared" si="0"/>
        <v>2</v>
      </c>
      <c r="H30" s="161">
        <f t="shared" si="0"/>
        <v>2</v>
      </c>
      <c r="I30" s="161">
        <f t="shared" si="0"/>
        <v>2</v>
      </c>
      <c r="J30" s="161">
        <f t="shared" si="0"/>
        <v>2</v>
      </c>
      <c r="K30" s="161">
        <f t="shared" si="0"/>
        <v>2</v>
      </c>
      <c r="L30" s="161">
        <f t="shared" si="0"/>
        <v>2</v>
      </c>
      <c r="M30" s="161">
        <f t="shared" si="0"/>
        <v>2</v>
      </c>
      <c r="N30" s="161" t="str">
        <f>IF(OR((S26+S28)&lt;&gt;R28,(S26+S28)&lt;&gt;R29,P30&lt;&gt;0),"入力確認",IF(S30=O30,"適合","不適合"))</f>
        <v>適合</v>
      </c>
      <c r="O30" s="35">
        <f>COUNTIF($D30:$M30,0)</f>
        <v>0</v>
      </c>
      <c r="P30" s="35">
        <f>COUNTIF($D30:$M30,1)</f>
        <v>0</v>
      </c>
      <c r="Q30" s="35">
        <f>COUNTIF($D30:$M30,2)</f>
        <v>10</v>
      </c>
      <c r="S30" s="35">
        <f>10-COUNTIF($D$23:$M$23,"")</f>
        <v>0</v>
      </c>
      <c r="U30" s="180">
        <v>29</v>
      </c>
    </row>
    <row r="32" spans="2:21" ht="19.8" thickBot="1" x14ac:dyDescent="0.6">
      <c r="B32" s="35" t="s">
        <v>376</v>
      </c>
      <c r="C32" s="42"/>
    </row>
    <row r="33" spans="2:21" ht="19.8" thickBot="1" x14ac:dyDescent="0.6">
      <c r="B33" s="268" t="s">
        <v>137</v>
      </c>
      <c r="C33" s="268"/>
      <c r="D33" s="43" t="s">
        <v>199</v>
      </c>
      <c r="E33" s="43" t="s">
        <v>200</v>
      </c>
      <c r="F33" s="43" t="s">
        <v>201</v>
      </c>
      <c r="G33" s="43" t="s">
        <v>202</v>
      </c>
      <c r="H33" s="43" t="s">
        <v>203</v>
      </c>
      <c r="I33" s="43" t="s">
        <v>204</v>
      </c>
      <c r="J33" s="43" t="s">
        <v>205</v>
      </c>
      <c r="K33" s="43" t="s">
        <v>206</v>
      </c>
      <c r="L33" s="43" t="s">
        <v>207</v>
      </c>
      <c r="M33" s="43" t="s">
        <v>208</v>
      </c>
      <c r="N33" s="44" t="s">
        <v>0</v>
      </c>
      <c r="P33" s="192" t="s">
        <v>394</v>
      </c>
    </row>
    <row r="34" spans="2:21" ht="44.4" customHeight="1" x14ac:dyDescent="0.55000000000000004">
      <c r="B34" s="253" t="s">
        <v>1</v>
      </c>
      <c r="C34" s="253"/>
      <c r="D34" s="133"/>
      <c r="E34" s="133"/>
      <c r="F34" s="133"/>
      <c r="G34" s="133"/>
      <c r="H34" s="133"/>
      <c r="I34" s="133"/>
      <c r="J34" s="133"/>
      <c r="K34" s="133"/>
      <c r="L34" s="133"/>
      <c r="M34" s="133"/>
      <c r="N34" s="45" t="s">
        <v>10</v>
      </c>
      <c r="P34" s="192" t="s">
        <v>379</v>
      </c>
    </row>
    <row r="35" spans="2:21" x14ac:dyDescent="0.55000000000000004">
      <c r="B35" s="288" t="s">
        <v>9</v>
      </c>
      <c r="C35" s="289"/>
      <c r="D35" s="1"/>
      <c r="E35" s="1"/>
      <c r="F35" s="1"/>
      <c r="G35" s="2"/>
      <c r="H35" s="2"/>
      <c r="I35" s="2"/>
      <c r="J35" s="2"/>
      <c r="K35" s="2"/>
      <c r="L35" s="2"/>
      <c r="M35" s="2"/>
      <c r="N35" s="45" t="s">
        <v>10</v>
      </c>
      <c r="P35" s="192" t="s">
        <v>380</v>
      </c>
    </row>
    <row r="36" spans="2:21" ht="19.8" thickBot="1" x14ac:dyDescent="0.6">
      <c r="B36" s="251" t="s">
        <v>124</v>
      </c>
      <c r="C36" s="252"/>
      <c r="D36" s="181"/>
      <c r="E36" s="181"/>
      <c r="F36" s="181"/>
      <c r="G36" s="181"/>
      <c r="H36" s="181"/>
      <c r="I36" s="181"/>
      <c r="J36" s="181"/>
      <c r="K36" s="181"/>
      <c r="L36" s="181"/>
      <c r="M36" s="181"/>
      <c r="N36" s="45" t="s">
        <v>10</v>
      </c>
      <c r="P36" s="192" t="s">
        <v>381</v>
      </c>
    </row>
    <row r="37" spans="2:21" hidden="1" x14ac:dyDescent="0.55000000000000004">
      <c r="B37" s="286" t="s">
        <v>140</v>
      </c>
      <c r="C37" s="287"/>
      <c r="D37" s="34"/>
      <c r="E37" s="34"/>
      <c r="F37" s="34"/>
      <c r="G37" s="34"/>
      <c r="H37" s="34"/>
      <c r="I37" s="34"/>
      <c r="J37" s="34"/>
      <c r="K37" s="34"/>
      <c r="L37" s="34"/>
      <c r="M37" s="34"/>
      <c r="N37" s="45" t="s">
        <v>10</v>
      </c>
    </row>
    <row r="38" spans="2:21" ht="19.8" hidden="1" thickBot="1" x14ac:dyDescent="0.6">
      <c r="B38" s="290" t="s">
        <v>2</v>
      </c>
      <c r="C38" s="290"/>
      <c r="D38" s="5"/>
      <c r="E38" s="6"/>
      <c r="F38" s="6"/>
      <c r="G38" s="6"/>
      <c r="H38" s="6"/>
      <c r="I38" s="6"/>
      <c r="J38" s="6"/>
      <c r="K38" s="6"/>
      <c r="L38" s="6"/>
      <c r="M38" s="6"/>
      <c r="N38" s="45" t="s">
        <v>10</v>
      </c>
    </row>
    <row r="39" spans="2:21" x14ac:dyDescent="0.55000000000000004">
      <c r="B39" s="253" t="s">
        <v>3</v>
      </c>
      <c r="C39" s="253"/>
      <c r="D39" s="31"/>
      <c r="E39" s="31"/>
      <c r="F39" s="31"/>
      <c r="G39" s="31"/>
      <c r="H39" s="31"/>
      <c r="I39" s="31"/>
      <c r="J39" s="31"/>
      <c r="K39" s="31"/>
      <c r="L39" s="31"/>
      <c r="M39" s="31"/>
      <c r="N39" s="46" t="str">
        <f>IF(SUM(D39:M39)=0,"",SUM(D39:M39))</f>
        <v/>
      </c>
    </row>
    <row r="40" spans="2:21" x14ac:dyDescent="0.55000000000000004">
      <c r="B40" s="285" t="s">
        <v>4</v>
      </c>
      <c r="C40" s="285"/>
      <c r="D40" s="77"/>
      <c r="E40" s="77"/>
      <c r="F40" s="77"/>
      <c r="G40" s="77"/>
      <c r="H40" s="77"/>
      <c r="I40" s="77"/>
      <c r="J40" s="77"/>
      <c r="K40" s="77"/>
      <c r="L40" s="77"/>
      <c r="M40" s="77"/>
      <c r="N40" s="78" t="str">
        <f>IF(SUMPRODUCT(D39:M39,D40:M40)=0,"",SUMPRODUCT(D39:M39,D40:M40))</f>
        <v/>
      </c>
    </row>
    <row r="41" spans="2:21" ht="19.8" thickBot="1" x14ac:dyDescent="0.6">
      <c r="B41" s="253" t="s">
        <v>5</v>
      </c>
      <c r="C41" s="253"/>
      <c r="D41" s="33"/>
      <c r="E41" s="3"/>
      <c r="F41" s="3"/>
      <c r="G41" s="3"/>
      <c r="H41" s="3"/>
      <c r="I41" s="3"/>
      <c r="J41" s="3"/>
      <c r="K41" s="3"/>
      <c r="L41" s="3"/>
      <c r="M41" s="3"/>
      <c r="N41" s="48" t="str">
        <f>IF(SUMPRODUCT(D39:M39,D41:M41)=0,"",SUMPRODUCT(D39:M39,D41:M41))</f>
        <v/>
      </c>
    </row>
    <row r="42" spans="2:21" ht="19.5" customHeight="1" x14ac:dyDescent="0.55000000000000004">
      <c r="B42" s="291" t="s">
        <v>13</v>
      </c>
      <c r="C42" s="291"/>
      <c r="D42" s="49" t="str">
        <f>IF(D34="高効率換気設備",IF(ISERROR(D41/D40),"",D41/D40),"---")</f>
        <v>---</v>
      </c>
      <c r="E42" s="50" t="str">
        <f>IF(E34="高効率換気設備",IF(ISERROR(E41/E40),"",E41/E40),"---")</f>
        <v>---</v>
      </c>
      <c r="F42" s="50" t="str">
        <f t="shared" ref="F42:M42" si="1">IF(F34="高効率換気設備",IF(ISERROR(F41/F40),"",F41/F40),"---")</f>
        <v>---</v>
      </c>
      <c r="G42" s="50" t="str">
        <f t="shared" si="1"/>
        <v>---</v>
      </c>
      <c r="H42" s="50" t="str">
        <f>IF(H34="高効率換気設備",IF(ISERROR(H41/H40),"",H41/H40),"---")</f>
        <v>---</v>
      </c>
      <c r="I42" s="50" t="str">
        <f t="shared" si="1"/>
        <v>---</v>
      </c>
      <c r="J42" s="50" t="str">
        <f t="shared" si="1"/>
        <v>---</v>
      </c>
      <c r="K42" s="50" t="str">
        <f t="shared" si="1"/>
        <v>---</v>
      </c>
      <c r="L42" s="50" t="str">
        <f t="shared" si="1"/>
        <v>---</v>
      </c>
      <c r="M42" s="50" t="str">
        <f t="shared" si="1"/>
        <v>---</v>
      </c>
      <c r="N42" s="51" t="s">
        <v>10</v>
      </c>
    </row>
    <row r="43" spans="2:21" ht="21" x14ac:dyDescent="0.55000000000000004">
      <c r="B43" s="72" t="s">
        <v>103</v>
      </c>
      <c r="C43" s="75" t="s">
        <v>7</v>
      </c>
      <c r="D43" s="178"/>
      <c r="E43" s="179"/>
      <c r="F43" s="179"/>
      <c r="G43" s="179"/>
      <c r="H43" s="179"/>
      <c r="I43" s="179"/>
      <c r="J43" s="179"/>
      <c r="K43" s="179"/>
      <c r="L43" s="179"/>
      <c r="M43" s="179"/>
      <c r="N43" s="45" t="s">
        <v>10</v>
      </c>
      <c r="Q43" s="192" t="s">
        <v>386</v>
      </c>
    </row>
    <row r="44" spans="2:21" x14ac:dyDescent="0.55000000000000004">
      <c r="B44" s="73" t="s">
        <v>12</v>
      </c>
      <c r="C44" s="75" t="s">
        <v>8</v>
      </c>
      <c r="D44" s="178"/>
      <c r="E44" s="179"/>
      <c r="F44" s="179"/>
      <c r="G44" s="179"/>
      <c r="H44" s="179"/>
      <c r="I44" s="179"/>
      <c r="J44" s="179"/>
      <c r="K44" s="179"/>
      <c r="L44" s="179"/>
      <c r="M44" s="179"/>
      <c r="N44" s="52" t="s">
        <v>10</v>
      </c>
    </row>
    <row r="45" spans="2:21" hidden="1" x14ac:dyDescent="0.55000000000000004">
      <c r="B45" s="194" t="s">
        <v>387</v>
      </c>
      <c r="C45" s="194"/>
      <c r="D45" s="194">
        <f t="shared" ref="D45:I45" si="2">IF(D$34&lt;&gt;"機械換気（換気扇等）",2,IF(AND(D$34="機械換気（換気扇等）",D$35="継続"),0,1))</f>
        <v>2</v>
      </c>
      <c r="E45" s="194">
        <f t="shared" si="2"/>
        <v>2</v>
      </c>
      <c r="F45" s="194">
        <f t="shared" si="2"/>
        <v>2</v>
      </c>
      <c r="G45" s="194">
        <f t="shared" si="2"/>
        <v>2</v>
      </c>
      <c r="H45" s="194">
        <f t="shared" si="2"/>
        <v>2</v>
      </c>
      <c r="I45" s="194">
        <f t="shared" si="2"/>
        <v>2</v>
      </c>
      <c r="J45" s="194">
        <f t="shared" ref="J45:M45" si="3">IF(J$34&lt;&gt;"機械換気（換気扇等）",2,IF(AND(J$34="機械換気（換気扇等）",J$35="継続"),0,1))</f>
        <v>2</v>
      </c>
      <c r="K45" s="194">
        <f t="shared" si="3"/>
        <v>2</v>
      </c>
      <c r="L45" s="194">
        <f t="shared" si="3"/>
        <v>2</v>
      </c>
      <c r="M45" s="194">
        <f t="shared" si="3"/>
        <v>2</v>
      </c>
      <c r="N45" s="161" t="str">
        <f>IF(S45=O45,"適合","非適合")</f>
        <v>適合</v>
      </c>
      <c r="O45" s="35">
        <f t="shared" ref="O45:O53" si="4">COUNTIF($D45:$M45,0)</f>
        <v>0</v>
      </c>
      <c r="P45" s="35">
        <f t="shared" ref="P45:P50" si="5">COUNTIF($D45:$M45,1)</f>
        <v>0</v>
      </c>
      <c r="Q45" s="35">
        <f t="shared" ref="Q45:Q51" si="6">COUNTIF($D45:$M45,2)</f>
        <v>10</v>
      </c>
      <c r="S45" s="35">
        <f>COUNTIF($D$34:$M$34,"機械換気（換気扇等）")</f>
        <v>0</v>
      </c>
      <c r="U45" s="180">
        <v>44</v>
      </c>
    </row>
    <row r="46" spans="2:21" hidden="1" x14ac:dyDescent="0.55000000000000004">
      <c r="B46" s="165" t="s">
        <v>365</v>
      </c>
      <c r="C46" s="161"/>
      <c r="D46" s="161">
        <f>IF(D42="---",2,IF(AND(D34="高効率換気設備",D42&lt;=0.4),0,1))</f>
        <v>2</v>
      </c>
      <c r="E46" s="161">
        <f>IF(E42="---",2,IF(AND(E34="高効率換気設備",E42&lt;=0.4),0,1))</f>
        <v>2</v>
      </c>
      <c r="F46" s="161">
        <f t="shared" ref="F46:M46" si="7">IF(F42="---",2,IF(AND(F34="高効率換気設備",F42&lt;=0.4),0,1))</f>
        <v>2</v>
      </c>
      <c r="G46" s="161">
        <f t="shared" si="7"/>
        <v>2</v>
      </c>
      <c r="H46" s="161">
        <f t="shared" si="7"/>
        <v>2</v>
      </c>
      <c r="I46" s="161">
        <f>IF(I42="---",2,IF(AND(I34="高効率換気設備",I42&lt;=0.4),0,1))</f>
        <v>2</v>
      </c>
      <c r="J46" s="161">
        <f t="shared" si="7"/>
        <v>2</v>
      </c>
      <c r="K46" s="161">
        <f t="shared" si="7"/>
        <v>2</v>
      </c>
      <c r="L46" s="161">
        <f t="shared" si="7"/>
        <v>2</v>
      </c>
      <c r="M46" s="161">
        <f t="shared" si="7"/>
        <v>2</v>
      </c>
      <c r="N46" s="161" t="str">
        <f>IF(S46=O46,"適合","非適合")</f>
        <v>適合</v>
      </c>
      <c r="O46" s="35">
        <f t="shared" si="4"/>
        <v>0</v>
      </c>
      <c r="P46" s="35">
        <f t="shared" si="5"/>
        <v>0</v>
      </c>
      <c r="Q46" s="35">
        <f t="shared" si="6"/>
        <v>10</v>
      </c>
      <c r="R46" s="35">
        <f>COUNTIF($D$42:$M$42,"---")</f>
        <v>10</v>
      </c>
      <c r="S46" s="35">
        <f>COUNTIF($D$34:$M$34,"高効率換気設備")</f>
        <v>0</v>
      </c>
      <c r="U46" s="180">
        <v>45</v>
      </c>
    </row>
    <row r="47" spans="2:21" hidden="1" x14ac:dyDescent="0.55000000000000004">
      <c r="B47" s="161" t="s">
        <v>334</v>
      </c>
      <c r="C47" s="161"/>
      <c r="D47" s="161">
        <f>IF(D$34&lt;&gt;"換気・空調一体型設備",2,IF(D$34="換気・空調一体型設備",0,1))</f>
        <v>2</v>
      </c>
      <c r="E47" s="161">
        <f t="shared" ref="E47:M47" si="8">IF(E$34&lt;&gt;"換気・空調一体型設備",2,IF(E$34="換気・空調一体型設備",0,1))</f>
        <v>2</v>
      </c>
      <c r="F47" s="161">
        <f t="shared" si="8"/>
        <v>2</v>
      </c>
      <c r="G47" s="161">
        <f t="shared" si="8"/>
        <v>2</v>
      </c>
      <c r="H47" s="161">
        <f t="shared" si="8"/>
        <v>2</v>
      </c>
      <c r="I47" s="161">
        <f t="shared" si="8"/>
        <v>2</v>
      </c>
      <c r="J47" s="161">
        <f t="shared" si="8"/>
        <v>2</v>
      </c>
      <c r="K47" s="161">
        <f t="shared" si="8"/>
        <v>2</v>
      </c>
      <c r="L47" s="161">
        <f t="shared" si="8"/>
        <v>2</v>
      </c>
      <c r="M47" s="161">
        <f t="shared" si="8"/>
        <v>2</v>
      </c>
      <c r="N47" s="161" t="str">
        <f>IF(S47=O47,"適合","非適合")</f>
        <v>適合</v>
      </c>
      <c r="O47" s="35">
        <f t="shared" si="4"/>
        <v>0</v>
      </c>
      <c r="P47" s="35">
        <f t="shared" si="5"/>
        <v>0</v>
      </c>
      <c r="Q47" s="35">
        <f t="shared" si="6"/>
        <v>10</v>
      </c>
      <c r="S47" s="35">
        <f>COUNTIF($D$34:$M$34,"換気・空調一体型設備")</f>
        <v>0</v>
      </c>
      <c r="U47" s="180">
        <v>46</v>
      </c>
    </row>
    <row r="48" spans="2:21" hidden="1" x14ac:dyDescent="0.55000000000000004">
      <c r="B48" s="194" t="s">
        <v>388</v>
      </c>
      <c r="C48" s="194"/>
      <c r="D48" s="194">
        <f t="shared" ref="D48:H48" si="9">IF(AND(D$34&lt;&gt;"熱交換型換気設備",D$34&lt;&gt;"顕熱交換器"),2,IF(AND(OR(D$34="熱交換型換気設備",D$34="顕熱交換器"),OR(D$35="継続",D$36="工場",D$36="倉庫",D$36="私学学校")),0,1))</f>
        <v>2</v>
      </c>
      <c r="E48" s="194">
        <f t="shared" si="9"/>
        <v>2</v>
      </c>
      <c r="F48" s="194">
        <f t="shared" si="9"/>
        <v>2</v>
      </c>
      <c r="G48" s="194">
        <f t="shared" si="9"/>
        <v>2</v>
      </c>
      <c r="H48" s="194">
        <f t="shared" si="9"/>
        <v>2</v>
      </c>
      <c r="I48" s="194">
        <f>IF(AND(I$34&lt;&gt;"熱交換型換気設備",I$34&lt;&gt;"顕熱交換器"),2,IF(AND(OR(I$34="熱交換型換気設備",I$34="顕熱交換器"),OR(I$35="継続",I$36="工場",I$36="倉庫",I$36="私学学校")),0,1))</f>
        <v>2</v>
      </c>
      <c r="J48" s="194">
        <f t="shared" ref="J48:M48" si="10">IF(AND(J$34&lt;&gt;"熱交換型換気設備",J$34&lt;&gt;"顕熱交換器"),2,IF(AND(OR(J$34="熱交換型換気設備",J$34="顕熱交換器"),OR(J$35="継続",J$36="工場",J$36="倉庫",J$36="私学学校")),0,1))</f>
        <v>2</v>
      </c>
      <c r="K48" s="194">
        <f t="shared" si="10"/>
        <v>2</v>
      </c>
      <c r="L48" s="194">
        <f t="shared" si="10"/>
        <v>2</v>
      </c>
      <c r="M48" s="194">
        <f t="shared" si="10"/>
        <v>2</v>
      </c>
      <c r="N48" s="161" t="str">
        <f>IF(R48+S48=O48,"適合","非適合")</f>
        <v>適合</v>
      </c>
      <c r="O48" s="35">
        <f>COUNTIF($D48:$M48,0)</f>
        <v>0</v>
      </c>
      <c r="P48" s="35">
        <f t="shared" si="5"/>
        <v>0</v>
      </c>
      <c r="Q48" s="35">
        <f t="shared" si="6"/>
        <v>10</v>
      </c>
      <c r="R48" s="35">
        <f>COUNTIF($D$34:$M$34,"熱交換型換気設備")</f>
        <v>0</v>
      </c>
      <c r="S48" s="35">
        <f>COUNTIF($D$34:$M$34,"顕熱交換器")</f>
        <v>0</v>
      </c>
      <c r="U48" s="180">
        <v>47</v>
      </c>
    </row>
    <row r="49" spans="2:21" hidden="1" x14ac:dyDescent="0.55000000000000004">
      <c r="B49" s="161" t="s">
        <v>336</v>
      </c>
      <c r="C49" s="161"/>
      <c r="D49" s="161">
        <f>IF(D$34&lt;&gt;"顕熱交換器",2,IF(OR(D$35="継続",AND(D$34="顕熱交換器",OR(D$36="工場",D$36="倉庫",D$36="私学学校"),D43&gt;=40)),0,1))</f>
        <v>2</v>
      </c>
      <c r="E49" s="161">
        <f t="shared" ref="E49:M49" si="11">IF(E$34&lt;&gt;"顕熱交換器",2,IF(OR(E$35="継続",AND(E$34="顕熱交換器",OR(E$36="工場",E$36="倉庫",E$36="私学学校"),E43&gt;=40)),0,1))</f>
        <v>2</v>
      </c>
      <c r="F49" s="161">
        <f t="shared" si="11"/>
        <v>2</v>
      </c>
      <c r="G49" s="161">
        <f>IF(G$34&lt;&gt;"顕熱交換器",2,IF(OR(G$35="継続",AND(G$34="顕熱交換器",OR(G$36="工場",G$36="倉庫",G$36="私学学校"),G43&gt;=40)),0,1))</f>
        <v>2</v>
      </c>
      <c r="H49" s="161">
        <f t="shared" si="11"/>
        <v>2</v>
      </c>
      <c r="I49" s="161">
        <f t="shared" si="11"/>
        <v>2</v>
      </c>
      <c r="J49" s="161">
        <f t="shared" si="11"/>
        <v>2</v>
      </c>
      <c r="K49" s="161">
        <f t="shared" si="11"/>
        <v>2</v>
      </c>
      <c r="L49" s="161">
        <f t="shared" si="11"/>
        <v>2</v>
      </c>
      <c r="M49" s="161">
        <f t="shared" si="11"/>
        <v>2</v>
      </c>
      <c r="N49" s="161"/>
      <c r="O49" s="35">
        <f t="shared" si="4"/>
        <v>0</v>
      </c>
      <c r="P49" s="35">
        <f t="shared" si="5"/>
        <v>0</v>
      </c>
      <c r="Q49" s="35">
        <f t="shared" si="6"/>
        <v>10</v>
      </c>
      <c r="S49" s="35">
        <f>COUNTIF($D$34:$M$34,"顕熱交換器")</f>
        <v>0</v>
      </c>
      <c r="U49" s="180">
        <v>48</v>
      </c>
    </row>
    <row r="50" spans="2:21" hidden="1" x14ac:dyDescent="0.55000000000000004">
      <c r="B50" s="161" t="s">
        <v>337</v>
      </c>
      <c r="C50" s="161"/>
      <c r="D50" s="161">
        <f>IF(D$34&lt;&gt;"顕熱交換器",2,IF(OR(D$35="継続",AND(D$34="顕熱交換器",OR(D$36="工場",D$36="倉庫",D$36="私学学校"),D44&gt;=40)),0,1))</f>
        <v>2</v>
      </c>
      <c r="E50" s="161">
        <f t="shared" ref="E50:M50" si="12">IF(E$34&lt;&gt;"顕熱交換器",2,IF(OR(E$35="継続",AND(E$34="顕熱交換器",OR(E$36="工場",E$36="倉庫",E$36="私学学校"),E44&gt;=40)),0,1))</f>
        <v>2</v>
      </c>
      <c r="F50" s="161">
        <f t="shared" si="12"/>
        <v>2</v>
      </c>
      <c r="G50" s="161">
        <f t="shared" si="12"/>
        <v>2</v>
      </c>
      <c r="H50" s="161">
        <f t="shared" si="12"/>
        <v>2</v>
      </c>
      <c r="I50" s="161">
        <f t="shared" si="12"/>
        <v>2</v>
      </c>
      <c r="J50" s="161">
        <f t="shared" si="12"/>
        <v>2</v>
      </c>
      <c r="K50" s="161">
        <f t="shared" si="12"/>
        <v>2</v>
      </c>
      <c r="L50" s="161">
        <f t="shared" si="12"/>
        <v>2</v>
      </c>
      <c r="M50" s="161">
        <f t="shared" si="12"/>
        <v>2</v>
      </c>
      <c r="N50" s="161" t="str">
        <f>IF(AND(S49=O49,S49=O50),"適合","非適合")</f>
        <v>適合</v>
      </c>
      <c r="O50" s="35">
        <f t="shared" si="4"/>
        <v>0</v>
      </c>
      <c r="P50" s="35">
        <f t="shared" si="5"/>
        <v>0</v>
      </c>
      <c r="Q50" s="35">
        <f t="shared" si="6"/>
        <v>10</v>
      </c>
      <c r="U50" s="180">
        <v>49</v>
      </c>
    </row>
    <row r="51" spans="2:21" hidden="1" x14ac:dyDescent="0.55000000000000004">
      <c r="B51" s="165" t="s">
        <v>332</v>
      </c>
      <c r="C51" s="161"/>
      <c r="D51" s="161">
        <f t="shared" ref="D51:M51" si="13">IF(D$34&lt;&gt;"熱交換型換気設備",2,IF(OR(D$35="継続",AND(D$34="熱交換型換気設備",OR(D$36="工場",D$36="倉庫",D$36="私学学校"),D43&gt;=40)),0,1))</f>
        <v>2</v>
      </c>
      <c r="E51" s="161">
        <f t="shared" si="13"/>
        <v>2</v>
      </c>
      <c r="F51" s="161">
        <f t="shared" si="13"/>
        <v>2</v>
      </c>
      <c r="G51" s="161">
        <f>IF(G$34&lt;&gt;"熱交換型換気設備",2,IF(OR(G$35="継続",AND(G$34="熱交換型換気設備",OR(G$36="工場",G$36="倉庫",G$36="私学学校"),G43&gt;=40)),0,1))</f>
        <v>2</v>
      </c>
      <c r="H51" s="161">
        <f t="shared" si="13"/>
        <v>2</v>
      </c>
      <c r="I51" s="161">
        <f t="shared" si="13"/>
        <v>2</v>
      </c>
      <c r="J51" s="161">
        <f t="shared" si="13"/>
        <v>2</v>
      </c>
      <c r="K51" s="161">
        <f t="shared" si="13"/>
        <v>2</v>
      </c>
      <c r="L51" s="161">
        <f t="shared" si="13"/>
        <v>2</v>
      </c>
      <c r="M51" s="161">
        <f t="shared" si="13"/>
        <v>2</v>
      </c>
      <c r="N51" s="161"/>
      <c r="O51" s="35">
        <f t="shared" si="4"/>
        <v>0</v>
      </c>
      <c r="P51" s="35">
        <f t="shared" ref="P51:P52" si="14">COUNTIF($D51:$M51,1)</f>
        <v>0</v>
      </c>
      <c r="Q51" s="35">
        <f t="shared" si="6"/>
        <v>10</v>
      </c>
      <c r="R51" s="35">
        <f>COUNT($D43:$M43)</f>
        <v>0</v>
      </c>
      <c r="S51" s="35">
        <f>COUNTIF($D$34:$M$34,"熱交換型換気設備")</f>
        <v>0</v>
      </c>
      <c r="U51" s="180">
        <v>50</v>
      </c>
    </row>
    <row r="52" spans="2:21" hidden="1" x14ac:dyDescent="0.55000000000000004">
      <c r="B52" s="165" t="s">
        <v>333</v>
      </c>
      <c r="C52" s="161"/>
      <c r="D52" s="161">
        <f>IF(D$34&lt;&gt;"熱交換型換気設備",2,IF(OR(D$35="継続",AND(D$34="熱交換型換気設備",OR(D$36="工場",D$36="倉庫",D$36="私学学校"),D44&gt;=40)),0,1))</f>
        <v>2</v>
      </c>
      <c r="E52" s="161">
        <f t="shared" ref="E52:M52" si="15">IF(E$34&lt;&gt;"熱交換型換気設備",2,IF(OR(E$35="継続",AND(E$34="熱交換型換気設備",OR(E$36="工場",E$36="倉庫",E$36="私学学校"),E44&gt;=40)),0,1))</f>
        <v>2</v>
      </c>
      <c r="F52" s="161">
        <f t="shared" si="15"/>
        <v>2</v>
      </c>
      <c r="G52" s="161">
        <f t="shared" si="15"/>
        <v>2</v>
      </c>
      <c r="H52" s="161">
        <f t="shared" si="15"/>
        <v>2</v>
      </c>
      <c r="I52" s="161">
        <f t="shared" si="15"/>
        <v>2</v>
      </c>
      <c r="J52" s="161">
        <f t="shared" si="15"/>
        <v>2</v>
      </c>
      <c r="K52" s="161">
        <f t="shared" si="15"/>
        <v>2</v>
      </c>
      <c r="L52" s="161">
        <f t="shared" si="15"/>
        <v>2</v>
      </c>
      <c r="M52" s="161">
        <f t="shared" si="15"/>
        <v>2</v>
      </c>
      <c r="N52" s="161" t="str">
        <f>IF(AND(S51=O51,S51=O52),"適合","非適合")</f>
        <v>適合</v>
      </c>
      <c r="O52" s="35">
        <f t="shared" si="4"/>
        <v>0</v>
      </c>
      <c r="P52" s="35">
        <f t="shared" si="14"/>
        <v>0</v>
      </c>
      <c r="Q52" s="35">
        <f t="shared" ref="Q52" si="16">COUNTIF($D52:$M52,2)</f>
        <v>10</v>
      </c>
      <c r="R52" s="35">
        <f>COUNT($D44:$M44)</f>
        <v>0</v>
      </c>
      <c r="U52" s="180">
        <v>51</v>
      </c>
    </row>
    <row r="53" spans="2:21" hidden="1" x14ac:dyDescent="0.55000000000000004">
      <c r="B53" s="165" t="s">
        <v>335</v>
      </c>
      <c r="C53" s="161"/>
      <c r="D53" s="161">
        <f>IF(AND(D34="",D35="",D36="",D39="",D40="",D41="",D43="",D44=""),2,IF(AND(D34&lt;&gt;"",D35&lt;&gt;"",D36&lt;&gt;"",D39&lt;&gt;"",D40&lt;&gt;"",D41&lt;&gt;"",D43&lt;&gt;"",D44&lt;&gt;"",OR(D$34="顕熱交換器",D$34="熱交換型換気設備")),0,IF(AND(D34&lt;&gt;"",D35&lt;&gt;"",D36&lt;&gt;"",D39&lt;&gt;"",D40&lt;&gt;"",D41&lt;&gt;"",D43="",D44="",D$34&lt;&gt;"顕熱交換器",D$34&lt;&gt;"熱交換型換気設備"),0,1)))</f>
        <v>2</v>
      </c>
      <c r="E53" s="161">
        <f>IF(AND(E34="",E35="",E36="",E39="",E40="",E41="",E43="",E44=""),2,IF(AND(E34&lt;&gt;"",E35&lt;&gt;"",E36&lt;&gt;"",E39&lt;&gt;"",E40&lt;&gt;"",E41&lt;&gt;"",E43&lt;&gt;"",E44&lt;&gt;"",OR(E$34="顕熱交換器",E$34="熱交換型換気設備")),0,IF(AND(E34&lt;&gt;"",E35&lt;&gt;"",E36&lt;&gt;"",E39&lt;&gt;"",E40&lt;&gt;"",E41&lt;&gt;"",E43="",E44="",E$34&lt;&gt;"顕熱交換器",E$34&lt;&gt;"熱交換型換気設備"),0,1)))</f>
        <v>2</v>
      </c>
      <c r="F53" s="161">
        <f t="shared" ref="F53:M53" si="17">IF(AND(F34="",F35="",F36="",F39="",F40="",F41="",F43="",F44=""),2,IF(AND(F34&lt;&gt;"",F35&lt;&gt;"",F36&lt;&gt;"",F39&lt;&gt;"",F40&lt;&gt;"",F41&lt;&gt;"",F43&lt;&gt;"",F44&lt;&gt;"",OR(F$34="顕熱交換器",F$34="熱交換型換気設備")),0,IF(AND(F34&lt;&gt;"",F35&lt;&gt;"",F36&lt;&gt;"",F39&lt;&gt;"",F40&lt;&gt;"",F41&lt;&gt;"",F43="",F44="",F$34&lt;&gt;"顕熱交換器",F$34&lt;&gt;"熱交換型換気設備"),0,1)))</f>
        <v>2</v>
      </c>
      <c r="G53" s="161">
        <f t="shared" si="17"/>
        <v>2</v>
      </c>
      <c r="H53" s="161">
        <f t="shared" si="17"/>
        <v>2</v>
      </c>
      <c r="I53" s="161">
        <f t="shared" si="17"/>
        <v>2</v>
      </c>
      <c r="J53" s="161">
        <f t="shared" si="17"/>
        <v>2</v>
      </c>
      <c r="K53" s="161">
        <f t="shared" si="17"/>
        <v>2</v>
      </c>
      <c r="L53" s="161">
        <f t="shared" si="17"/>
        <v>2</v>
      </c>
      <c r="M53" s="161">
        <f t="shared" si="17"/>
        <v>2</v>
      </c>
      <c r="N53" s="161" t="str">
        <f>IF(OR((S49+S51)&lt;&gt;R51,(S49+S51)&lt;&gt;R52,P53&lt;&gt;0),"入力確認",IF(S53=O53,"適合","不適合"))</f>
        <v>適合</v>
      </c>
      <c r="O53" s="35">
        <f t="shared" si="4"/>
        <v>0</v>
      </c>
      <c r="P53" s="35">
        <f>COUNTIF($D53:$M53,1)</f>
        <v>0</v>
      </c>
      <c r="Q53" s="35">
        <f>COUNTIF($D53:$M53,2)</f>
        <v>10</v>
      </c>
      <c r="S53" s="35">
        <f>10-COUNTIF($D$34:$M$34,"")</f>
        <v>0</v>
      </c>
      <c r="U53" s="180">
        <v>52</v>
      </c>
    </row>
    <row r="54" spans="2:21" x14ac:dyDescent="0.55000000000000004">
      <c r="B54" s="53" t="s">
        <v>330</v>
      </c>
      <c r="C54" s="54"/>
    </row>
    <row r="55" spans="2:21" x14ac:dyDescent="0.55000000000000004">
      <c r="B55" s="53"/>
      <c r="C55" s="54"/>
    </row>
    <row r="56" spans="2:21" ht="33" customHeight="1" x14ac:dyDescent="0.55000000000000004">
      <c r="B56" s="40" t="s">
        <v>373</v>
      </c>
      <c r="C56" s="54"/>
    </row>
    <row r="57" spans="2:21" ht="9" customHeight="1" x14ac:dyDescent="0.55000000000000004">
      <c r="B57" s="35"/>
      <c r="C57" s="54"/>
    </row>
    <row r="58" spans="2:21" ht="19.5" customHeight="1" x14ac:dyDescent="0.55000000000000004">
      <c r="B58" s="120" t="s">
        <v>236</v>
      </c>
      <c r="C58" s="268" t="s">
        <v>139</v>
      </c>
      <c r="D58" s="268"/>
      <c r="E58" s="268"/>
      <c r="F58" s="221" t="s">
        <v>140</v>
      </c>
      <c r="G58" s="222"/>
      <c r="H58" s="223"/>
      <c r="I58" s="269" t="s">
        <v>234</v>
      </c>
      <c r="J58" s="269"/>
      <c r="K58" s="269"/>
      <c r="L58" s="269"/>
      <c r="M58" s="140" t="s">
        <v>266</v>
      </c>
      <c r="N58" s="132" t="s">
        <v>235</v>
      </c>
    </row>
    <row r="59" spans="2:21" x14ac:dyDescent="0.55000000000000004">
      <c r="B59" s="119" t="s">
        <v>169</v>
      </c>
      <c r="C59" s="282"/>
      <c r="D59" s="283"/>
      <c r="E59" s="284"/>
      <c r="F59" s="239"/>
      <c r="G59" s="239"/>
      <c r="H59" s="239"/>
      <c r="I59" s="239"/>
      <c r="J59" s="239"/>
      <c r="K59" s="239"/>
      <c r="L59" s="239"/>
      <c r="M59" s="170"/>
      <c r="N59" s="142"/>
    </row>
    <row r="60" spans="2:21" x14ac:dyDescent="0.55000000000000004">
      <c r="B60" s="117" t="s">
        <v>170</v>
      </c>
      <c r="C60" s="264"/>
      <c r="D60" s="265"/>
      <c r="E60" s="266"/>
      <c r="F60" s="239"/>
      <c r="G60" s="239"/>
      <c r="H60" s="239"/>
      <c r="I60" s="239"/>
      <c r="J60" s="239"/>
      <c r="K60" s="239"/>
      <c r="L60" s="239"/>
      <c r="M60" s="170"/>
      <c r="N60" s="142"/>
    </row>
    <row r="61" spans="2:21" x14ac:dyDescent="0.55000000000000004">
      <c r="B61" s="117" t="s">
        <v>171</v>
      </c>
      <c r="C61" s="264"/>
      <c r="D61" s="265"/>
      <c r="E61" s="266"/>
      <c r="F61" s="239"/>
      <c r="G61" s="239"/>
      <c r="H61" s="239"/>
      <c r="I61" s="239"/>
      <c r="J61" s="239"/>
      <c r="K61" s="239"/>
      <c r="L61" s="239"/>
      <c r="M61" s="170"/>
      <c r="N61" s="142"/>
    </row>
    <row r="62" spans="2:21" x14ac:dyDescent="0.55000000000000004">
      <c r="B62" s="117" t="s">
        <v>172</v>
      </c>
      <c r="C62" s="264"/>
      <c r="D62" s="265"/>
      <c r="E62" s="266"/>
      <c r="F62" s="239"/>
      <c r="G62" s="239"/>
      <c r="H62" s="239"/>
      <c r="I62" s="239"/>
      <c r="J62" s="239"/>
      <c r="K62" s="239"/>
      <c r="L62" s="239"/>
      <c r="M62" s="170"/>
      <c r="N62" s="142"/>
    </row>
    <row r="63" spans="2:21" x14ac:dyDescent="0.55000000000000004">
      <c r="B63" s="117" t="s">
        <v>173</v>
      </c>
      <c r="C63" s="264"/>
      <c r="D63" s="265"/>
      <c r="E63" s="266"/>
      <c r="F63" s="239"/>
      <c r="G63" s="239"/>
      <c r="H63" s="239"/>
      <c r="I63" s="239"/>
      <c r="J63" s="239"/>
      <c r="K63" s="239"/>
      <c r="L63" s="239"/>
      <c r="M63" s="170"/>
      <c r="N63" s="142"/>
    </row>
    <row r="64" spans="2:21" x14ac:dyDescent="0.55000000000000004">
      <c r="B64" s="117" t="s">
        <v>174</v>
      </c>
      <c r="C64" s="264"/>
      <c r="D64" s="265"/>
      <c r="E64" s="266"/>
      <c r="F64" s="239"/>
      <c r="G64" s="239"/>
      <c r="H64" s="239"/>
      <c r="I64" s="239"/>
      <c r="J64" s="239"/>
      <c r="K64" s="239"/>
      <c r="L64" s="239"/>
      <c r="M64" s="170"/>
      <c r="N64" s="142"/>
    </row>
    <row r="65" spans="2:14" x14ac:dyDescent="0.55000000000000004">
      <c r="B65" s="117" t="s">
        <v>175</v>
      </c>
      <c r="C65" s="264"/>
      <c r="D65" s="265"/>
      <c r="E65" s="266"/>
      <c r="F65" s="239"/>
      <c r="G65" s="239"/>
      <c r="H65" s="239"/>
      <c r="I65" s="239"/>
      <c r="J65" s="239"/>
      <c r="K65" s="239"/>
      <c r="L65" s="239"/>
      <c r="M65" s="170"/>
      <c r="N65" s="142"/>
    </row>
    <row r="66" spans="2:14" x14ac:dyDescent="0.55000000000000004">
      <c r="B66" s="117" t="s">
        <v>176</v>
      </c>
      <c r="C66" s="264"/>
      <c r="D66" s="265"/>
      <c r="E66" s="266"/>
      <c r="F66" s="239"/>
      <c r="G66" s="239"/>
      <c r="H66" s="239"/>
      <c r="I66" s="239"/>
      <c r="J66" s="239"/>
      <c r="K66" s="239"/>
      <c r="L66" s="239"/>
      <c r="M66" s="170"/>
      <c r="N66" s="142"/>
    </row>
    <row r="67" spans="2:14" x14ac:dyDescent="0.55000000000000004">
      <c r="B67" s="117" t="s">
        <v>177</v>
      </c>
      <c r="C67" s="264"/>
      <c r="D67" s="265"/>
      <c r="E67" s="266"/>
      <c r="F67" s="239"/>
      <c r="G67" s="239"/>
      <c r="H67" s="239"/>
      <c r="I67" s="239"/>
      <c r="J67" s="239"/>
      <c r="K67" s="239"/>
      <c r="L67" s="239"/>
      <c r="M67" s="170"/>
      <c r="N67" s="142"/>
    </row>
    <row r="68" spans="2:14" x14ac:dyDescent="0.55000000000000004">
      <c r="B68" s="118" t="s">
        <v>178</v>
      </c>
      <c r="C68" s="276"/>
      <c r="D68" s="277"/>
      <c r="E68" s="278"/>
      <c r="F68" s="239"/>
      <c r="G68" s="239"/>
      <c r="H68" s="239"/>
      <c r="I68" s="239"/>
      <c r="J68" s="239"/>
      <c r="K68" s="239"/>
      <c r="L68" s="239"/>
      <c r="M68" s="171"/>
      <c r="N68" s="142"/>
    </row>
    <row r="69" spans="2:14" x14ac:dyDescent="0.55000000000000004">
      <c r="B69" s="121"/>
      <c r="C69" s="122"/>
      <c r="D69" s="122"/>
      <c r="E69" s="122"/>
      <c r="F69" s="122"/>
      <c r="G69" s="122"/>
      <c r="H69" s="122"/>
      <c r="I69" s="123"/>
      <c r="J69" s="123"/>
      <c r="K69" s="123"/>
      <c r="L69" s="123"/>
      <c r="M69" s="121"/>
      <c r="N69" s="121"/>
    </row>
    <row r="70" spans="2:14" ht="19.5" customHeight="1" x14ac:dyDescent="0.55000000000000004">
      <c r="B70" s="120" t="s">
        <v>237</v>
      </c>
      <c r="C70" s="242" t="s">
        <v>139</v>
      </c>
      <c r="D70" s="243"/>
      <c r="E70" s="244"/>
      <c r="F70" s="242" t="s">
        <v>140</v>
      </c>
      <c r="G70" s="243"/>
      <c r="H70" s="244"/>
      <c r="I70" s="245" t="s">
        <v>234</v>
      </c>
      <c r="J70" s="246"/>
      <c r="K70" s="246"/>
      <c r="L70" s="247"/>
      <c r="M70" s="140" t="s">
        <v>266</v>
      </c>
      <c r="N70" s="132" t="s">
        <v>235</v>
      </c>
    </row>
    <row r="71" spans="2:14" x14ac:dyDescent="0.55000000000000004">
      <c r="B71" s="119" t="s">
        <v>199</v>
      </c>
      <c r="C71" s="239"/>
      <c r="D71" s="239"/>
      <c r="E71" s="239"/>
      <c r="F71" s="239"/>
      <c r="G71" s="239"/>
      <c r="H71" s="239"/>
      <c r="I71" s="239"/>
      <c r="J71" s="239"/>
      <c r="K71" s="239"/>
      <c r="L71" s="239"/>
      <c r="M71" s="163"/>
      <c r="N71" s="142"/>
    </row>
    <row r="72" spans="2:14" x14ac:dyDescent="0.55000000000000004">
      <c r="B72" s="117" t="s">
        <v>238</v>
      </c>
      <c r="C72" s="238"/>
      <c r="D72" s="238"/>
      <c r="E72" s="238"/>
      <c r="F72" s="239"/>
      <c r="G72" s="239"/>
      <c r="H72" s="239"/>
      <c r="I72" s="238"/>
      <c r="J72" s="238"/>
      <c r="K72" s="238"/>
      <c r="L72" s="238"/>
      <c r="M72" s="163"/>
      <c r="N72" s="142"/>
    </row>
    <row r="73" spans="2:14" x14ac:dyDescent="0.55000000000000004">
      <c r="B73" s="117" t="s">
        <v>239</v>
      </c>
      <c r="C73" s="238"/>
      <c r="D73" s="238"/>
      <c r="E73" s="238"/>
      <c r="F73" s="239"/>
      <c r="G73" s="239"/>
      <c r="H73" s="239"/>
      <c r="I73" s="238"/>
      <c r="J73" s="238"/>
      <c r="K73" s="238"/>
      <c r="L73" s="238"/>
      <c r="M73" s="163"/>
      <c r="N73" s="142"/>
    </row>
    <row r="74" spans="2:14" x14ac:dyDescent="0.55000000000000004">
      <c r="B74" s="117" t="s">
        <v>202</v>
      </c>
      <c r="C74" s="238"/>
      <c r="D74" s="238"/>
      <c r="E74" s="238"/>
      <c r="F74" s="239"/>
      <c r="G74" s="239"/>
      <c r="H74" s="239"/>
      <c r="I74" s="238"/>
      <c r="J74" s="238"/>
      <c r="K74" s="238"/>
      <c r="L74" s="238"/>
      <c r="M74" s="163"/>
      <c r="N74" s="142"/>
    </row>
    <row r="75" spans="2:14" x14ac:dyDescent="0.55000000000000004">
      <c r="B75" s="117" t="s">
        <v>203</v>
      </c>
      <c r="C75" s="238"/>
      <c r="D75" s="238"/>
      <c r="E75" s="238"/>
      <c r="F75" s="239"/>
      <c r="G75" s="239"/>
      <c r="H75" s="239"/>
      <c r="I75" s="238"/>
      <c r="J75" s="238"/>
      <c r="K75" s="238"/>
      <c r="L75" s="238"/>
      <c r="M75" s="163"/>
      <c r="N75" s="142"/>
    </row>
    <row r="76" spans="2:14" x14ac:dyDescent="0.55000000000000004">
      <c r="B76" s="117" t="s">
        <v>204</v>
      </c>
      <c r="C76" s="238"/>
      <c r="D76" s="238"/>
      <c r="E76" s="238"/>
      <c r="F76" s="239"/>
      <c r="G76" s="239"/>
      <c r="H76" s="239"/>
      <c r="I76" s="238"/>
      <c r="J76" s="238"/>
      <c r="K76" s="238"/>
      <c r="L76" s="238"/>
      <c r="M76" s="163"/>
      <c r="N76" s="142"/>
    </row>
    <row r="77" spans="2:14" x14ac:dyDescent="0.55000000000000004">
      <c r="B77" s="117" t="s">
        <v>205</v>
      </c>
      <c r="C77" s="238"/>
      <c r="D77" s="238"/>
      <c r="E77" s="238"/>
      <c r="F77" s="239"/>
      <c r="G77" s="239"/>
      <c r="H77" s="239"/>
      <c r="I77" s="238"/>
      <c r="J77" s="238"/>
      <c r="K77" s="238"/>
      <c r="L77" s="238"/>
      <c r="M77" s="163"/>
      <c r="N77" s="142"/>
    </row>
    <row r="78" spans="2:14" x14ac:dyDescent="0.55000000000000004">
      <c r="B78" s="117" t="s">
        <v>206</v>
      </c>
      <c r="C78" s="238"/>
      <c r="D78" s="238"/>
      <c r="E78" s="238"/>
      <c r="F78" s="239"/>
      <c r="G78" s="239"/>
      <c r="H78" s="239"/>
      <c r="I78" s="238"/>
      <c r="J78" s="238"/>
      <c r="K78" s="238"/>
      <c r="L78" s="238"/>
      <c r="M78" s="163"/>
      <c r="N78" s="142"/>
    </row>
    <row r="79" spans="2:14" x14ac:dyDescent="0.55000000000000004">
      <c r="B79" s="117" t="s">
        <v>207</v>
      </c>
      <c r="C79" s="238"/>
      <c r="D79" s="238"/>
      <c r="E79" s="238"/>
      <c r="F79" s="239"/>
      <c r="G79" s="239"/>
      <c r="H79" s="239"/>
      <c r="I79" s="238"/>
      <c r="J79" s="238"/>
      <c r="K79" s="238"/>
      <c r="L79" s="238"/>
      <c r="M79" s="163"/>
      <c r="N79" s="142"/>
    </row>
    <row r="80" spans="2:14" x14ac:dyDescent="0.55000000000000004">
      <c r="B80" s="118" t="s">
        <v>240</v>
      </c>
      <c r="C80" s="270"/>
      <c r="D80" s="270"/>
      <c r="E80" s="270"/>
      <c r="F80" s="270"/>
      <c r="G80" s="270"/>
      <c r="H80" s="270"/>
      <c r="I80" s="270"/>
      <c r="J80" s="270"/>
      <c r="K80" s="270"/>
      <c r="L80" s="270"/>
      <c r="M80" s="164"/>
      <c r="N80" s="145"/>
    </row>
    <row r="81" spans="2:17" x14ac:dyDescent="0.55000000000000004">
      <c r="B81" s="53"/>
      <c r="C81" s="54"/>
    </row>
    <row r="82" spans="2:17" ht="14.25" customHeight="1" thickBot="1" x14ac:dyDescent="0.6">
      <c r="B82" s="54"/>
      <c r="C82" s="54"/>
    </row>
    <row r="83" spans="2:17" ht="25.5" customHeight="1" thickBot="1" x14ac:dyDescent="0.6">
      <c r="B83" s="279" t="s">
        <v>286</v>
      </c>
      <c r="C83" s="280"/>
      <c r="D83" s="280"/>
      <c r="E83" s="280"/>
      <c r="F83" s="281"/>
      <c r="G83" s="228" t="s">
        <v>397</v>
      </c>
      <c r="H83" s="229"/>
      <c r="M83" s="69"/>
    </row>
    <row r="84" spans="2:17" ht="27" customHeight="1" x14ac:dyDescent="0.55000000000000004">
      <c r="B84" s="162" t="str">
        <f>IF(G83="実施を選択","",IF(G83="はい","※「はい」を選択した場合は、【３．空調設備の新旧仕様入力表】に必要事項を入力してください。","※「いいえ」を選択した場合は、【３．空調設備の新旧仕様表】の入力は不要です。"))</f>
        <v>※「はい」を選択した場合は、【３．空調設備の新旧仕様入力表】に必要事項を入力してください。</v>
      </c>
      <c r="C84" s="41"/>
      <c r="M84" s="69"/>
    </row>
    <row r="85" spans="2:17" ht="8.25" customHeight="1" x14ac:dyDescent="0.55000000000000004">
      <c r="B85" s="162"/>
      <c r="C85" s="41"/>
      <c r="M85" s="69"/>
    </row>
    <row r="86" spans="2:17" ht="37.5" customHeight="1" x14ac:dyDescent="0.55000000000000004">
      <c r="B86" s="40" t="s">
        <v>265</v>
      </c>
      <c r="C86" s="41"/>
      <c r="F86" s="224" t="s">
        <v>338</v>
      </c>
      <c r="G86" s="225"/>
      <c r="H86" s="209" t="str">
        <f>IF(OR($G$83="いいえ",$G$83="実施を選択"),"",IF(N109="入力確認","旧設備の入力をご確認ください。",IF(N132="入力確認","新設備の入力をご確認ください。",IF(ISERROR(N103-N126),"",IF(AND(G83="いいえ",N103-N126&lt;&gt;0),"新旧仕様入力表の入力は不要です。",IF(AND(G83&lt;&gt;"はい",N103-N126&lt;&gt;0),"実施確認：空調設備の更新を選択してください。",IF(AND(G83="はい",N103-N126&gt;0),"省エネ設備更新の要件を満たしています。","省エネ設備更新の要件を満たしていません。")))))))</f>
        <v/>
      </c>
      <c r="I86" s="210"/>
      <c r="J86" s="210"/>
      <c r="K86" s="210"/>
      <c r="L86" s="211"/>
      <c r="M86" s="69"/>
    </row>
    <row r="87" spans="2:17" ht="9" customHeight="1" x14ac:dyDescent="0.55000000000000004">
      <c r="B87" s="40"/>
      <c r="C87" s="41"/>
      <c r="M87" s="69"/>
    </row>
    <row r="88" spans="2:17" ht="19.8" thickBot="1" x14ac:dyDescent="0.6">
      <c r="B88" s="35" t="s">
        <v>377</v>
      </c>
      <c r="C88" s="42"/>
    </row>
    <row r="89" spans="2:17" ht="19.8" thickBot="1" x14ac:dyDescent="0.6">
      <c r="B89" s="268" t="s">
        <v>138</v>
      </c>
      <c r="C89" s="268"/>
      <c r="D89" s="43" t="s">
        <v>179</v>
      </c>
      <c r="E89" s="43" t="s">
        <v>180</v>
      </c>
      <c r="F89" s="43" t="s">
        <v>181</v>
      </c>
      <c r="G89" s="43" t="s">
        <v>182</v>
      </c>
      <c r="H89" s="43" t="s">
        <v>183</v>
      </c>
      <c r="I89" s="43" t="s">
        <v>184</v>
      </c>
      <c r="J89" s="43" t="s">
        <v>185</v>
      </c>
      <c r="K89" s="43" t="s">
        <v>186</v>
      </c>
      <c r="L89" s="43" t="s">
        <v>187</v>
      </c>
      <c r="M89" s="43" t="s">
        <v>188</v>
      </c>
      <c r="N89" s="55" t="s">
        <v>0</v>
      </c>
      <c r="P89" s="192" t="s">
        <v>395</v>
      </c>
      <c r="Q89" s="56"/>
    </row>
    <row r="90" spans="2:17" ht="58.5" customHeight="1" thickBot="1" x14ac:dyDescent="0.6">
      <c r="B90" s="274" t="s">
        <v>372</v>
      </c>
      <c r="C90" s="274"/>
      <c r="D90" s="7"/>
      <c r="E90" s="7"/>
      <c r="F90" s="7"/>
      <c r="G90" s="7"/>
      <c r="H90" s="7"/>
      <c r="I90" s="7"/>
      <c r="J90" s="7"/>
      <c r="K90" s="7"/>
      <c r="L90" s="7"/>
      <c r="M90" s="7"/>
      <c r="N90" s="45" t="s">
        <v>10</v>
      </c>
      <c r="P90" s="192" t="s">
        <v>382</v>
      </c>
      <c r="Q90" s="56"/>
    </row>
    <row r="91" spans="2:17" hidden="1" x14ac:dyDescent="0.55000000000000004">
      <c r="B91" s="251" t="s">
        <v>139</v>
      </c>
      <c r="C91" s="252"/>
      <c r="D91" s="34"/>
      <c r="E91" s="34"/>
      <c r="F91" s="34"/>
      <c r="G91" s="34"/>
      <c r="H91" s="34"/>
      <c r="I91" s="34"/>
      <c r="J91" s="34"/>
      <c r="K91" s="34"/>
      <c r="L91" s="34"/>
      <c r="M91" s="34"/>
      <c r="N91" s="45" t="s">
        <v>10</v>
      </c>
      <c r="P91" s="192"/>
    </row>
    <row r="92" spans="2:17" hidden="1" x14ac:dyDescent="0.55000000000000004">
      <c r="B92" s="251" t="s">
        <v>140</v>
      </c>
      <c r="C92" s="252"/>
      <c r="D92" s="34"/>
      <c r="E92" s="34"/>
      <c r="F92" s="34"/>
      <c r="G92" s="34"/>
      <c r="H92" s="34"/>
      <c r="I92" s="34"/>
      <c r="J92" s="34"/>
      <c r="K92" s="34"/>
      <c r="L92" s="34"/>
      <c r="M92" s="34"/>
      <c r="N92" s="45" t="s">
        <v>10</v>
      </c>
      <c r="P92" s="192"/>
    </row>
    <row r="93" spans="2:17" ht="19.8" hidden="1" thickBot="1" x14ac:dyDescent="0.6">
      <c r="B93" s="253" t="s">
        <v>2</v>
      </c>
      <c r="C93" s="253"/>
      <c r="D93" s="27"/>
      <c r="E93" s="27"/>
      <c r="F93" s="27"/>
      <c r="G93" s="27"/>
      <c r="H93" s="27"/>
      <c r="I93" s="27"/>
      <c r="J93" s="27"/>
      <c r="K93" s="27"/>
      <c r="L93" s="27"/>
      <c r="M93" s="27"/>
      <c r="N93" s="45" t="s">
        <v>10</v>
      </c>
      <c r="P93" s="192"/>
    </row>
    <row r="94" spans="2:17" ht="19.8" thickBot="1" x14ac:dyDescent="0.6">
      <c r="B94" s="253" t="s">
        <v>3</v>
      </c>
      <c r="C94" s="253"/>
      <c r="D94" s="27"/>
      <c r="E94" s="27"/>
      <c r="F94" s="27"/>
      <c r="G94" s="27"/>
      <c r="H94" s="27"/>
      <c r="I94" s="27"/>
      <c r="J94" s="27"/>
      <c r="K94" s="27"/>
      <c r="L94" s="27"/>
      <c r="M94" s="27"/>
      <c r="N94" s="57" t="str">
        <f>IF(SUM(D94:M94)=0,"",SUM(D94:M94))</f>
        <v/>
      </c>
      <c r="P94" s="192"/>
    </row>
    <row r="95" spans="2:17" x14ac:dyDescent="0.55000000000000004">
      <c r="B95" s="275" t="s">
        <v>16</v>
      </c>
      <c r="C95" s="258"/>
      <c r="D95" s="29"/>
      <c r="E95" s="29"/>
      <c r="F95" s="29"/>
      <c r="G95" s="29"/>
      <c r="H95" s="29"/>
      <c r="I95" s="29"/>
      <c r="J95" s="29"/>
      <c r="K95" s="29"/>
      <c r="L95" s="29"/>
      <c r="M95" s="29"/>
      <c r="N95" s="58" t="s">
        <v>10</v>
      </c>
      <c r="P95" s="192" t="s">
        <v>383</v>
      </c>
    </row>
    <row r="96" spans="2:17" x14ac:dyDescent="0.55000000000000004">
      <c r="B96" s="271" t="s">
        <v>124</v>
      </c>
      <c r="C96" s="272"/>
      <c r="D96" s="29"/>
      <c r="E96" s="29"/>
      <c r="F96" s="29"/>
      <c r="G96" s="29"/>
      <c r="H96" s="29"/>
      <c r="I96" s="29"/>
      <c r="J96" s="29"/>
      <c r="K96" s="29"/>
      <c r="L96" s="29"/>
      <c r="M96" s="29"/>
      <c r="N96" s="58" t="s">
        <v>10</v>
      </c>
      <c r="P96" s="192" t="s">
        <v>381</v>
      </c>
    </row>
    <row r="97" spans="2:22" ht="19.5" customHeight="1" x14ac:dyDescent="0.55000000000000004">
      <c r="B97" s="261" t="s">
        <v>271</v>
      </c>
      <c r="C97" s="75" t="s">
        <v>7</v>
      </c>
      <c r="D97" s="4"/>
      <c r="E97" s="4"/>
      <c r="F97" s="4"/>
      <c r="G97" s="4"/>
      <c r="H97" s="4"/>
      <c r="I97" s="4"/>
      <c r="J97" s="4"/>
      <c r="K97" s="4"/>
      <c r="L97" s="4"/>
      <c r="M97" s="4"/>
      <c r="N97" s="58" t="s">
        <v>10</v>
      </c>
      <c r="P97" s="193"/>
    </row>
    <row r="98" spans="2:22" ht="19.5" customHeight="1" x14ac:dyDescent="0.55000000000000004">
      <c r="B98" s="262"/>
      <c r="C98" s="75" t="s">
        <v>8</v>
      </c>
      <c r="D98" s="26"/>
      <c r="E98" s="26"/>
      <c r="F98" s="26"/>
      <c r="G98" s="26"/>
      <c r="H98" s="26"/>
      <c r="I98" s="26"/>
      <c r="J98" s="26"/>
      <c r="K98" s="26"/>
      <c r="L98" s="26"/>
      <c r="M98" s="26"/>
      <c r="N98" s="52" t="s">
        <v>10</v>
      </c>
      <c r="P98" s="193"/>
    </row>
    <row r="99" spans="2:22" ht="19.5" customHeight="1" x14ac:dyDescent="0.55000000000000004">
      <c r="B99" s="261" t="s">
        <v>272</v>
      </c>
      <c r="C99" s="75" t="s">
        <v>7</v>
      </c>
      <c r="D99" s="174"/>
      <c r="E99" s="174"/>
      <c r="F99" s="174"/>
      <c r="G99" s="174"/>
      <c r="H99" s="174"/>
      <c r="I99" s="174"/>
      <c r="J99" s="174"/>
      <c r="K99" s="174"/>
      <c r="L99" s="174"/>
      <c r="M99" s="174"/>
      <c r="N99" s="45" t="s">
        <v>10</v>
      </c>
      <c r="P99" s="193"/>
    </row>
    <row r="100" spans="2:22" x14ac:dyDescent="0.55000000000000004">
      <c r="B100" s="263"/>
      <c r="C100" s="75" t="s">
        <v>8</v>
      </c>
      <c r="D100" s="174"/>
      <c r="E100" s="174"/>
      <c r="F100" s="174"/>
      <c r="G100" s="174"/>
      <c r="H100" s="174"/>
      <c r="I100" s="174"/>
      <c r="J100" s="174"/>
      <c r="K100" s="174"/>
      <c r="L100" s="174"/>
      <c r="M100" s="174"/>
      <c r="N100" s="52" t="s">
        <v>10</v>
      </c>
      <c r="P100" s="193"/>
    </row>
    <row r="101" spans="2:22" ht="19.8" thickBot="1" x14ac:dyDescent="0.6">
      <c r="B101" s="262"/>
      <c r="C101" s="75" t="s">
        <v>104</v>
      </c>
      <c r="D101" s="30"/>
      <c r="E101" s="30"/>
      <c r="F101" s="30"/>
      <c r="G101" s="30"/>
      <c r="H101" s="30"/>
      <c r="I101" s="30"/>
      <c r="J101" s="30"/>
      <c r="K101" s="30"/>
      <c r="L101" s="30"/>
      <c r="M101" s="30"/>
      <c r="N101" s="52" t="s">
        <v>10</v>
      </c>
      <c r="P101" s="192" t="s">
        <v>384</v>
      </c>
    </row>
    <row r="102" spans="2:22" ht="39.75" customHeight="1" x14ac:dyDescent="0.55000000000000004">
      <c r="B102" s="234" t="s">
        <v>274</v>
      </c>
      <c r="C102" s="237"/>
      <c r="D102" s="59" t="str">
        <f>IF(計算!$O31=1,計算!$R31,IF(計算!$O31=2,計算!$U31,IF(計算!$O31=3,計算!$X31,IF(計算!$O31=4,計算!$AA31,IF(計算!$O31=5,計算!$AD31,"")))))</f>
        <v/>
      </c>
      <c r="E102" s="60" t="str">
        <f>IF(計算!$O32=1,計算!$R32,IF(計算!$O32=2,計算!$U32,IF(計算!$O32=3,計算!$X32,IF(計算!$O32=4,計算!$AA32,IF(計算!$O32=5,計算!$AD32,"")))))</f>
        <v/>
      </c>
      <c r="F102" s="60" t="str">
        <f>IF(計算!$O33=1,計算!$R33,IF(計算!$O33=2,計算!$U33,IF(計算!$O33=3,計算!$X33,IF(計算!$O33=4,計算!$AA33,IF(計算!$O33=5,計算!$AD33,"")))))</f>
        <v/>
      </c>
      <c r="G102" s="60" t="str">
        <f>IF(計算!$O34=1,計算!$R34,IF(計算!$O34=2,計算!$U34,IF(計算!$O34=3,計算!$X34,IF(計算!$O34=4,計算!$AA34,IF(計算!$O34=5,計算!$AD34,"")))))</f>
        <v/>
      </c>
      <c r="H102" s="60" t="str">
        <f>IF(計算!$O35=1,計算!$R35,IF(計算!$O35=2,計算!$U35,IF(計算!$O35=3,計算!$X35,IF(計算!$O35=4,計算!$AA35,IF(計算!$O35=5,計算!$AD35,"")))))</f>
        <v/>
      </c>
      <c r="I102" s="60" t="str">
        <f>IF(計算!$O36=1,計算!$R36,IF(計算!$O36=2,計算!$U36,IF(計算!$O36=3,計算!$X36,IF(計算!$O36=4,計算!$AA36,IF(計算!$O36=5,計算!$AD36,"")))))</f>
        <v/>
      </c>
      <c r="J102" s="60" t="str">
        <f>IF(計算!$O37=1,計算!$R37,IF(計算!$O37=2,計算!$U37,IF(計算!$O37=3,計算!$X37,IF(計算!$O37=4,計算!$AA37,IF(計算!$O37=5,計算!$AD37,"")))))</f>
        <v/>
      </c>
      <c r="K102" s="60" t="str">
        <f>IF(計算!$O38=1,計算!$R38,IF(計算!$O38=2,計算!$U38,IF(計算!$O38=3,計算!$X38,IF(計算!$O38=4,計算!$AA38,IF(計算!$O38=5,計算!$AD38,"")))))</f>
        <v/>
      </c>
      <c r="L102" s="60" t="str">
        <f>IF(計算!$O39=1,計算!$R39,IF(計算!$O39=2,計算!$U39,IF(計算!$O39=3,計算!$X39,IF(計算!$O39=4,計算!$AA39,IF(計算!$O39=5,計算!$AD39,"")))))</f>
        <v/>
      </c>
      <c r="M102" s="60" t="str">
        <f>IF(計算!$O40=1,計算!$R40,IF(計算!$O40=2,計算!$U40,IF(計算!$O40=3,計算!$X40,IF(計算!$O40=4,計算!$AA40,IF(計算!$O40=5,計算!$AD40,"")))))</f>
        <v/>
      </c>
      <c r="N102" s="61" t="str">
        <f>IF(SUM(D102:M102)=0,"",SUM(D102:M102))</f>
        <v/>
      </c>
    </row>
    <row r="103" spans="2:22" ht="19.8" thickBot="1" x14ac:dyDescent="0.6">
      <c r="B103" s="236" t="s">
        <v>275</v>
      </c>
      <c r="C103" s="237"/>
      <c r="D103" s="166" t="str">
        <f>IF(D102="","",ROUND(D102*0.0258,2))</f>
        <v/>
      </c>
      <c r="E103" s="166" t="str">
        <f t="shared" ref="E103:M103" si="18">IF(E102="","",ROUND(E102*0.0258,2))</f>
        <v/>
      </c>
      <c r="F103" s="166" t="str">
        <f t="shared" si="18"/>
        <v/>
      </c>
      <c r="G103" s="166" t="str">
        <f t="shared" si="18"/>
        <v/>
      </c>
      <c r="H103" s="166" t="str">
        <f t="shared" si="18"/>
        <v/>
      </c>
      <c r="I103" s="166" t="str">
        <f t="shared" si="18"/>
        <v/>
      </c>
      <c r="J103" s="166" t="str">
        <f t="shared" si="18"/>
        <v/>
      </c>
      <c r="K103" s="166" t="str">
        <f t="shared" si="18"/>
        <v/>
      </c>
      <c r="L103" s="166" t="str">
        <f t="shared" si="18"/>
        <v/>
      </c>
      <c r="M103" s="166" t="str">
        <f t="shared" si="18"/>
        <v/>
      </c>
      <c r="N103" s="172" t="str">
        <f>IF(SUM(D103:M103)=0,"",SUM(D103:M103))</f>
        <v/>
      </c>
    </row>
    <row r="104" spans="2:22" ht="19.5" customHeight="1" x14ac:dyDescent="0.55000000000000004">
      <c r="B104" s="230" t="s">
        <v>270</v>
      </c>
      <c r="C104" s="134" t="s">
        <v>268</v>
      </c>
      <c r="D104" s="173"/>
      <c r="E104" s="173"/>
      <c r="F104" s="173"/>
      <c r="G104" s="173"/>
      <c r="H104" s="173"/>
      <c r="I104" s="173"/>
      <c r="J104" s="173"/>
      <c r="K104" s="173"/>
      <c r="L104" s="173"/>
      <c r="M104" s="173"/>
      <c r="N104" s="45" t="s">
        <v>10</v>
      </c>
    </row>
    <row r="105" spans="2:22" x14ac:dyDescent="0.55000000000000004">
      <c r="B105" s="231"/>
      <c r="C105" s="134" t="s">
        <v>269</v>
      </c>
      <c r="D105" s="173"/>
      <c r="E105" s="173"/>
      <c r="F105" s="173"/>
      <c r="G105" s="173"/>
      <c r="H105" s="173"/>
      <c r="I105" s="173"/>
      <c r="J105" s="173"/>
      <c r="K105" s="173"/>
      <c r="L105" s="173"/>
      <c r="M105" s="173"/>
      <c r="N105" s="52" t="s">
        <v>10</v>
      </c>
    </row>
    <row r="106" spans="2:22" hidden="1" x14ac:dyDescent="0.55000000000000004">
      <c r="B106" s="195" t="s">
        <v>393</v>
      </c>
      <c r="C106" s="195"/>
      <c r="D106" s="196">
        <f>IF(D$90="",9,IF(OR(D$90="電気式パッケージ形空調機",D$90="ルームエアコン"),1,IF(AND(D$90="ガスヒートポンプ式空調機",D$95="都市ガス",D$101="kW"),2,IF(AND(D$90="ガスヒートポンプ式空調機",D$95="都市ガス",D$101="ｍ3N/h"),3,IF(AND(D$90="ガスヒートポンプ式空調機",D$95="LPG",D$101="kW"),4,IF(AND(D$90="ガスヒートポンプ式空調機",D$95="LPG",D$101="kg/h"),5,0))))))</f>
        <v>9</v>
      </c>
      <c r="E106" s="196">
        <f t="shared" ref="E106:M106" si="19">IF(E$90="",9,IF(OR(E$90="電気式パッケージ形空調機",E$90="ルームエアコン"),1,IF(AND(E$90="ガスヒートポンプ式空調機",E$95="都市ガス",E$101="kW"),2,IF(AND(E$90="ガスヒートポンプ式空調機",E$95="都市ガス",E$101="ｍ3N/h"),3,IF(AND(E$90="ガスヒートポンプ式空調機",E$95="LPG",E$101="kW"),4,IF(AND(E$90="ガスヒートポンプ式空調機",E$95="LPG",E$101="kg/h"),5,0))))))</f>
        <v>9</v>
      </c>
      <c r="F106" s="196">
        <f t="shared" si="19"/>
        <v>9</v>
      </c>
      <c r="G106" s="196">
        <f t="shared" si="19"/>
        <v>9</v>
      </c>
      <c r="H106" s="196">
        <f t="shared" si="19"/>
        <v>9</v>
      </c>
      <c r="I106" s="196">
        <f t="shared" si="19"/>
        <v>9</v>
      </c>
      <c r="J106" s="196">
        <f t="shared" si="19"/>
        <v>9</v>
      </c>
      <c r="K106" s="196">
        <f t="shared" si="19"/>
        <v>9</v>
      </c>
      <c r="L106" s="196">
        <f t="shared" si="19"/>
        <v>9</v>
      </c>
      <c r="M106" s="196">
        <f t="shared" si="19"/>
        <v>9</v>
      </c>
      <c r="N106" s="161"/>
      <c r="O106" s="197">
        <f>COUNTIF($D106:$M106,0)</f>
        <v>0</v>
      </c>
      <c r="P106" s="197">
        <f>COUNTIF($D106:$M106,1)</f>
        <v>0</v>
      </c>
      <c r="Q106" s="197">
        <f>COUNTIF($D106:$M106,2)</f>
        <v>0</v>
      </c>
      <c r="R106" s="197">
        <f>COUNTIF($D106:$M106,3)</f>
        <v>0</v>
      </c>
      <c r="S106" s="197">
        <f>COUNTIF($D106:$M106,4)</f>
        <v>0</v>
      </c>
      <c r="T106" s="197">
        <f>COUNTIF($D106:$M106,5)</f>
        <v>0</v>
      </c>
      <c r="U106" s="197"/>
      <c r="V106" s="180">
        <v>105</v>
      </c>
    </row>
    <row r="107" spans="2:22" hidden="1" x14ac:dyDescent="0.55000000000000004">
      <c r="B107" s="195" t="s">
        <v>392</v>
      </c>
      <c r="C107" s="195"/>
      <c r="D107" s="196">
        <f>IF(AND(D$95="",D$101=""),9,IF(AND(D$95="電気",D$101="kW"),1,IF(AND(D$95="都市ガス",D$101="kW"),2,IF(AND(D$95="都市ガス",D$101="ｍ3N/h"),3,IF(AND(D$95="LPG",D$101="kW"),4,IF(AND(D$95="LPG",D$101="kg/h"),5,0))))))</f>
        <v>9</v>
      </c>
      <c r="E107" s="196">
        <f t="shared" ref="E107:M107" si="20">IF(AND(E$95="",E$101=""),9,IF(AND(E$95="電気",E$101="kW"),1,IF(AND(E$95="都市ガス",E$101="kW"),2,IF(AND(E$95="都市ガス",E$101="ｍ3N/h"),3,IF(AND(E$95="LPG",E$101="kW"),4,IF(AND(E$95="LPG",E$101="kg/h"),5,0))))))</f>
        <v>9</v>
      </c>
      <c r="F107" s="196">
        <f t="shared" si="20"/>
        <v>9</v>
      </c>
      <c r="G107" s="196">
        <f t="shared" si="20"/>
        <v>9</v>
      </c>
      <c r="H107" s="196">
        <f t="shared" si="20"/>
        <v>9</v>
      </c>
      <c r="I107" s="196">
        <f t="shared" si="20"/>
        <v>9</v>
      </c>
      <c r="J107" s="196">
        <f t="shared" si="20"/>
        <v>9</v>
      </c>
      <c r="K107" s="196">
        <f t="shared" si="20"/>
        <v>9</v>
      </c>
      <c r="L107" s="196">
        <f t="shared" si="20"/>
        <v>9</v>
      </c>
      <c r="M107" s="196">
        <f t="shared" si="20"/>
        <v>9</v>
      </c>
      <c r="N107" s="161"/>
      <c r="O107" s="197">
        <f t="shared" ref="O107" si="21">COUNTIF($D107:$M107,0)</f>
        <v>0</v>
      </c>
      <c r="P107" s="197">
        <f>COUNTIF($D107:$M107,1)</f>
        <v>0</v>
      </c>
      <c r="Q107" s="197">
        <f>COUNTIF($D107:$M107,2)</f>
        <v>0</v>
      </c>
      <c r="R107" s="197">
        <f>COUNTIF($D107:$M107,3)</f>
        <v>0</v>
      </c>
      <c r="S107" s="197">
        <f>COUNTIF($D107:$M107,4)</f>
        <v>0</v>
      </c>
      <c r="T107" s="197">
        <f>COUNTIF($D107:$M107,5)</f>
        <v>0</v>
      </c>
      <c r="U107" s="197"/>
      <c r="V107" s="180">
        <v>106</v>
      </c>
    </row>
    <row r="108" spans="2:22" hidden="1" x14ac:dyDescent="0.55000000000000004">
      <c r="B108" s="198" t="s">
        <v>389</v>
      </c>
      <c r="C108" s="198"/>
      <c r="D108" s="199">
        <f>IF(OR(AND(D106=0,D107=0),D106&lt;&gt;D107),1,IF(AND(D106=9,D107=9),2,IF(D106=D107,0,"")))</f>
        <v>2</v>
      </c>
      <c r="E108" s="199">
        <f t="shared" ref="E108:M108" si="22">IF(OR(AND(E106=0,E107=0),E106&lt;&gt;E107),1,IF(AND(E106=9,E107=9),2,IF(E106=E107,0,"")))</f>
        <v>2</v>
      </c>
      <c r="F108" s="199">
        <f t="shared" si="22"/>
        <v>2</v>
      </c>
      <c r="G108" s="199">
        <f t="shared" si="22"/>
        <v>2</v>
      </c>
      <c r="H108" s="199">
        <f t="shared" si="22"/>
        <v>2</v>
      </c>
      <c r="I108" s="199">
        <f t="shared" si="22"/>
        <v>2</v>
      </c>
      <c r="J108" s="199">
        <f t="shared" si="22"/>
        <v>2</v>
      </c>
      <c r="K108" s="199">
        <f t="shared" si="22"/>
        <v>2</v>
      </c>
      <c r="L108" s="199">
        <f t="shared" si="22"/>
        <v>2</v>
      </c>
      <c r="M108" s="199">
        <f t="shared" si="22"/>
        <v>2</v>
      </c>
      <c r="N108" s="161" t="str">
        <f>IF(P108&lt;&gt;0,"入力確認",IF(U109=O108,"適合","不適合"))</f>
        <v>適合</v>
      </c>
      <c r="O108" s="197">
        <f>COUNTIF($D108:$M108,0)</f>
        <v>0</v>
      </c>
      <c r="P108" s="197">
        <f>COUNTIF($D108:$M108,1)</f>
        <v>0</v>
      </c>
      <c r="Q108" s="197">
        <f>COUNTIF($D108:$M108,2)</f>
        <v>10</v>
      </c>
      <c r="R108" s="197"/>
      <c r="S108" s="197"/>
      <c r="T108" s="197"/>
      <c r="U108" s="197"/>
      <c r="V108" s="180">
        <v>107</v>
      </c>
    </row>
    <row r="109" spans="2:22" hidden="1" x14ac:dyDescent="0.55000000000000004">
      <c r="B109" s="165" t="s">
        <v>335</v>
      </c>
      <c r="C109" s="161"/>
      <c r="D109" s="161">
        <f>IF(AND(D90="",D94="",D95="",D96="",D97="",D98="",D99="",D100="",D101="",D104="",D105=""),2,IF(AND(D90&lt;&gt;"",D94&lt;&gt;"",D95&lt;&gt;"",D96&lt;&gt;"",D97&lt;&gt;"",D98&lt;&gt;"",D99&lt;&gt;"",D100&lt;&gt;"",D101&lt;&gt;"",OR(D104&lt;&gt;"",D105&lt;&gt;"")),0,1))</f>
        <v>2</v>
      </c>
      <c r="E109" s="161">
        <f>IF(AND(E90="",E94="",E95="",E96="",E97="",E98="",E99="",E100="",E101="",E104="",E105=""),2,IF(AND(E90&lt;&gt;"",E94&lt;&gt;"",E95&lt;&gt;"",E96&lt;&gt;"",E97&lt;&gt;"",E98&lt;&gt;"",E99&lt;&gt;"",E100&lt;&gt;"",E101&lt;&gt;"",OR(E104&lt;&gt;"",E105&lt;&gt;"")),0,1))</f>
        <v>2</v>
      </c>
      <c r="F109" s="161">
        <f t="shared" ref="F109:L109" si="23">IF(AND(F90="",F94="",F95="",F96="",F97="",F98="",F99="",F100="",F101="",F104="",F105=""),2,IF(AND(F90&lt;&gt;"",F94&lt;&gt;"",F95&lt;&gt;"",F96&lt;&gt;"",F97&lt;&gt;"",F98&lt;&gt;"",F99&lt;&gt;"",F100&lt;&gt;"",F101&lt;&gt;"",OR(F104&lt;&gt;"",F105&lt;&gt;"")),0,1))</f>
        <v>2</v>
      </c>
      <c r="G109" s="161">
        <f t="shared" si="23"/>
        <v>2</v>
      </c>
      <c r="H109" s="161">
        <f t="shared" si="23"/>
        <v>2</v>
      </c>
      <c r="I109" s="161">
        <f t="shared" si="23"/>
        <v>2</v>
      </c>
      <c r="J109" s="161">
        <f t="shared" si="23"/>
        <v>2</v>
      </c>
      <c r="K109" s="161">
        <f t="shared" si="23"/>
        <v>2</v>
      </c>
      <c r="L109" s="161">
        <f t="shared" si="23"/>
        <v>2</v>
      </c>
      <c r="M109" s="161">
        <f>IF(AND(M90="",M94="",M95="",M96="",M97="",M98="",M99="",M100="",M101="",M104="",M105=""),2,IF(AND(M90&lt;&gt;"",M94&lt;&gt;"",M95&lt;&gt;"",M96&lt;&gt;"",M97&lt;&gt;"",M98&lt;&gt;"",M99&lt;&gt;"",M100&lt;&gt;"",M101&lt;&gt;"",OR(M104&lt;&gt;"",M105&lt;&gt;"")),0,1))</f>
        <v>2</v>
      </c>
      <c r="N109" s="161" t="str">
        <f>IF(P109&lt;&gt;0,"入力確認",IF(U109=O109,"適合","不適合"))</f>
        <v>適合</v>
      </c>
      <c r="O109" s="197">
        <f t="shared" ref="O109" si="24">COUNTIF($D109:$M109,0)</f>
        <v>0</v>
      </c>
      <c r="P109" s="197">
        <f>COUNTIF($D109:$M109,1)</f>
        <v>0</v>
      </c>
      <c r="Q109" s="197">
        <f>COUNTIF($D109:$M109,2)</f>
        <v>10</v>
      </c>
      <c r="R109" s="197"/>
      <c r="S109" s="197"/>
      <c r="T109" s="197"/>
      <c r="U109" s="197">
        <f>10-COUNTIF($D$90:$M$90,"")</f>
        <v>0</v>
      </c>
      <c r="V109" s="180">
        <v>108</v>
      </c>
    </row>
    <row r="110" spans="2:22" x14ac:dyDescent="0.55000000000000004">
      <c r="B110" s="62"/>
      <c r="C110" s="62"/>
      <c r="D110" s="63"/>
      <c r="E110" s="63"/>
      <c r="F110" s="63"/>
      <c r="G110" s="63"/>
      <c r="H110" s="63"/>
      <c r="I110" s="63"/>
      <c r="J110" s="63"/>
      <c r="K110" s="63"/>
      <c r="L110" s="63"/>
      <c r="M110" s="63"/>
      <c r="N110" s="63"/>
    </row>
    <row r="111" spans="2:22" ht="19.8" thickBot="1" x14ac:dyDescent="0.6">
      <c r="B111" s="35" t="s">
        <v>378</v>
      </c>
      <c r="C111" s="42"/>
    </row>
    <row r="112" spans="2:22" ht="19.8" thickBot="1" x14ac:dyDescent="0.6">
      <c r="B112" s="273" t="s">
        <v>137</v>
      </c>
      <c r="C112" s="273"/>
      <c r="D112" s="43" t="s">
        <v>189</v>
      </c>
      <c r="E112" s="43" t="s">
        <v>190</v>
      </c>
      <c r="F112" s="43" t="s">
        <v>191</v>
      </c>
      <c r="G112" s="43" t="s">
        <v>192</v>
      </c>
      <c r="H112" s="43" t="s">
        <v>193</v>
      </c>
      <c r="I112" s="43" t="s">
        <v>194</v>
      </c>
      <c r="J112" s="43" t="s">
        <v>195</v>
      </c>
      <c r="K112" s="43" t="s">
        <v>196</v>
      </c>
      <c r="L112" s="43" t="s">
        <v>197</v>
      </c>
      <c r="M112" s="43" t="s">
        <v>198</v>
      </c>
      <c r="N112" s="55" t="s">
        <v>0</v>
      </c>
      <c r="P112" s="192" t="s">
        <v>394</v>
      </c>
    </row>
    <row r="113" spans="2:16" ht="58.5" customHeight="1" thickBot="1" x14ac:dyDescent="0.6">
      <c r="B113" s="257" t="s">
        <v>372</v>
      </c>
      <c r="C113" s="257"/>
      <c r="D113" s="7"/>
      <c r="E113" s="7"/>
      <c r="F113" s="7"/>
      <c r="G113" s="7"/>
      <c r="H113" s="7"/>
      <c r="I113" s="7"/>
      <c r="J113" s="7"/>
      <c r="K113" s="7"/>
      <c r="L113" s="7"/>
      <c r="M113" s="7"/>
      <c r="N113" s="45" t="s">
        <v>10</v>
      </c>
      <c r="P113" s="192" t="s">
        <v>382</v>
      </c>
    </row>
    <row r="114" spans="2:16" hidden="1" x14ac:dyDescent="0.55000000000000004">
      <c r="B114" s="259" t="s">
        <v>139</v>
      </c>
      <c r="C114" s="260"/>
      <c r="D114" s="34"/>
      <c r="E114" s="34"/>
      <c r="F114" s="34"/>
      <c r="G114" s="34"/>
      <c r="H114" s="34"/>
      <c r="I114" s="34"/>
      <c r="J114" s="34"/>
      <c r="K114" s="34"/>
      <c r="L114" s="34"/>
      <c r="M114" s="34"/>
      <c r="N114" s="45" t="s">
        <v>10</v>
      </c>
      <c r="P114" s="192"/>
    </row>
    <row r="115" spans="2:16" hidden="1" x14ac:dyDescent="0.55000000000000004">
      <c r="B115" s="259" t="s">
        <v>140</v>
      </c>
      <c r="C115" s="260"/>
      <c r="D115" s="34"/>
      <c r="E115" s="34"/>
      <c r="F115" s="34"/>
      <c r="G115" s="34"/>
      <c r="H115" s="34"/>
      <c r="I115" s="34"/>
      <c r="J115" s="34"/>
      <c r="K115" s="34"/>
      <c r="L115" s="34"/>
      <c r="M115" s="34"/>
      <c r="N115" s="45" t="s">
        <v>10</v>
      </c>
      <c r="P115" s="192"/>
    </row>
    <row r="116" spans="2:16" ht="19.8" hidden="1" thickBot="1" x14ac:dyDescent="0.6">
      <c r="B116" s="257" t="s">
        <v>2</v>
      </c>
      <c r="C116" s="257"/>
      <c r="D116" s="27"/>
      <c r="E116" s="28"/>
      <c r="F116" s="28"/>
      <c r="G116" s="28"/>
      <c r="H116" s="28"/>
      <c r="I116" s="28"/>
      <c r="J116" s="28"/>
      <c r="K116" s="28"/>
      <c r="L116" s="28"/>
      <c r="M116" s="28"/>
      <c r="N116" s="45" t="s">
        <v>10</v>
      </c>
      <c r="P116" s="192"/>
    </row>
    <row r="117" spans="2:16" ht="19.8" thickBot="1" x14ac:dyDescent="0.6">
      <c r="B117" s="257" t="s">
        <v>3</v>
      </c>
      <c r="C117" s="257"/>
      <c r="D117" s="27"/>
      <c r="E117" s="27"/>
      <c r="F117" s="27"/>
      <c r="G117" s="27"/>
      <c r="H117" s="27"/>
      <c r="I117" s="27"/>
      <c r="J117" s="27"/>
      <c r="K117" s="27"/>
      <c r="L117" s="27"/>
      <c r="M117" s="27"/>
      <c r="N117" s="57" t="str">
        <f>IF(SUM(D117:M117)=0,"",SUM(D117:M117))</f>
        <v/>
      </c>
      <c r="P117" s="192"/>
    </row>
    <row r="118" spans="2:16" x14ac:dyDescent="0.55000000000000004">
      <c r="B118" s="258" t="s">
        <v>16</v>
      </c>
      <c r="C118" s="258"/>
      <c r="D118" s="29"/>
      <c r="E118" s="29"/>
      <c r="F118" s="29"/>
      <c r="G118" s="29"/>
      <c r="H118" s="29"/>
      <c r="I118" s="29"/>
      <c r="J118" s="29"/>
      <c r="K118" s="29"/>
      <c r="L118" s="29"/>
      <c r="M118" s="29"/>
      <c r="N118" s="58" t="s">
        <v>10</v>
      </c>
      <c r="P118" s="192" t="s">
        <v>383</v>
      </c>
    </row>
    <row r="119" spans="2:16" x14ac:dyDescent="0.55000000000000004">
      <c r="B119" s="234" t="s">
        <v>124</v>
      </c>
      <c r="C119" s="235"/>
      <c r="D119" s="29"/>
      <c r="E119" s="29"/>
      <c r="F119" s="29"/>
      <c r="G119" s="29"/>
      <c r="H119" s="29"/>
      <c r="I119" s="29"/>
      <c r="J119" s="29"/>
      <c r="K119" s="29"/>
      <c r="L119" s="29"/>
      <c r="M119" s="29"/>
      <c r="N119" s="58" t="s">
        <v>10</v>
      </c>
      <c r="P119" s="192" t="s">
        <v>381</v>
      </c>
    </row>
    <row r="120" spans="2:16" ht="19.5" customHeight="1" x14ac:dyDescent="0.55000000000000004">
      <c r="B120" s="254" t="s">
        <v>271</v>
      </c>
      <c r="C120" s="135" t="s">
        <v>7</v>
      </c>
      <c r="D120" s="4"/>
      <c r="E120" s="4"/>
      <c r="F120" s="4"/>
      <c r="G120" s="4"/>
      <c r="H120" s="4"/>
      <c r="I120" s="4"/>
      <c r="J120" s="4"/>
      <c r="K120" s="4"/>
      <c r="L120" s="4"/>
      <c r="M120" s="4"/>
      <c r="N120" s="58" t="s">
        <v>10</v>
      </c>
      <c r="P120" s="193"/>
    </row>
    <row r="121" spans="2:16" ht="19.5" customHeight="1" x14ac:dyDescent="0.55000000000000004">
      <c r="B121" s="256"/>
      <c r="C121" s="135" t="s">
        <v>8</v>
      </c>
      <c r="D121" s="26"/>
      <c r="E121" s="26"/>
      <c r="F121" s="26"/>
      <c r="G121" s="26"/>
      <c r="H121" s="26"/>
      <c r="I121" s="26"/>
      <c r="J121" s="26"/>
      <c r="K121" s="26"/>
      <c r="L121" s="26"/>
      <c r="M121" s="26"/>
      <c r="N121" s="52" t="s">
        <v>10</v>
      </c>
      <c r="P121" s="193"/>
    </row>
    <row r="122" spans="2:16" ht="19.5" customHeight="1" x14ac:dyDescent="0.55000000000000004">
      <c r="B122" s="254" t="s">
        <v>273</v>
      </c>
      <c r="C122" s="135" t="s">
        <v>7</v>
      </c>
      <c r="D122" s="173"/>
      <c r="E122" s="173"/>
      <c r="F122" s="173"/>
      <c r="G122" s="173"/>
      <c r="H122" s="173"/>
      <c r="I122" s="173"/>
      <c r="J122" s="173"/>
      <c r="K122" s="173"/>
      <c r="L122" s="173"/>
      <c r="M122" s="173"/>
      <c r="N122" s="45" t="s">
        <v>10</v>
      </c>
      <c r="P122" s="193"/>
    </row>
    <row r="123" spans="2:16" x14ac:dyDescent="0.55000000000000004">
      <c r="B123" s="255"/>
      <c r="C123" s="135" t="s">
        <v>8</v>
      </c>
      <c r="D123" s="173"/>
      <c r="E123" s="173"/>
      <c r="F123" s="173"/>
      <c r="G123" s="173"/>
      <c r="H123" s="173"/>
      <c r="I123" s="173"/>
      <c r="J123" s="173"/>
      <c r="K123" s="173"/>
      <c r="L123" s="173"/>
      <c r="M123" s="173"/>
      <c r="N123" s="52" t="s">
        <v>10</v>
      </c>
      <c r="P123" s="193"/>
    </row>
    <row r="124" spans="2:16" ht="19.8" thickBot="1" x14ac:dyDescent="0.6">
      <c r="B124" s="256"/>
      <c r="C124" s="135" t="s">
        <v>104</v>
      </c>
      <c r="D124" s="30"/>
      <c r="E124" s="30"/>
      <c r="F124" s="30"/>
      <c r="G124" s="30"/>
      <c r="H124" s="30"/>
      <c r="I124" s="30"/>
      <c r="J124" s="30"/>
      <c r="K124" s="30"/>
      <c r="L124" s="30"/>
      <c r="M124" s="30"/>
      <c r="N124" s="52" t="s">
        <v>10</v>
      </c>
      <c r="P124" s="192" t="s">
        <v>384</v>
      </c>
    </row>
    <row r="125" spans="2:16" ht="39" customHeight="1" x14ac:dyDescent="0.55000000000000004">
      <c r="B125" s="234" t="s">
        <v>274</v>
      </c>
      <c r="C125" s="235"/>
      <c r="D125" s="60" t="str">
        <f>IF(計算!$O46=1,計算!$R46,IF(計算!$O46=2,計算!$U46,IF(計算!$O46=3,計算!$X46,IF(計算!$O46=4,計算!$AA46,IF(計算!$O46=5,計算!$AD46,"")))))</f>
        <v/>
      </c>
      <c r="E125" s="60" t="str">
        <f>IF(計算!$O47=1,計算!$R47,IF(計算!$O47=2,計算!$U47,IF(計算!$O47=3,計算!$X47,IF(計算!$O47=4,計算!$AA47,IF(計算!$O47=5,計算!$AD47,"")))))</f>
        <v/>
      </c>
      <c r="F125" s="60" t="str">
        <f>IF(計算!$O48=1,計算!$R48,IF(計算!$O48=2,計算!$U48,IF(計算!$O48=3,計算!$X48,IF(計算!$O48=4,計算!$AA48,IF(計算!$O48=5,計算!$AD48,"")))))</f>
        <v/>
      </c>
      <c r="G125" s="60" t="str">
        <f>IF(計算!$O49=1,計算!$R49,IF(計算!$O49=2,計算!$U49,IF(計算!$O49=3,計算!$X49,IF(計算!$O49=4,計算!$AA49,IF(計算!$O49=5,計算!$AD49,"")))))</f>
        <v/>
      </c>
      <c r="H125" s="60" t="str">
        <f>IF(計算!$O50=1,計算!$R50,IF(計算!$O50=2,計算!$U50,IF(計算!$O50=3,計算!$X50,IF(計算!$O50=4,計算!$AA50,IF(計算!$O50=5,計算!$AD50,"")))))</f>
        <v/>
      </c>
      <c r="I125" s="60" t="str">
        <f>IF(計算!$O51=1,計算!$R51,IF(計算!$O51=2,計算!$U51,IF(計算!$O51=3,計算!$X51,IF(計算!$O51=4,計算!$AA51,IF(計算!$O51=5,計算!$AD51,"")))))</f>
        <v/>
      </c>
      <c r="J125" s="60" t="str">
        <f>IF(計算!$O52=1,計算!$R52,IF(計算!$O52=2,計算!$U52,IF(計算!$O52=3,計算!$X52,IF(計算!$O52=4,計算!$AA52,IF(計算!$O52=5,計算!$AD52,"")))))</f>
        <v/>
      </c>
      <c r="K125" s="60" t="str">
        <f>IF(計算!$O53=1,計算!$R53,IF(計算!$O53=2,計算!$U53,IF(計算!$O53=3,計算!$X53,IF(計算!$O53=4,計算!$AA53,IF(計算!$O53=5,計算!$AD53,"")))))</f>
        <v/>
      </c>
      <c r="L125" s="60" t="str">
        <f>IF(計算!$O54=1,計算!$R54,IF(計算!$O54=2,計算!$U54,IF(計算!$O54=3,計算!$X54,IF(計算!$O54=4,計算!$AA54,IF(計算!$O54=5,計算!$AD54,"")))))</f>
        <v/>
      </c>
      <c r="M125" s="60" t="str">
        <f>IF(計算!$O55=1,計算!$R55,IF(計算!$O55=2,計算!$U55,IF(計算!$O55=3,計算!$X55,IF(計算!$O55=4,計算!$AA55,IF(計算!$O55=5,計算!$AD55,"")))))</f>
        <v/>
      </c>
      <c r="N125" s="61" t="str">
        <f>IF(SUM(D125:M125)=0,"",SUM(D125:M125))</f>
        <v/>
      </c>
    </row>
    <row r="126" spans="2:16" ht="19.8" thickBot="1" x14ac:dyDescent="0.6">
      <c r="B126" s="236" t="s">
        <v>275</v>
      </c>
      <c r="C126" s="237"/>
      <c r="D126" s="166" t="str">
        <f>IF(D125="","",ROUND(D125*0.0258,2))</f>
        <v/>
      </c>
      <c r="E126" s="166" t="str">
        <f t="shared" ref="E126:M126" si="25">IF(E125="","",ROUND(E125*0.0258,2))</f>
        <v/>
      </c>
      <c r="F126" s="166" t="str">
        <f t="shared" si="25"/>
        <v/>
      </c>
      <c r="G126" s="166" t="str">
        <f t="shared" si="25"/>
        <v/>
      </c>
      <c r="H126" s="166" t="str">
        <f t="shared" si="25"/>
        <v/>
      </c>
      <c r="I126" s="166" t="str">
        <f t="shared" si="25"/>
        <v/>
      </c>
      <c r="J126" s="166" t="str">
        <f t="shared" si="25"/>
        <v/>
      </c>
      <c r="K126" s="166" t="str">
        <f t="shared" si="25"/>
        <v/>
      </c>
      <c r="L126" s="166" t="str">
        <f t="shared" si="25"/>
        <v/>
      </c>
      <c r="M126" s="166" t="str">
        <f t="shared" si="25"/>
        <v/>
      </c>
      <c r="N126" s="172" t="str">
        <f>IF(SUM(D126:M126)=0,"",SUM(D126:M126))</f>
        <v/>
      </c>
    </row>
    <row r="127" spans="2:16" x14ac:dyDescent="0.55000000000000004">
      <c r="B127" s="232" t="s">
        <v>270</v>
      </c>
      <c r="C127" s="136" t="s">
        <v>268</v>
      </c>
      <c r="D127" s="173"/>
      <c r="E127" s="173"/>
      <c r="F127" s="173"/>
      <c r="G127" s="173"/>
      <c r="H127" s="173"/>
      <c r="I127" s="173"/>
      <c r="J127" s="173"/>
      <c r="K127" s="173"/>
      <c r="L127" s="173"/>
      <c r="M127" s="173"/>
      <c r="N127" s="45" t="s">
        <v>10</v>
      </c>
    </row>
    <row r="128" spans="2:16" x14ac:dyDescent="0.55000000000000004">
      <c r="B128" s="233"/>
      <c r="C128" s="136" t="s">
        <v>269</v>
      </c>
      <c r="D128" s="173"/>
      <c r="E128" s="173"/>
      <c r="F128" s="173"/>
      <c r="G128" s="173"/>
      <c r="H128" s="173"/>
      <c r="I128" s="173"/>
      <c r="J128" s="173"/>
      <c r="K128" s="173"/>
      <c r="L128" s="173"/>
      <c r="M128" s="173"/>
      <c r="N128" s="52" t="s">
        <v>10</v>
      </c>
    </row>
    <row r="129" spans="2:22" hidden="1" x14ac:dyDescent="0.55000000000000004">
      <c r="B129" s="195" t="s">
        <v>390</v>
      </c>
      <c r="C129" s="195"/>
      <c r="D129" s="196">
        <f t="shared" ref="D129:I129" si="26">IF(D$113="",9,IF(OR(D$113="電気式パッケージ形空調機",D$113="ルームエアコン"),1,IF(AND(D$113="ガスヒートポンプ式空調機",D$118="都市ガス",D$124="kW"),2,IF(AND(D$113="ガスヒートポンプ式空調機",D$118="都市ガス",D$124="ｍ3N/h"),3,IF(AND(D$113="ガスヒートポンプ式空調機",D$118="LPG",D$124="kW"),4,IF(AND(D$113="ガスヒートポンプ式空調機",D$118="LPG",D$124="kg/h"),5,0))))))</f>
        <v>9</v>
      </c>
      <c r="E129" s="196">
        <f t="shared" si="26"/>
        <v>9</v>
      </c>
      <c r="F129" s="196">
        <f t="shared" si="26"/>
        <v>9</v>
      </c>
      <c r="G129" s="196">
        <f t="shared" si="26"/>
        <v>9</v>
      </c>
      <c r="H129" s="196">
        <f t="shared" si="26"/>
        <v>9</v>
      </c>
      <c r="I129" s="196">
        <f t="shared" si="26"/>
        <v>9</v>
      </c>
      <c r="J129" s="196">
        <f>IF(J$113="",9,IF(OR(J$113="電気式パッケージ形空調機",J$113="ルームエアコン"),1,IF(AND(J$113="ガスヒートポンプ式空調機",J$118="都市ガス",J$124="kW"),2,IF(AND(J$113="ガスヒートポンプ式空調機",J$118="都市ガス",J$124="ｍ3N/h"),3,IF(AND(J$113="ガスヒートポンプ式空調機",J$118="LPG",J$124="kW"),4,IF(AND(J$113="ガスヒートポンプ式空調機",J$118="LPG",J$124="kg/h"),5,0))))))</f>
        <v>9</v>
      </c>
      <c r="K129" s="196">
        <f t="shared" ref="K129:M129" si="27">IF(K$113="",9,IF(OR(K$113="電気式パッケージ形空調機",K$113="ルームエアコン"),1,IF(AND(K$113="ガスヒートポンプ式空調機",K$118="都市ガス",K$124="kW"),2,IF(AND(K$113="ガスヒートポンプ式空調機",K$118="都市ガス",K$124="ｍ3N/h"),3,IF(AND(K$113="ガスヒートポンプ式空調機",K$118="LPG",K$124="kW"),4,IF(AND(K$113="ガスヒートポンプ式空調機",K$118="LPG",K$124="kg/h"),5,0))))))</f>
        <v>9</v>
      </c>
      <c r="L129" s="196">
        <f t="shared" si="27"/>
        <v>9</v>
      </c>
      <c r="M129" s="196">
        <f t="shared" si="27"/>
        <v>9</v>
      </c>
      <c r="N129" s="161"/>
      <c r="O129" s="197">
        <f t="shared" ref="O129:O132" si="28">COUNTIF($D129:$M129,0)</f>
        <v>0</v>
      </c>
      <c r="P129" s="197">
        <f>COUNTIF($D129:$M129,1)</f>
        <v>0</v>
      </c>
      <c r="Q129" s="197">
        <f>COUNTIF($D129:$M129,2)</f>
        <v>0</v>
      </c>
      <c r="R129" s="197">
        <f>COUNTIF($D129:$M129,3)</f>
        <v>0</v>
      </c>
      <c r="S129" s="197">
        <f>COUNTIF($D129:$M129,4)</f>
        <v>0</v>
      </c>
      <c r="T129" s="197">
        <f>COUNTIF($D129:$M129,5)</f>
        <v>0</v>
      </c>
      <c r="U129" s="197"/>
      <c r="V129" s="180">
        <v>127</v>
      </c>
    </row>
    <row r="130" spans="2:22" hidden="1" x14ac:dyDescent="0.55000000000000004">
      <c r="B130" s="195" t="s">
        <v>391</v>
      </c>
      <c r="C130" s="195"/>
      <c r="D130" s="196">
        <f>IF(AND(D$118="",D$124=""),9,IF(AND(D$118="電気",D$124="kW"),1,IF(AND(D$118="都市ガス",D$124="kW"),2,IF(AND(D$118="都市ガス",D$124="ｍ3N/h"),3,IF(AND(D$118="LPG",D$124="kW"),4,IF(AND(D$118="LPG",D$124="kg/h"),5,0))))))</f>
        <v>9</v>
      </c>
      <c r="E130" s="196">
        <f t="shared" ref="E130:M130" si="29">IF(AND(E$118="",E$124=""),9,IF(AND(E$118="電気",E$124="kW"),1,IF(AND(E$118="都市ガス",E$124="kW"),2,IF(AND(E$118="都市ガス",E$124="ｍ3N/h"),3,IF(AND(E$118="LPG",E$124="kW"),4,IF(AND(E$118="LPG",E$124="kg/h"),5,0))))))</f>
        <v>9</v>
      </c>
      <c r="F130" s="196">
        <f t="shared" si="29"/>
        <v>9</v>
      </c>
      <c r="G130" s="196">
        <f t="shared" si="29"/>
        <v>9</v>
      </c>
      <c r="H130" s="196">
        <f t="shared" si="29"/>
        <v>9</v>
      </c>
      <c r="I130" s="196">
        <f t="shared" si="29"/>
        <v>9</v>
      </c>
      <c r="J130" s="196">
        <f t="shared" si="29"/>
        <v>9</v>
      </c>
      <c r="K130" s="196">
        <f t="shared" si="29"/>
        <v>9</v>
      </c>
      <c r="L130" s="196">
        <f t="shared" si="29"/>
        <v>9</v>
      </c>
      <c r="M130" s="196">
        <f t="shared" si="29"/>
        <v>9</v>
      </c>
      <c r="N130" s="161"/>
      <c r="O130" s="197">
        <f t="shared" si="28"/>
        <v>0</v>
      </c>
      <c r="P130" s="197">
        <f>COUNTIF($D130:$M130,1)</f>
        <v>0</v>
      </c>
      <c r="Q130" s="197">
        <f>COUNTIF($D130:$M130,2)</f>
        <v>0</v>
      </c>
      <c r="R130" s="197">
        <f>COUNTIF($D130:$M130,3)</f>
        <v>0</v>
      </c>
      <c r="S130" s="197">
        <f>COUNTIF($D130:$M130,4)</f>
        <v>0</v>
      </c>
      <c r="T130" s="197">
        <f>COUNTIF($D130:$M130,5)</f>
        <v>0</v>
      </c>
      <c r="U130" s="197"/>
      <c r="V130" s="180">
        <v>128</v>
      </c>
    </row>
    <row r="131" spans="2:22" hidden="1" x14ac:dyDescent="0.55000000000000004">
      <c r="B131" s="198" t="s">
        <v>389</v>
      </c>
      <c r="C131" s="198"/>
      <c r="D131" s="199">
        <f>IF(OR(AND(D129=0,D130=0),D129&lt;&gt;D130),1,IF(AND(D129=9,D130=9),2,IF(D129=D130,0,"")))</f>
        <v>2</v>
      </c>
      <c r="E131" s="199">
        <f t="shared" ref="E131:M131" si="30">IF(OR(AND(E129=0,E130=0),E129&lt;&gt;E130),1,IF(AND(E129=9,E130=9),2,IF(E129=E130,0,"")))</f>
        <v>2</v>
      </c>
      <c r="F131" s="199">
        <f t="shared" si="30"/>
        <v>2</v>
      </c>
      <c r="G131" s="199">
        <f t="shared" si="30"/>
        <v>2</v>
      </c>
      <c r="H131" s="199">
        <f t="shared" si="30"/>
        <v>2</v>
      </c>
      <c r="I131" s="199">
        <f t="shared" si="30"/>
        <v>2</v>
      </c>
      <c r="J131" s="199">
        <f t="shared" si="30"/>
        <v>2</v>
      </c>
      <c r="K131" s="199">
        <f t="shared" si="30"/>
        <v>2</v>
      </c>
      <c r="L131" s="199">
        <f t="shared" si="30"/>
        <v>2</v>
      </c>
      <c r="M131" s="199">
        <f t="shared" si="30"/>
        <v>2</v>
      </c>
      <c r="N131" s="161" t="str">
        <f>IF(P131&lt;&gt;0,"入力確認",IF(U132=O131,"適合","不適合"))</f>
        <v>適合</v>
      </c>
      <c r="O131" s="197">
        <f>COUNTIF($D131:$M131,0)</f>
        <v>0</v>
      </c>
      <c r="P131" s="197">
        <f>COUNTIF($D131:$M131,1)</f>
        <v>0</v>
      </c>
      <c r="Q131" s="197">
        <f>COUNTIF($D131:$M131,2)</f>
        <v>10</v>
      </c>
      <c r="R131" s="197"/>
      <c r="S131" s="197"/>
      <c r="T131" s="197"/>
      <c r="U131" s="197"/>
      <c r="V131" s="180">
        <v>129</v>
      </c>
    </row>
    <row r="132" spans="2:22" hidden="1" x14ac:dyDescent="0.55000000000000004">
      <c r="B132" s="165" t="s">
        <v>335</v>
      </c>
      <c r="C132" s="161"/>
      <c r="D132" s="161">
        <f>IF(AND(D113="",D117="",D118="",D119="",D120="",D121="",D122="",D123="",D124="",D127="",D128=""),2,IF(AND(D113&lt;&gt;"",D117&lt;&gt;"",D118&lt;&gt;"",D119&lt;&gt;"",D120&lt;&gt;"",D121&lt;&gt;"",D122&lt;&gt;"",D123&lt;&gt;"",D124&lt;&gt;"",OR(D127&lt;&gt;"",D128&lt;&gt;"")),0,1))</f>
        <v>2</v>
      </c>
      <c r="E132" s="161">
        <f>IF(AND(E113="",E117="",E118="",E119="",E120="",E121="",E122="",E123="",E124="",E127="",E128=""),2,IF(AND(E113&lt;&gt;"",E117&lt;&gt;"",E118&lt;&gt;"",E119&lt;&gt;"",E120&lt;&gt;"",E121&lt;&gt;"",E122&lt;&gt;"",E123&lt;&gt;"",E124&lt;&gt;"",OR(E127&lt;&gt;"",E128&lt;&gt;"")),0,1))</f>
        <v>2</v>
      </c>
      <c r="F132" s="161">
        <f t="shared" ref="F132" si="31">IF(AND(F113="",F117="",F118="",F119="",F120="",F121="",F122="",F123="",F124="",F127="",F128=""),2,IF(AND(F113&lt;&gt;"",F117&lt;&gt;"",F118&lt;&gt;"",F119&lt;&gt;"",F120&lt;&gt;"",F121&lt;&gt;"",F122&lt;&gt;"",F123&lt;&gt;"",F124&lt;&gt;"",OR(F127&lt;&gt;"",F128&lt;&gt;"")),0,1))</f>
        <v>2</v>
      </c>
      <c r="G132" s="161">
        <f t="shared" ref="G132" si="32">IF(AND(G113="",G117="",G118="",G119="",G120="",G121="",G122="",G123="",G124="",G127="",G128=""),2,IF(AND(G113&lt;&gt;"",G117&lt;&gt;"",G118&lt;&gt;"",G119&lt;&gt;"",G120&lt;&gt;"",G121&lt;&gt;"",G122&lt;&gt;"",G123&lt;&gt;"",G124&lt;&gt;"",OR(G127&lt;&gt;"",G128&lt;&gt;"")),0,1))</f>
        <v>2</v>
      </c>
      <c r="H132" s="161">
        <f t="shared" ref="H132" si="33">IF(AND(H113="",H117="",H118="",H119="",H120="",H121="",H122="",H123="",H124="",H127="",H128=""),2,IF(AND(H113&lt;&gt;"",H117&lt;&gt;"",H118&lt;&gt;"",H119&lt;&gt;"",H120&lt;&gt;"",H121&lt;&gt;"",H122&lt;&gt;"",H123&lt;&gt;"",H124&lt;&gt;"",OR(H127&lt;&gt;"",H128&lt;&gt;"")),0,1))</f>
        <v>2</v>
      </c>
      <c r="I132" s="161">
        <f t="shared" ref="I132" si="34">IF(AND(I113="",I117="",I118="",I119="",I120="",I121="",I122="",I123="",I124="",I127="",I128=""),2,IF(AND(I113&lt;&gt;"",I117&lt;&gt;"",I118&lt;&gt;"",I119&lt;&gt;"",I120&lt;&gt;"",I121&lt;&gt;"",I122&lt;&gt;"",I123&lt;&gt;"",I124&lt;&gt;"",OR(I127&lt;&gt;"",I128&lt;&gt;"")),0,1))</f>
        <v>2</v>
      </c>
      <c r="J132" s="161">
        <f t="shared" ref="J132" si="35">IF(AND(J113="",J117="",J118="",J119="",J120="",J121="",J122="",J123="",J124="",J127="",J128=""),2,IF(AND(J113&lt;&gt;"",J117&lt;&gt;"",J118&lt;&gt;"",J119&lt;&gt;"",J120&lt;&gt;"",J121&lt;&gt;"",J122&lt;&gt;"",J123&lt;&gt;"",J124&lt;&gt;"",OR(J127&lt;&gt;"",J128&lt;&gt;"")),0,1))</f>
        <v>2</v>
      </c>
      <c r="K132" s="161">
        <f t="shared" ref="K132" si="36">IF(AND(K113="",K117="",K118="",K119="",K120="",K121="",K122="",K123="",K124="",K127="",K128=""),2,IF(AND(K113&lt;&gt;"",K117&lt;&gt;"",K118&lt;&gt;"",K119&lt;&gt;"",K120&lt;&gt;"",K121&lt;&gt;"",K122&lt;&gt;"",K123&lt;&gt;"",K124&lt;&gt;"",OR(K127&lt;&gt;"",K128&lt;&gt;"")),0,1))</f>
        <v>2</v>
      </c>
      <c r="L132" s="161">
        <f t="shared" ref="L132" si="37">IF(AND(L113="",L117="",L118="",L119="",L120="",L121="",L122="",L123="",L124="",L127="",L128=""),2,IF(AND(L113&lt;&gt;"",L117&lt;&gt;"",L118&lt;&gt;"",L119&lt;&gt;"",L120&lt;&gt;"",L121&lt;&gt;"",L122&lt;&gt;"",L123&lt;&gt;"",L124&lt;&gt;"",OR(L127&lt;&gt;"",L128&lt;&gt;"")),0,1))</f>
        <v>2</v>
      </c>
      <c r="M132" s="161">
        <f t="shared" ref="M132" si="38">IF(AND(M113="",M117="",M118="",M119="",M120="",M121="",M122="",M123="",M124="",M127="",M128=""),2,IF(AND(M113&lt;&gt;"",M117&lt;&gt;"",M118&lt;&gt;"",M119&lt;&gt;"",M120&lt;&gt;"",M121&lt;&gt;"",M122&lt;&gt;"",M123&lt;&gt;"",M124&lt;&gt;"",OR(M127&lt;&gt;"",M128&lt;&gt;"")),0,1))</f>
        <v>2</v>
      </c>
      <c r="N132" s="161" t="str">
        <f>IF(P132&lt;&gt;0,"入力確認",IF(U132=O132,"適合","不適合"))</f>
        <v>適合</v>
      </c>
      <c r="O132" s="197">
        <f t="shared" si="28"/>
        <v>0</v>
      </c>
      <c r="P132" s="197">
        <f>COUNTIF($D132:$M132,1)</f>
        <v>0</v>
      </c>
      <c r="Q132" s="197">
        <f>COUNTIF($D132:$M132,2)</f>
        <v>10</v>
      </c>
      <c r="R132" s="197"/>
      <c r="S132" s="197"/>
      <c r="T132" s="197"/>
      <c r="U132" s="197">
        <f>10-COUNTIF($D$113:$M$113,"")</f>
        <v>0</v>
      </c>
      <c r="V132" s="180">
        <v>130</v>
      </c>
    </row>
    <row r="134" spans="2:22" ht="21.6" x14ac:dyDescent="0.55000000000000004">
      <c r="B134" s="40" t="s">
        <v>374</v>
      </c>
      <c r="C134" s="54"/>
    </row>
    <row r="135" spans="2:22" ht="9" customHeight="1" x14ac:dyDescent="0.55000000000000004">
      <c r="B135" s="35"/>
      <c r="C135" s="54"/>
    </row>
    <row r="136" spans="2:22" ht="19.5" customHeight="1" x14ac:dyDescent="0.55000000000000004">
      <c r="B136" s="120" t="s">
        <v>236</v>
      </c>
      <c r="C136" s="268" t="s">
        <v>139</v>
      </c>
      <c r="D136" s="268"/>
      <c r="E136" s="268"/>
      <c r="F136" s="221" t="s">
        <v>140</v>
      </c>
      <c r="G136" s="222"/>
      <c r="H136" s="223"/>
      <c r="I136" s="269" t="s">
        <v>267</v>
      </c>
      <c r="J136" s="269"/>
      <c r="K136" s="269"/>
      <c r="L136" s="269"/>
      <c r="M136" s="127" t="s">
        <v>266</v>
      </c>
      <c r="N136" s="132" t="s">
        <v>235</v>
      </c>
    </row>
    <row r="137" spans="2:22" x14ac:dyDescent="0.55000000000000004">
      <c r="B137" s="126" t="s">
        <v>179</v>
      </c>
      <c r="C137" s="267"/>
      <c r="D137" s="267"/>
      <c r="E137" s="267"/>
      <c r="F137" s="267"/>
      <c r="G137" s="267"/>
      <c r="H137" s="267"/>
      <c r="I137" s="267"/>
      <c r="J137" s="267"/>
      <c r="K137" s="267"/>
      <c r="L137" s="267"/>
      <c r="M137" s="170"/>
      <c r="N137" s="141"/>
    </row>
    <row r="138" spans="2:22" x14ac:dyDescent="0.55000000000000004">
      <c r="B138" s="117" t="s">
        <v>180</v>
      </c>
      <c r="C138" s="249"/>
      <c r="D138" s="249"/>
      <c r="E138" s="249"/>
      <c r="F138" s="249"/>
      <c r="G138" s="249"/>
      <c r="H138" s="249"/>
      <c r="I138" s="249"/>
      <c r="J138" s="249"/>
      <c r="K138" s="249"/>
      <c r="L138" s="249"/>
      <c r="M138" s="170"/>
      <c r="N138" s="141"/>
    </row>
    <row r="139" spans="2:22" x14ac:dyDescent="0.55000000000000004">
      <c r="B139" s="117" t="s">
        <v>181</v>
      </c>
      <c r="C139" s="249"/>
      <c r="D139" s="249"/>
      <c r="E139" s="249"/>
      <c r="F139" s="249"/>
      <c r="G139" s="249"/>
      <c r="H139" s="249"/>
      <c r="I139" s="249"/>
      <c r="J139" s="249"/>
      <c r="K139" s="249"/>
      <c r="L139" s="249"/>
      <c r="M139" s="170"/>
      <c r="N139" s="141"/>
    </row>
    <row r="140" spans="2:22" x14ac:dyDescent="0.55000000000000004">
      <c r="B140" s="117" t="s">
        <v>182</v>
      </c>
      <c r="C140" s="249"/>
      <c r="D140" s="249"/>
      <c r="E140" s="249"/>
      <c r="F140" s="249"/>
      <c r="G140" s="249"/>
      <c r="H140" s="249"/>
      <c r="I140" s="249"/>
      <c r="J140" s="249"/>
      <c r="K140" s="249"/>
      <c r="L140" s="249"/>
      <c r="M140" s="170"/>
      <c r="N140" s="141"/>
    </row>
    <row r="141" spans="2:22" x14ac:dyDescent="0.55000000000000004">
      <c r="B141" s="117" t="s">
        <v>183</v>
      </c>
      <c r="C141" s="249"/>
      <c r="D141" s="249"/>
      <c r="E141" s="249"/>
      <c r="F141" s="249"/>
      <c r="G141" s="249"/>
      <c r="H141" s="249"/>
      <c r="I141" s="249"/>
      <c r="J141" s="249"/>
      <c r="K141" s="249"/>
      <c r="L141" s="249"/>
      <c r="M141" s="170"/>
      <c r="N141" s="141"/>
    </row>
    <row r="142" spans="2:22" x14ac:dyDescent="0.55000000000000004">
      <c r="B142" s="117" t="s">
        <v>184</v>
      </c>
      <c r="C142" s="249"/>
      <c r="D142" s="249"/>
      <c r="E142" s="249"/>
      <c r="F142" s="249"/>
      <c r="G142" s="249"/>
      <c r="H142" s="249"/>
      <c r="I142" s="249"/>
      <c r="J142" s="249"/>
      <c r="K142" s="249"/>
      <c r="L142" s="249"/>
      <c r="M142" s="170"/>
      <c r="N142" s="141"/>
    </row>
    <row r="143" spans="2:22" x14ac:dyDescent="0.55000000000000004">
      <c r="B143" s="117" t="s">
        <v>185</v>
      </c>
      <c r="C143" s="249"/>
      <c r="D143" s="249"/>
      <c r="E143" s="249"/>
      <c r="F143" s="249"/>
      <c r="G143" s="249"/>
      <c r="H143" s="249"/>
      <c r="I143" s="249"/>
      <c r="J143" s="249"/>
      <c r="K143" s="249"/>
      <c r="L143" s="249"/>
      <c r="M143" s="170"/>
      <c r="N143" s="141"/>
    </row>
    <row r="144" spans="2:22" x14ac:dyDescent="0.55000000000000004">
      <c r="B144" s="117" t="s">
        <v>186</v>
      </c>
      <c r="C144" s="249"/>
      <c r="D144" s="249"/>
      <c r="E144" s="249"/>
      <c r="F144" s="249"/>
      <c r="G144" s="249"/>
      <c r="H144" s="249"/>
      <c r="I144" s="249"/>
      <c r="J144" s="249"/>
      <c r="K144" s="249"/>
      <c r="L144" s="249"/>
      <c r="M144" s="170"/>
      <c r="N144" s="141"/>
    </row>
    <row r="145" spans="2:14" x14ac:dyDescent="0.55000000000000004">
      <c r="B145" s="117" t="s">
        <v>187</v>
      </c>
      <c r="C145" s="249"/>
      <c r="D145" s="249"/>
      <c r="E145" s="249"/>
      <c r="F145" s="249"/>
      <c r="G145" s="249"/>
      <c r="H145" s="249"/>
      <c r="I145" s="249"/>
      <c r="J145" s="249"/>
      <c r="K145" s="249"/>
      <c r="L145" s="249"/>
      <c r="M145" s="170"/>
      <c r="N145" s="141"/>
    </row>
    <row r="146" spans="2:14" x14ac:dyDescent="0.55000000000000004">
      <c r="B146" s="118" t="s">
        <v>188</v>
      </c>
      <c r="C146" s="250"/>
      <c r="D146" s="250"/>
      <c r="E146" s="250"/>
      <c r="F146" s="250"/>
      <c r="G146" s="250"/>
      <c r="H146" s="250"/>
      <c r="I146" s="250"/>
      <c r="J146" s="250"/>
      <c r="K146" s="250"/>
      <c r="L146" s="250"/>
      <c r="M146" s="170"/>
      <c r="N146" s="141"/>
    </row>
    <row r="147" spans="2:14" x14ac:dyDescent="0.55000000000000004">
      <c r="B147" s="121"/>
      <c r="C147" s="122"/>
      <c r="D147" s="122"/>
      <c r="E147" s="122"/>
      <c r="F147" s="122"/>
      <c r="G147" s="122"/>
      <c r="H147" s="122"/>
      <c r="I147" s="123"/>
      <c r="J147" s="123"/>
      <c r="K147" s="123"/>
      <c r="L147" s="123"/>
      <c r="M147" s="121"/>
      <c r="N147" s="121"/>
    </row>
    <row r="148" spans="2:14" ht="19.5" customHeight="1" x14ac:dyDescent="0.55000000000000004">
      <c r="B148" s="120" t="s">
        <v>237</v>
      </c>
      <c r="C148" s="242" t="s">
        <v>139</v>
      </c>
      <c r="D148" s="243"/>
      <c r="E148" s="244"/>
      <c r="F148" s="242" t="s">
        <v>140</v>
      </c>
      <c r="G148" s="243"/>
      <c r="H148" s="244"/>
      <c r="I148" s="245" t="s">
        <v>267</v>
      </c>
      <c r="J148" s="246"/>
      <c r="K148" s="246"/>
      <c r="L148" s="247"/>
      <c r="M148" s="140" t="s">
        <v>266</v>
      </c>
      <c r="N148" s="132" t="s">
        <v>235</v>
      </c>
    </row>
    <row r="149" spans="2:14" x14ac:dyDescent="0.55000000000000004">
      <c r="B149" s="126" t="s">
        <v>189</v>
      </c>
      <c r="C149" s="248"/>
      <c r="D149" s="248"/>
      <c r="E149" s="248"/>
      <c r="F149" s="248"/>
      <c r="G149" s="248"/>
      <c r="H149" s="248"/>
      <c r="I149" s="248"/>
      <c r="J149" s="248"/>
      <c r="K149" s="248"/>
      <c r="L149" s="248"/>
      <c r="M149" s="163"/>
      <c r="N149" s="142"/>
    </row>
    <row r="150" spans="2:14" x14ac:dyDescent="0.55000000000000004">
      <c r="B150" s="117" t="s">
        <v>190</v>
      </c>
      <c r="C150" s="240"/>
      <c r="D150" s="240"/>
      <c r="E150" s="240"/>
      <c r="F150" s="240"/>
      <c r="G150" s="240"/>
      <c r="H150" s="240"/>
      <c r="I150" s="240"/>
      <c r="J150" s="240"/>
      <c r="K150" s="240"/>
      <c r="L150" s="240"/>
      <c r="M150" s="163"/>
      <c r="N150" s="142"/>
    </row>
    <row r="151" spans="2:14" x14ac:dyDescent="0.55000000000000004">
      <c r="B151" s="117" t="s">
        <v>191</v>
      </c>
      <c r="C151" s="240"/>
      <c r="D151" s="240"/>
      <c r="E151" s="240"/>
      <c r="F151" s="240"/>
      <c r="G151" s="240"/>
      <c r="H151" s="240"/>
      <c r="I151" s="240"/>
      <c r="J151" s="240"/>
      <c r="K151" s="240"/>
      <c r="L151" s="240"/>
      <c r="M151" s="163"/>
      <c r="N151" s="142"/>
    </row>
    <row r="152" spans="2:14" x14ac:dyDescent="0.55000000000000004">
      <c r="B152" s="117" t="s">
        <v>192</v>
      </c>
      <c r="C152" s="240"/>
      <c r="D152" s="240"/>
      <c r="E152" s="240"/>
      <c r="F152" s="240"/>
      <c r="G152" s="240"/>
      <c r="H152" s="240"/>
      <c r="I152" s="240"/>
      <c r="J152" s="240"/>
      <c r="K152" s="240"/>
      <c r="L152" s="240"/>
      <c r="M152" s="163"/>
      <c r="N152" s="142"/>
    </row>
    <row r="153" spans="2:14" x14ac:dyDescent="0.55000000000000004">
      <c r="B153" s="117" t="s">
        <v>193</v>
      </c>
      <c r="C153" s="240"/>
      <c r="D153" s="240"/>
      <c r="E153" s="240"/>
      <c r="F153" s="240"/>
      <c r="G153" s="240"/>
      <c r="H153" s="240"/>
      <c r="I153" s="240"/>
      <c r="J153" s="240"/>
      <c r="K153" s="240"/>
      <c r="L153" s="240"/>
      <c r="M153" s="163"/>
      <c r="N153" s="142"/>
    </row>
    <row r="154" spans="2:14" x14ac:dyDescent="0.55000000000000004">
      <c r="B154" s="117" t="s">
        <v>194</v>
      </c>
      <c r="C154" s="240"/>
      <c r="D154" s="240"/>
      <c r="E154" s="240"/>
      <c r="F154" s="240"/>
      <c r="G154" s="240"/>
      <c r="H154" s="240"/>
      <c r="I154" s="240"/>
      <c r="J154" s="240"/>
      <c r="K154" s="240"/>
      <c r="L154" s="240"/>
      <c r="M154" s="163"/>
      <c r="N154" s="142"/>
    </row>
    <row r="155" spans="2:14" x14ac:dyDescent="0.55000000000000004">
      <c r="B155" s="117" t="s">
        <v>195</v>
      </c>
      <c r="C155" s="240"/>
      <c r="D155" s="240"/>
      <c r="E155" s="240"/>
      <c r="F155" s="240"/>
      <c r="G155" s="240"/>
      <c r="H155" s="240"/>
      <c r="I155" s="240"/>
      <c r="J155" s="240"/>
      <c r="K155" s="240"/>
      <c r="L155" s="240"/>
      <c r="M155" s="163"/>
      <c r="N155" s="142"/>
    </row>
    <row r="156" spans="2:14" x14ac:dyDescent="0.55000000000000004">
      <c r="B156" s="117" t="s">
        <v>196</v>
      </c>
      <c r="C156" s="240"/>
      <c r="D156" s="240"/>
      <c r="E156" s="240"/>
      <c r="F156" s="240"/>
      <c r="G156" s="240"/>
      <c r="H156" s="240"/>
      <c r="I156" s="240"/>
      <c r="J156" s="240"/>
      <c r="K156" s="240"/>
      <c r="L156" s="240"/>
      <c r="M156" s="163"/>
      <c r="N156" s="142"/>
    </row>
    <row r="157" spans="2:14" x14ac:dyDescent="0.55000000000000004">
      <c r="B157" s="117" t="s">
        <v>197</v>
      </c>
      <c r="C157" s="240"/>
      <c r="D157" s="240"/>
      <c r="E157" s="240"/>
      <c r="F157" s="240"/>
      <c r="G157" s="240"/>
      <c r="H157" s="240"/>
      <c r="I157" s="240"/>
      <c r="J157" s="240"/>
      <c r="K157" s="240"/>
      <c r="L157" s="240"/>
      <c r="M157" s="163"/>
      <c r="N157" s="142"/>
    </row>
    <row r="158" spans="2:14" x14ac:dyDescent="0.55000000000000004">
      <c r="B158" s="118" t="s">
        <v>198</v>
      </c>
      <c r="C158" s="241"/>
      <c r="D158" s="241"/>
      <c r="E158" s="241"/>
      <c r="F158" s="241"/>
      <c r="G158" s="241"/>
      <c r="H158" s="241"/>
      <c r="I158" s="241"/>
      <c r="J158" s="241"/>
      <c r="K158" s="241"/>
      <c r="L158" s="241"/>
      <c r="M158" s="164"/>
      <c r="N158" s="145"/>
    </row>
    <row r="159" spans="2:14" x14ac:dyDescent="0.55000000000000004">
      <c r="B159" s="53"/>
      <c r="C159" s="54"/>
    </row>
  </sheetData>
  <sheetProtection password="E6DC" sheet="1" objects="1" scenarios="1" formatCells="0" formatColumns="0" formatRows="0" selectLockedCells="1"/>
  <mergeCells count="182">
    <mergeCell ref="C58:E58"/>
    <mergeCell ref="B37:C37"/>
    <mergeCell ref="B33:C33"/>
    <mergeCell ref="B34:C34"/>
    <mergeCell ref="B35:C35"/>
    <mergeCell ref="B38:C38"/>
    <mergeCell ref="B39:C39"/>
    <mergeCell ref="B40:C40"/>
    <mergeCell ref="B41:C41"/>
    <mergeCell ref="B42:C42"/>
    <mergeCell ref="B22:C22"/>
    <mergeCell ref="B23:C23"/>
    <mergeCell ref="B26:C26"/>
    <mergeCell ref="B27:C27"/>
    <mergeCell ref="B28:C28"/>
    <mergeCell ref="B24:C24"/>
    <mergeCell ref="B25:C25"/>
    <mergeCell ref="B29:C29"/>
    <mergeCell ref="B36:C36"/>
    <mergeCell ref="F60:H60"/>
    <mergeCell ref="I60:L60"/>
    <mergeCell ref="F61:H61"/>
    <mergeCell ref="I61:L61"/>
    <mergeCell ref="I58:L58"/>
    <mergeCell ref="B94:C94"/>
    <mergeCell ref="B113:C113"/>
    <mergeCell ref="B112:C112"/>
    <mergeCell ref="B89:C89"/>
    <mergeCell ref="B90:C90"/>
    <mergeCell ref="B95:C95"/>
    <mergeCell ref="C66:E66"/>
    <mergeCell ref="F66:H66"/>
    <mergeCell ref="I66:L66"/>
    <mergeCell ref="C68:E68"/>
    <mergeCell ref="C73:E73"/>
    <mergeCell ref="C77:E77"/>
    <mergeCell ref="B83:F83"/>
    <mergeCell ref="F59:H59"/>
    <mergeCell ref="I59:L59"/>
    <mergeCell ref="F64:H64"/>
    <mergeCell ref="I64:L64"/>
    <mergeCell ref="C61:E61"/>
    <mergeCell ref="C59:E59"/>
    <mergeCell ref="C72:E72"/>
    <mergeCell ref="F72:H72"/>
    <mergeCell ref="I72:L72"/>
    <mergeCell ref="F68:H68"/>
    <mergeCell ref="I68:L68"/>
    <mergeCell ref="I70:L70"/>
    <mergeCell ref="F70:H70"/>
    <mergeCell ref="C70:E70"/>
    <mergeCell ref="C67:E67"/>
    <mergeCell ref="F67:H67"/>
    <mergeCell ref="I67:L67"/>
    <mergeCell ref="I71:L71"/>
    <mergeCell ref="C65:E65"/>
    <mergeCell ref="F65:H65"/>
    <mergeCell ref="I65:L65"/>
    <mergeCell ref="F62:H62"/>
    <mergeCell ref="I62:L62"/>
    <mergeCell ref="C63:E63"/>
    <mergeCell ref="F63:H63"/>
    <mergeCell ref="I63:L63"/>
    <mergeCell ref="C62:E62"/>
    <mergeCell ref="C64:E64"/>
    <mergeCell ref="C60:E60"/>
    <mergeCell ref="C71:E71"/>
    <mergeCell ref="C137:E137"/>
    <mergeCell ref="F137:H137"/>
    <mergeCell ref="I137:L137"/>
    <mergeCell ref="C138:E138"/>
    <mergeCell ref="F138:H138"/>
    <mergeCell ref="I138:L138"/>
    <mergeCell ref="F77:H77"/>
    <mergeCell ref="I77:L77"/>
    <mergeCell ref="C78:E78"/>
    <mergeCell ref="F78:H78"/>
    <mergeCell ref="I78:L78"/>
    <mergeCell ref="C136:E136"/>
    <mergeCell ref="F136:H136"/>
    <mergeCell ref="I136:L136"/>
    <mergeCell ref="C79:E79"/>
    <mergeCell ref="F79:H79"/>
    <mergeCell ref="I79:L79"/>
    <mergeCell ref="C80:E80"/>
    <mergeCell ref="F80:H80"/>
    <mergeCell ref="I80:L80"/>
    <mergeCell ref="B96:C96"/>
    <mergeCell ref="B91:C91"/>
    <mergeCell ref="B92:C92"/>
    <mergeCell ref="B93:C93"/>
    <mergeCell ref="C141:E141"/>
    <mergeCell ref="F141:H141"/>
    <mergeCell ref="I141:L141"/>
    <mergeCell ref="C142:E142"/>
    <mergeCell ref="F142:H142"/>
    <mergeCell ref="I142:L142"/>
    <mergeCell ref="C139:E139"/>
    <mergeCell ref="F139:H139"/>
    <mergeCell ref="I139:L139"/>
    <mergeCell ref="C140:E140"/>
    <mergeCell ref="F140:H140"/>
    <mergeCell ref="I140:L140"/>
    <mergeCell ref="B122:B124"/>
    <mergeCell ref="B116:C116"/>
    <mergeCell ref="B117:C117"/>
    <mergeCell ref="B118:C118"/>
    <mergeCell ref="B119:C119"/>
    <mergeCell ref="B120:B121"/>
    <mergeCell ref="B115:C115"/>
    <mergeCell ref="B114:C114"/>
    <mergeCell ref="B97:B98"/>
    <mergeCell ref="B99:B101"/>
    <mergeCell ref="C145:E145"/>
    <mergeCell ref="F145:H145"/>
    <mergeCell ref="I145:L145"/>
    <mergeCell ref="C146:E146"/>
    <mergeCell ref="F146:H146"/>
    <mergeCell ref="I146:L146"/>
    <mergeCell ref="C143:E143"/>
    <mergeCell ref="F143:H143"/>
    <mergeCell ref="I143:L143"/>
    <mergeCell ref="C144:E144"/>
    <mergeCell ref="F144:H144"/>
    <mergeCell ref="I144:L144"/>
    <mergeCell ref="I150:L150"/>
    <mergeCell ref="C151:E151"/>
    <mergeCell ref="F151:H151"/>
    <mergeCell ref="I151:L151"/>
    <mergeCell ref="C148:E148"/>
    <mergeCell ref="F148:H148"/>
    <mergeCell ref="I148:L148"/>
    <mergeCell ref="C149:E149"/>
    <mergeCell ref="F149:H149"/>
    <mergeCell ref="I149:L149"/>
    <mergeCell ref="C150:E150"/>
    <mergeCell ref="F150:H150"/>
    <mergeCell ref="C158:E158"/>
    <mergeCell ref="F158:H158"/>
    <mergeCell ref="I158:L158"/>
    <mergeCell ref="C156:E156"/>
    <mergeCell ref="F156:H156"/>
    <mergeCell ref="I156:L156"/>
    <mergeCell ref="C157:E157"/>
    <mergeCell ref="F157:H157"/>
    <mergeCell ref="I157:L157"/>
    <mergeCell ref="C154:E154"/>
    <mergeCell ref="F154:H154"/>
    <mergeCell ref="I154:L154"/>
    <mergeCell ref="C155:E155"/>
    <mergeCell ref="F155:H155"/>
    <mergeCell ref="I155:L155"/>
    <mergeCell ref="C152:E152"/>
    <mergeCell ref="F152:H152"/>
    <mergeCell ref="I152:L152"/>
    <mergeCell ref="C153:E153"/>
    <mergeCell ref="F153:H153"/>
    <mergeCell ref="I153:L153"/>
    <mergeCell ref="F58:H58"/>
    <mergeCell ref="F86:G86"/>
    <mergeCell ref="H86:L86"/>
    <mergeCell ref="F19:G19"/>
    <mergeCell ref="H19:L19"/>
    <mergeCell ref="G83:H83"/>
    <mergeCell ref="B104:B105"/>
    <mergeCell ref="B127:B128"/>
    <mergeCell ref="B125:C125"/>
    <mergeCell ref="B126:C126"/>
    <mergeCell ref="B102:C102"/>
    <mergeCell ref="B103:C103"/>
    <mergeCell ref="C75:E75"/>
    <mergeCell ref="F75:H75"/>
    <mergeCell ref="I75:L75"/>
    <mergeCell ref="C76:E76"/>
    <mergeCell ref="F76:H76"/>
    <mergeCell ref="I76:L76"/>
    <mergeCell ref="F73:H73"/>
    <mergeCell ref="I73:L73"/>
    <mergeCell ref="C74:E74"/>
    <mergeCell ref="F74:H74"/>
    <mergeCell ref="I74:L74"/>
    <mergeCell ref="F71:H71"/>
  </mergeCells>
  <phoneticPr fontId="12"/>
  <conditionalFormatting sqref="D42:M42">
    <cfRule type="expression" dxfId="31" priority="13">
      <formula>D46=1</formula>
    </cfRule>
    <cfRule type="expression" dxfId="30" priority="31">
      <formula>D42="---"</formula>
    </cfRule>
    <cfRule type="expression" dxfId="29" priority="32">
      <formula>D42&gt;0.4</formula>
    </cfRule>
  </conditionalFormatting>
  <conditionalFormatting sqref="D43:M43">
    <cfRule type="expression" dxfId="28" priority="29">
      <formula>OR(D35="継続",D43="")</formula>
    </cfRule>
    <cfRule type="expression" dxfId="27" priority="30">
      <formula>D43&lt;40</formula>
    </cfRule>
  </conditionalFormatting>
  <conditionalFormatting sqref="D44:M44">
    <cfRule type="expression" dxfId="26" priority="22">
      <formula>OR(D35="継続",D44="")</formula>
    </cfRule>
    <cfRule type="expression" dxfId="25" priority="23">
      <formula>D44&lt;40</formula>
    </cfRule>
  </conditionalFormatting>
  <conditionalFormatting sqref="D33:M33">
    <cfRule type="expression" dxfId="24" priority="21">
      <formula>D53=1</formula>
    </cfRule>
  </conditionalFormatting>
  <conditionalFormatting sqref="H19">
    <cfRule type="expression" dxfId="23" priority="17">
      <formula>H19="旧設備の入力をご確認ください。"</formula>
    </cfRule>
    <cfRule type="expression" dxfId="22" priority="20">
      <formula>H19="新設備の入力をご確認ください。"</formula>
    </cfRule>
  </conditionalFormatting>
  <conditionalFormatting sqref="D34:M34">
    <cfRule type="expression" dxfId="21" priority="15">
      <formula>D$48=1</formula>
    </cfRule>
    <cfRule type="expression" dxfId="20" priority="19">
      <formula>D$45=1</formula>
    </cfRule>
  </conditionalFormatting>
  <conditionalFormatting sqref="D22:M22">
    <cfRule type="expression" dxfId="19" priority="18">
      <formula>D30=1</formula>
    </cfRule>
  </conditionalFormatting>
  <conditionalFormatting sqref="D35:M35">
    <cfRule type="expression" dxfId="18" priority="4">
      <formula>D$48=1</formula>
    </cfRule>
    <cfRule type="expression" dxfId="17" priority="16">
      <formula>D$45=1</formula>
    </cfRule>
  </conditionalFormatting>
  <conditionalFormatting sqref="D36:M36">
    <cfRule type="expression" dxfId="16" priority="14">
      <formula>D$48=1</formula>
    </cfRule>
  </conditionalFormatting>
  <conditionalFormatting sqref="D89:M89">
    <cfRule type="expression" dxfId="15" priority="12">
      <formula>D109=1</formula>
    </cfRule>
  </conditionalFormatting>
  <conditionalFormatting sqref="D112:M112">
    <cfRule type="expression" dxfId="14" priority="11">
      <formula>D132=1</formula>
    </cfRule>
  </conditionalFormatting>
  <conditionalFormatting sqref="D90:M90">
    <cfRule type="expression" dxfId="13" priority="10">
      <formula>D108=1</formula>
    </cfRule>
  </conditionalFormatting>
  <conditionalFormatting sqref="D95:M95">
    <cfRule type="expression" dxfId="12" priority="9">
      <formula>D108=1</formula>
    </cfRule>
  </conditionalFormatting>
  <conditionalFormatting sqref="D101:M101">
    <cfRule type="expression" dxfId="11" priority="8">
      <formula>D108=1</formula>
    </cfRule>
  </conditionalFormatting>
  <conditionalFormatting sqref="D113:M113">
    <cfRule type="expression" dxfId="10" priority="7">
      <formula>D131=1</formula>
    </cfRule>
  </conditionalFormatting>
  <conditionalFormatting sqref="D118:M118">
    <cfRule type="expression" dxfId="9" priority="6">
      <formula>D131=1</formula>
    </cfRule>
  </conditionalFormatting>
  <conditionalFormatting sqref="D124:M124">
    <cfRule type="expression" dxfId="8" priority="5">
      <formula>D131=1</formula>
    </cfRule>
  </conditionalFormatting>
  <conditionalFormatting sqref="H86">
    <cfRule type="expression" dxfId="7" priority="2">
      <formula>$H$86="新設備の入力をご確認ください。"</formula>
    </cfRule>
    <cfRule type="expression" dxfId="6" priority="3">
      <formula>$H$86="旧設備の入力をご確認ください。"</formula>
    </cfRule>
  </conditionalFormatting>
  <conditionalFormatting sqref="N40">
    <cfRule type="expression" dxfId="5" priority="1">
      <formula>$N$28&gt;$N$40</formula>
    </cfRule>
  </conditionalFormatting>
  <dataValidations count="4">
    <dataValidation allowBlank="1" showErrorMessage="1" sqref="D104:M105 D120:M123 D97:M98 D116:M117 D93:M94 D127:M128"/>
    <dataValidation allowBlank="1" showErrorMessage="1" promptTitle="『機器仕様入力書』　記入時のご注意" prompt="本シートご利用の場合は、省エネ計算シートの設備欄には記入しないでください。" sqref="D99:M100 D102:M103 D125:M126 D26:M29 D38:M44"/>
    <dataValidation allowBlank="1" sqref="D24:M25 D114:M115 D91:M92 C15:C16 D37:M37"/>
    <dataValidation type="list" allowBlank="1" showInputMessage="1" showErrorMessage="1" sqref="G83">
      <formula1>"実施を選択,はい,いいえ"</formula1>
    </dataValidation>
  </dataValidations>
  <pageMargins left="0.6692913385826772" right="0.31496062992125984" top="1.1023622047244095" bottom="0.82677165354330717" header="0.55118110236220474" footer="0.31496062992125984"/>
  <pageSetup paperSize="9" scale="58" fitToHeight="0" orientation="portrait" r:id="rId1"/>
  <headerFooter>
    <oddHeader>&amp;C&amp;20換気量・省エネ計算シート&amp;RVer.5.1</oddHeader>
  </headerFooter>
  <rowBreaks count="1" manualBreakCount="1">
    <brk id="81" max="14"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ErrorMessage="1" promptTitle="『機器仕様入力書』　記入時のご注意" prompt="本シートご利用の場合は、省エネ計算シートの設備欄には記入しないでください。">
          <x14:formula1>
            <xm:f>計算!$X$4:$X$6</xm:f>
          </x14:formula1>
          <xm:sqref>D124:M124 D101:M101</xm:sqref>
        </x14:dataValidation>
        <x14:dataValidation type="list" allowBlank="1">
          <x14:formula1>
            <xm:f>計算!$R$4:$R$9</xm:f>
          </x14:formula1>
          <xm:sqref>D34:M34</xm:sqref>
        </x14:dataValidation>
        <x14:dataValidation type="list" allowBlank="1" showInputMessage="1" showErrorMessage="1">
          <x14:formula1>
            <xm:f>計算!$T$4:$T$7</xm:f>
          </x14:formula1>
          <xm:sqref>D35:M35</xm:sqref>
        </x14:dataValidation>
        <x14:dataValidation type="list" allowBlank="1" showInputMessage="1" showErrorMessage="1">
          <x14:formula1>
            <xm:f>計算!$U$4:$U$6</xm:f>
          </x14:formula1>
          <xm:sqref>D113:M113 D90:M90</xm:sqref>
        </x14:dataValidation>
        <x14:dataValidation type="list" allowBlank="1" showErrorMessage="1">
          <x14:formula1>
            <xm:f>計算!$AA$4:$AA$6</xm:f>
          </x14:formula1>
          <xm:sqref>D95:M95 D118:M118</xm:sqref>
        </x14:dataValidation>
        <x14:dataValidation type="list" allowBlank="1" showErrorMessage="1">
          <x14:formula1>
            <xm:f>計算!$S$4:$S$8</xm:f>
          </x14:formula1>
          <xm:sqref>D23:M23</xm:sqref>
        </x14:dataValidation>
        <x14:dataValidation type="list" allowBlank="1" showInputMessage="1" showErrorMessage="1">
          <x14:formula1>
            <xm:f>計算!$V$4:$V$6</xm:f>
          </x14:formula1>
          <xm:sqref>M149:M158 M59:M68 M71:M80 M137:M146</xm:sqref>
        </x14:dataValidation>
        <x14:dataValidation type="list" allowBlank="1" showErrorMessage="1">
          <x14:formula1>
            <xm:f>計算!$Z$3:$Z$14</xm:f>
          </x14:formula1>
          <xm:sqref>D36:M36</xm:sqref>
        </x14:dataValidation>
        <x14:dataValidation type="list" allowBlank="1" showErrorMessage="1">
          <x14:formula1>
            <xm:f>計算!$Z$4:$Z$14</xm:f>
          </x14:formula1>
          <xm:sqref>D119:M119 D96:M96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R93"/>
  <sheetViews>
    <sheetView zoomScale="110" zoomScaleNormal="110" zoomScaleSheetLayoutView="112" workbookViewId="0">
      <selection activeCell="C19" sqref="C19"/>
    </sheetView>
  </sheetViews>
  <sheetFormatPr defaultColWidth="8.83203125" defaultRowHeight="17.399999999999999" x14ac:dyDescent="0.55000000000000004"/>
  <cols>
    <col min="1" max="1" width="2.33203125" style="92" customWidth="1"/>
    <col min="2" max="2" width="11.9140625" style="92" customWidth="1"/>
    <col min="3" max="9" width="8.5" style="92" customWidth="1"/>
    <col min="10" max="10" width="2.33203125" style="92" customWidth="1"/>
    <col min="11" max="14" width="8.5" style="92" customWidth="1"/>
    <col min="15" max="15" width="9.5" style="92" customWidth="1"/>
    <col min="16" max="16" width="8.5" style="92" customWidth="1"/>
    <col min="17" max="17" width="8.83203125" style="92"/>
    <col min="18" max="18" width="17.1640625" style="92" customWidth="1"/>
    <col min="19" max="19" width="8.1640625" style="92" customWidth="1"/>
    <col min="20" max="20" width="10.5" style="92" customWidth="1"/>
    <col min="21" max="21" width="10.33203125" style="92" bestFit="1" customWidth="1"/>
    <col min="22" max="23" width="8.83203125" style="92"/>
    <col min="24" max="24" width="9.58203125" style="92" bestFit="1" customWidth="1"/>
    <col min="25" max="25" width="8.5" style="92" customWidth="1"/>
    <col min="26" max="26" width="9.33203125" style="92" customWidth="1"/>
    <col min="27" max="27" width="9.33203125" style="92" bestFit="1" customWidth="1"/>
    <col min="28" max="16384" width="8.83203125" style="92"/>
  </cols>
  <sheetData>
    <row r="2" spans="2:18" s="35" customFormat="1" ht="19.2" x14ac:dyDescent="0.55000000000000004">
      <c r="B2" s="81" t="s">
        <v>214</v>
      </c>
    </row>
    <row r="3" spans="2:18" ht="19.2" x14ac:dyDescent="0.55000000000000004">
      <c r="B3" s="91" t="s">
        <v>248</v>
      </c>
      <c r="K3" s="35"/>
    </row>
    <row r="4" spans="2:18" ht="19.2" x14ac:dyDescent="0.55000000000000004">
      <c r="B4" s="91" t="s">
        <v>249</v>
      </c>
      <c r="K4" s="35"/>
    </row>
    <row r="5" spans="2:18" ht="19.2" x14ac:dyDescent="0.55000000000000004">
      <c r="B5" s="91" t="s">
        <v>250</v>
      </c>
      <c r="K5" s="35"/>
    </row>
    <row r="6" spans="2:18" ht="19.2" x14ac:dyDescent="0.55000000000000004">
      <c r="B6" s="91" t="s">
        <v>251</v>
      </c>
      <c r="K6" s="35"/>
    </row>
    <row r="7" spans="2:18" ht="19.2" x14ac:dyDescent="0.55000000000000004">
      <c r="B7" s="91" t="s">
        <v>289</v>
      </c>
      <c r="K7" s="35"/>
    </row>
    <row r="8" spans="2:18" ht="19.2" x14ac:dyDescent="0.55000000000000004">
      <c r="B8" s="91" t="s">
        <v>256</v>
      </c>
      <c r="K8" s="35"/>
    </row>
    <row r="9" spans="2:18" ht="19.2" x14ac:dyDescent="0.55000000000000004">
      <c r="B9" s="91" t="s">
        <v>325</v>
      </c>
      <c r="K9" s="35"/>
    </row>
    <row r="10" spans="2:18" ht="19.2" x14ac:dyDescent="0.55000000000000004">
      <c r="B10" s="91"/>
      <c r="K10" s="35"/>
    </row>
    <row r="11" spans="2:18" s="35" customFormat="1" ht="19.2" x14ac:dyDescent="0.55000000000000004">
      <c r="B11" s="143" t="s">
        <v>215</v>
      </c>
      <c r="C11" s="37"/>
      <c r="D11" s="79" t="s">
        <v>285</v>
      </c>
    </row>
    <row r="12" spans="2:18" s="35" customFormat="1" ht="19.2" x14ac:dyDescent="0.55000000000000004">
      <c r="C12" s="38"/>
      <c r="D12" s="80" t="s">
        <v>142</v>
      </c>
      <c r="J12" s="68"/>
    </row>
    <row r="13" spans="2:18" s="35" customFormat="1" ht="19.2" x14ac:dyDescent="0.55000000000000004">
      <c r="C13" s="39"/>
      <c r="D13" s="80" t="s">
        <v>143</v>
      </c>
    </row>
    <row r="14" spans="2:18" s="35" customFormat="1" ht="19.2" x14ac:dyDescent="0.55000000000000004">
      <c r="B14" s="36"/>
      <c r="C14" s="36"/>
    </row>
    <row r="15" spans="2:18" ht="18" customHeight="1" x14ac:dyDescent="0.55000000000000004">
      <c r="B15" s="94"/>
      <c r="J15" s="186"/>
      <c r="L15" s="35"/>
      <c r="M15" s="35"/>
      <c r="N15" s="35"/>
      <c r="O15" s="35"/>
      <c r="P15" s="35"/>
      <c r="Q15" s="35"/>
      <c r="R15" s="35"/>
    </row>
    <row r="16" spans="2:18" ht="35.25" customHeight="1" x14ac:dyDescent="0.55000000000000004">
      <c r="B16" s="93" t="s">
        <v>259</v>
      </c>
      <c r="E16" s="292" t="s">
        <v>347</v>
      </c>
      <c r="F16" s="292"/>
      <c r="G16" s="293" t="str">
        <f>IF(SUM(I27,I41,I54,I67,I80,I93)&gt;=1,"選択項目を確認",IF(SUM(I25,I39,I52,I65,I78,I91)=0,"未入力",IF(SUM(I25,I39,I52,I65,I78,I91)&lt;1500,"該当","非該当")))</f>
        <v>未入力</v>
      </c>
      <c r="H16" s="293"/>
      <c r="I16" s="185"/>
      <c r="K16" s="69"/>
      <c r="L16" s="35"/>
      <c r="M16" s="35"/>
      <c r="N16" s="35"/>
      <c r="O16" s="35"/>
      <c r="P16" s="35"/>
      <c r="Q16" s="35"/>
      <c r="R16" s="35"/>
    </row>
    <row r="17" spans="2:18" ht="19.8" thickBot="1" x14ac:dyDescent="0.6">
      <c r="B17" s="92" t="s">
        <v>43</v>
      </c>
      <c r="E17" s="95"/>
      <c r="F17" s="95"/>
      <c r="G17" s="95"/>
      <c r="H17" s="95"/>
      <c r="I17" s="95"/>
      <c r="L17" s="35"/>
      <c r="M17" s="35"/>
      <c r="N17" s="35"/>
      <c r="O17" s="35"/>
      <c r="P17" s="35"/>
      <c r="Q17" s="35"/>
      <c r="R17" s="35"/>
    </row>
    <row r="18" spans="2:18" ht="18.75" customHeight="1" x14ac:dyDescent="0.55000000000000004">
      <c r="B18" s="9" t="s">
        <v>352</v>
      </c>
      <c r="C18" s="96" t="s">
        <v>35</v>
      </c>
      <c r="D18" s="97" t="s">
        <v>34</v>
      </c>
      <c r="E18" s="97" t="s">
        <v>33</v>
      </c>
      <c r="F18" s="97" t="s">
        <v>32</v>
      </c>
      <c r="G18" s="97" t="s">
        <v>31</v>
      </c>
      <c r="H18" s="97" t="s">
        <v>30</v>
      </c>
      <c r="I18" s="98" t="s">
        <v>29</v>
      </c>
      <c r="K18" s="94" t="s">
        <v>351</v>
      </c>
      <c r="L18" s="35"/>
      <c r="M18" s="35"/>
      <c r="N18" s="35"/>
      <c r="O18" s="35"/>
      <c r="P18" s="35"/>
      <c r="Q18" s="35"/>
      <c r="R18" s="35"/>
    </row>
    <row r="19" spans="2:18" ht="18.75" customHeight="1" x14ac:dyDescent="0.55000000000000004">
      <c r="B19" s="99" t="s">
        <v>21</v>
      </c>
      <c r="C19" s="129"/>
      <c r="D19" s="129"/>
      <c r="E19" s="129"/>
      <c r="F19" s="129"/>
      <c r="G19" s="129"/>
      <c r="H19" s="129"/>
      <c r="I19" s="130"/>
    </row>
    <row r="20" spans="2:18" ht="18.75" customHeight="1" x14ac:dyDescent="0.55000000000000004">
      <c r="B20" s="100" t="s">
        <v>42</v>
      </c>
      <c r="C20" s="294"/>
      <c r="D20" s="294"/>
      <c r="E20" s="294"/>
      <c r="F20" s="294"/>
      <c r="G20" s="294"/>
      <c r="H20" s="294"/>
      <c r="I20" s="299"/>
    </row>
    <row r="21" spans="2:18" ht="18.75" customHeight="1" thickBot="1" x14ac:dyDescent="0.6">
      <c r="B21" s="101" t="s">
        <v>41</v>
      </c>
      <c r="C21" s="295"/>
      <c r="D21" s="295"/>
      <c r="E21" s="295"/>
      <c r="F21" s="295"/>
      <c r="G21" s="295"/>
      <c r="H21" s="295"/>
      <c r="I21" s="301"/>
    </row>
    <row r="22" spans="2:18" ht="18.75" customHeight="1" thickTop="1" thickBot="1" x14ac:dyDescent="0.6">
      <c r="B22" s="102" t="s">
        <v>40</v>
      </c>
      <c r="C22" s="64"/>
      <c r="D22" s="64"/>
      <c r="E22" s="64"/>
      <c r="F22" s="64"/>
      <c r="G22" s="64"/>
      <c r="H22" s="64"/>
      <c r="I22" s="65"/>
    </row>
    <row r="23" spans="2:18" ht="18.75" customHeight="1" x14ac:dyDescent="0.55000000000000004">
      <c r="B23" s="103" t="str">
        <f>B18</f>
        <v>年度を選択</v>
      </c>
      <c r="C23" s="97" t="s">
        <v>28</v>
      </c>
      <c r="D23" s="97" t="s">
        <v>27</v>
      </c>
      <c r="E23" s="96" t="s">
        <v>26</v>
      </c>
      <c r="F23" s="97" t="s">
        <v>25</v>
      </c>
      <c r="G23" s="104" t="s">
        <v>24</v>
      </c>
      <c r="H23" s="304" t="s">
        <v>0</v>
      </c>
      <c r="I23" s="105" t="s">
        <v>23</v>
      </c>
      <c r="P23" s="106"/>
    </row>
    <row r="24" spans="2:18" ht="18.75" customHeight="1" x14ac:dyDescent="0.55000000000000004">
      <c r="B24" s="99" t="s">
        <v>21</v>
      </c>
      <c r="C24" s="129"/>
      <c r="D24" s="129"/>
      <c r="E24" s="129"/>
      <c r="F24" s="129"/>
      <c r="G24" s="129"/>
      <c r="H24" s="305"/>
      <c r="I24" s="107" t="s">
        <v>20</v>
      </c>
      <c r="P24" s="106"/>
    </row>
    <row r="25" spans="2:18" ht="18.75" customHeight="1" x14ac:dyDescent="0.55000000000000004">
      <c r="B25" s="100" t="s">
        <v>42</v>
      </c>
      <c r="C25" s="294"/>
      <c r="D25" s="294"/>
      <c r="E25" s="294"/>
      <c r="F25" s="294"/>
      <c r="G25" s="294"/>
      <c r="H25" s="297" t="str">
        <f>IF(ISERROR(12*SUM(C20:I21,C25:G26)/COUNT(C20:I21,C25:G26)),"",12*SUM(C20:I21,C25:G26)/COUNT(C20:I21,C25:G26))</f>
        <v/>
      </c>
      <c r="I25" s="302" t="str">
        <f>IF(AND(H25&lt;&gt;"",OR(B18="",B18="年度を選択")),"年度を選択",計算!$J$3)</f>
        <v/>
      </c>
      <c r="P25" s="106"/>
    </row>
    <row r="26" spans="2:18" ht="18.75" customHeight="1" thickBot="1" x14ac:dyDescent="0.6">
      <c r="B26" s="108" t="s">
        <v>41</v>
      </c>
      <c r="C26" s="296"/>
      <c r="D26" s="296"/>
      <c r="E26" s="296"/>
      <c r="F26" s="296"/>
      <c r="G26" s="296"/>
      <c r="H26" s="298"/>
      <c r="I26" s="303"/>
      <c r="P26" s="106"/>
    </row>
    <row r="27" spans="2:18" ht="18.75" customHeight="1" thickTop="1" thickBot="1" x14ac:dyDescent="0.6">
      <c r="B27" s="109" t="s">
        <v>40</v>
      </c>
      <c r="C27" s="66"/>
      <c r="D27" s="66"/>
      <c r="E27" s="66"/>
      <c r="F27" s="66"/>
      <c r="G27" s="66"/>
      <c r="H27" s="110" t="str">
        <f>IF(ISERROR(12*SUM(C22:I22,C27:G27)/COUNT(C22:I22,C27:G27)),"",12*SUM(C22:I22,C27:G27)/COUNT(C22:I22,C27:G27))</f>
        <v/>
      </c>
      <c r="I27" s="168">
        <f>IF(I25="年度を選択",1,0)</f>
        <v>0</v>
      </c>
      <c r="P27" s="106"/>
    </row>
    <row r="28" spans="2:18" x14ac:dyDescent="0.55000000000000004">
      <c r="B28" s="92" t="s">
        <v>39</v>
      </c>
      <c r="E28" s="111"/>
      <c r="F28" s="111"/>
      <c r="G28" s="111"/>
      <c r="H28" s="111"/>
      <c r="O28" s="112"/>
    </row>
    <row r="31" spans="2:18" ht="18" thickBot="1" x14ac:dyDescent="0.6">
      <c r="B31" s="92" t="s">
        <v>38</v>
      </c>
      <c r="E31" s="115" t="s">
        <v>346</v>
      </c>
      <c r="F31" s="115" t="s">
        <v>233</v>
      </c>
      <c r="G31" s="95"/>
      <c r="K31" s="94" t="s">
        <v>353</v>
      </c>
    </row>
    <row r="32" spans="2:18" ht="19.5" customHeight="1" x14ac:dyDescent="0.55000000000000004">
      <c r="B32" s="9" t="s">
        <v>352</v>
      </c>
      <c r="C32" s="96" t="s">
        <v>35</v>
      </c>
      <c r="D32" s="97" t="s">
        <v>34</v>
      </c>
      <c r="E32" s="97" t="s">
        <v>33</v>
      </c>
      <c r="F32" s="97" t="s">
        <v>32</v>
      </c>
      <c r="G32" s="97" t="s">
        <v>31</v>
      </c>
      <c r="H32" s="97" t="s">
        <v>30</v>
      </c>
      <c r="I32" s="98" t="s">
        <v>29</v>
      </c>
      <c r="K32" s="94" t="s">
        <v>351</v>
      </c>
    </row>
    <row r="33" spans="2:15" ht="19.5" customHeight="1" x14ac:dyDescent="0.55000000000000004">
      <c r="B33" s="99" t="s">
        <v>21</v>
      </c>
      <c r="C33" s="129"/>
      <c r="D33" s="129"/>
      <c r="E33" s="129"/>
      <c r="F33" s="129"/>
      <c r="G33" s="129"/>
      <c r="H33" s="129"/>
      <c r="I33" s="130"/>
    </row>
    <row r="34" spans="2:15" ht="19.5" customHeight="1" x14ac:dyDescent="0.55000000000000004">
      <c r="B34" s="100" t="s">
        <v>37</v>
      </c>
      <c r="C34" s="294"/>
      <c r="D34" s="294"/>
      <c r="E34" s="294"/>
      <c r="F34" s="294"/>
      <c r="G34" s="294"/>
      <c r="H34" s="294"/>
      <c r="I34" s="299"/>
    </row>
    <row r="35" spans="2:15" ht="19.5" customHeight="1" thickBot="1" x14ac:dyDescent="0.6">
      <c r="B35" s="101" t="str">
        <f>IF(F31="","",F31)</f>
        <v>単位を選択</v>
      </c>
      <c r="C35" s="295"/>
      <c r="D35" s="295"/>
      <c r="E35" s="295"/>
      <c r="F35" s="295"/>
      <c r="G35" s="295"/>
      <c r="H35" s="295"/>
      <c r="I35" s="300"/>
    </row>
    <row r="36" spans="2:15" ht="19.5" customHeight="1" thickTop="1" thickBot="1" x14ac:dyDescent="0.6">
      <c r="B36" s="102" t="s">
        <v>36</v>
      </c>
      <c r="C36" s="64"/>
      <c r="D36" s="64"/>
      <c r="E36" s="64"/>
      <c r="F36" s="64"/>
      <c r="G36" s="64"/>
      <c r="H36" s="64"/>
      <c r="I36" s="65"/>
    </row>
    <row r="37" spans="2:15" ht="19.5" customHeight="1" x14ac:dyDescent="0.55000000000000004">
      <c r="B37" s="103" t="str">
        <f>B32</f>
        <v>年度を選択</v>
      </c>
      <c r="C37" s="97" t="s">
        <v>28</v>
      </c>
      <c r="D37" s="97" t="s">
        <v>27</v>
      </c>
      <c r="E37" s="96" t="s">
        <v>26</v>
      </c>
      <c r="F37" s="97" t="s">
        <v>25</v>
      </c>
      <c r="G37" s="104" t="s">
        <v>24</v>
      </c>
      <c r="H37" s="304" t="s">
        <v>0</v>
      </c>
      <c r="I37" s="105" t="s">
        <v>23</v>
      </c>
      <c r="O37" s="112"/>
    </row>
    <row r="38" spans="2:15" ht="19.5" customHeight="1" x14ac:dyDescent="0.55000000000000004">
      <c r="B38" s="99" t="s">
        <v>21</v>
      </c>
      <c r="C38" s="129"/>
      <c r="D38" s="129"/>
      <c r="E38" s="129"/>
      <c r="F38" s="129"/>
      <c r="G38" s="131"/>
      <c r="H38" s="305"/>
      <c r="I38" s="107" t="s">
        <v>20</v>
      </c>
      <c r="O38" s="112"/>
    </row>
    <row r="39" spans="2:15" ht="19.5" customHeight="1" x14ac:dyDescent="0.55000000000000004">
      <c r="B39" s="100" t="s">
        <v>37</v>
      </c>
      <c r="C39" s="294"/>
      <c r="D39" s="294"/>
      <c r="E39" s="294"/>
      <c r="F39" s="294"/>
      <c r="G39" s="294"/>
      <c r="H39" s="297" t="str">
        <f>IF(ISERROR(12*SUM(C34:I35,C39:G40)/COUNT(C34:I35,C39:G40)),"",12*SUM(C34:I35,C39:G40)/COUNT(C34:I35,C39:G40))</f>
        <v/>
      </c>
      <c r="I39" s="306" t="str">
        <f>IF(AND(H39&lt;&gt;"",OR(B32="",E31="",F31="",B32="年度を選択",E31="種別を選択",F31="単位を選択")),"選択項目を確認",IF(AND($E$31="都市ガス",$F$31="［m3］"),計算!J10,IF(AND($E$31="LPG",$F$31="［m3］"),計算!J11,IF(AND($E$31="LPG",$F$31="［kg］"),計算!L11,IF($E$31="LNG",計算!J12,IF($E$31="水素ガス",計算!J13,IF($E$31="天然ガス",計算!J14,"")))))))</f>
        <v/>
      </c>
      <c r="O39" s="112"/>
    </row>
    <row r="40" spans="2:15" ht="19.5" customHeight="1" thickBot="1" x14ac:dyDescent="0.6">
      <c r="B40" s="108" t="str">
        <f>B35</f>
        <v>単位を選択</v>
      </c>
      <c r="C40" s="296"/>
      <c r="D40" s="296"/>
      <c r="E40" s="296"/>
      <c r="F40" s="296"/>
      <c r="G40" s="296"/>
      <c r="H40" s="298"/>
      <c r="I40" s="307"/>
      <c r="O40" s="112"/>
    </row>
    <row r="41" spans="2:15" ht="19.5" customHeight="1" thickTop="1" thickBot="1" x14ac:dyDescent="0.6">
      <c r="B41" s="109" t="s">
        <v>36</v>
      </c>
      <c r="C41" s="66"/>
      <c r="D41" s="66"/>
      <c r="E41" s="66"/>
      <c r="F41" s="66"/>
      <c r="G41" s="66"/>
      <c r="H41" s="110" t="str">
        <f>IF(ISERROR(12*SUM(C36:I36,C41:G41)/COUNT(C36:I36,C41:G41)),"",12*SUM(C36:I36,C41:G41)/COUNT(C36:I36,C41:G41))</f>
        <v/>
      </c>
      <c r="I41" s="169">
        <f>IF(I39="選択項目を確認",1,0)</f>
        <v>0</v>
      </c>
      <c r="O41" s="112"/>
    </row>
    <row r="42" spans="2:15" x14ac:dyDescent="0.55000000000000004">
      <c r="E42" s="111"/>
      <c r="F42" s="111"/>
      <c r="G42" s="111"/>
      <c r="H42" s="111"/>
      <c r="O42" s="112"/>
    </row>
    <row r="43" spans="2:15" x14ac:dyDescent="0.55000000000000004">
      <c r="E43" s="111"/>
      <c r="F43" s="111"/>
      <c r="G43" s="111"/>
      <c r="H43" s="111"/>
      <c r="O43" s="112"/>
    </row>
    <row r="44" spans="2:15" ht="20.25" customHeight="1" thickBot="1" x14ac:dyDescent="0.6">
      <c r="B44" s="92" t="s">
        <v>252</v>
      </c>
      <c r="E44" s="308" t="s">
        <v>355</v>
      </c>
      <c r="F44" s="308"/>
      <c r="G44" s="95"/>
      <c r="H44" s="113"/>
      <c r="I44" s="113"/>
      <c r="K44" s="94" t="s">
        <v>354</v>
      </c>
    </row>
    <row r="45" spans="2:15" ht="19.5" customHeight="1" x14ac:dyDescent="0.55000000000000004">
      <c r="B45" s="9" t="s">
        <v>352</v>
      </c>
      <c r="C45" s="96" t="s">
        <v>35</v>
      </c>
      <c r="D45" s="97" t="s">
        <v>34</v>
      </c>
      <c r="E45" s="97" t="s">
        <v>33</v>
      </c>
      <c r="F45" s="97" t="s">
        <v>32</v>
      </c>
      <c r="G45" s="97" t="s">
        <v>31</v>
      </c>
      <c r="H45" s="97" t="s">
        <v>30</v>
      </c>
      <c r="I45" s="98" t="s">
        <v>29</v>
      </c>
      <c r="K45" s="94" t="s">
        <v>351</v>
      </c>
    </row>
    <row r="46" spans="2:15" ht="19.5" customHeight="1" x14ac:dyDescent="0.55000000000000004">
      <c r="B46" s="99" t="s">
        <v>21</v>
      </c>
      <c r="C46" s="129"/>
      <c r="D46" s="129"/>
      <c r="E46" s="129"/>
      <c r="F46" s="129"/>
      <c r="G46" s="129"/>
      <c r="H46" s="129"/>
      <c r="I46" s="130"/>
    </row>
    <row r="47" spans="2:15" ht="19.5" customHeight="1" x14ac:dyDescent="0.55000000000000004">
      <c r="B47" s="100" t="s">
        <v>19</v>
      </c>
      <c r="C47" s="294"/>
      <c r="D47" s="294"/>
      <c r="E47" s="294"/>
      <c r="F47" s="294"/>
      <c r="G47" s="294"/>
      <c r="H47" s="294"/>
      <c r="I47" s="299"/>
    </row>
    <row r="48" spans="2:15" ht="19.5" customHeight="1" thickBot="1" x14ac:dyDescent="0.6">
      <c r="B48" s="101" t="str">
        <f>IF(OR(E44="温水・冷水",E44="産業用蒸気",E44="産業用以外の蒸気"),"［MJ］","［L］")</f>
        <v>［L］</v>
      </c>
      <c r="C48" s="295"/>
      <c r="D48" s="295"/>
      <c r="E48" s="295"/>
      <c r="F48" s="295"/>
      <c r="G48" s="295"/>
      <c r="H48" s="295"/>
      <c r="I48" s="300"/>
    </row>
    <row r="49" spans="2:15" ht="19.5" customHeight="1" thickTop="1" thickBot="1" x14ac:dyDescent="0.6">
      <c r="B49" s="102" t="s">
        <v>18</v>
      </c>
      <c r="C49" s="64"/>
      <c r="D49" s="64"/>
      <c r="E49" s="64"/>
      <c r="F49" s="64"/>
      <c r="G49" s="64"/>
      <c r="H49" s="64"/>
      <c r="I49" s="65"/>
    </row>
    <row r="50" spans="2:15" ht="19.5" customHeight="1" x14ac:dyDescent="0.55000000000000004">
      <c r="B50" s="103" t="str">
        <f>B45</f>
        <v>年度を選択</v>
      </c>
      <c r="C50" s="97" t="s">
        <v>28</v>
      </c>
      <c r="D50" s="97" t="s">
        <v>27</v>
      </c>
      <c r="E50" s="96" t="s">
        <v>26</v>
      </c>
      <c r="F50" s="97" t="s">
        <v>25</v>
      </c>
      <c r="G50" s="104" t="s">
        <v>24</v>
      </c>
      <c r="H50" s="304" t="s">
        <v>0</v>
      </c>
      <c r="I50" s="105" t="s">
        <v>23</v>
      </c>
    </row>
    <row r="51" spans="2:15" ht="19.5" customHeight="1" x14ac:dyDescent="0.55000000000000004">
      <c r="B51" s="99" t="s">
        <v>21</v>
      </c>
      <c r="C51" s="129"/>
      <c r="D51" s="129"/>
      <c r="E51" s="129"/>
      <c r="F51" s="129"/>
      <c r="G51" s="131"/>
      <c r="H51" s="305"/>
      <c r="I51" s="107" t="s">
        <v>20</v>
      </c>
    </row>
    <row r="52" spans="2:15" ht="19.5" customHeight="1" x14ac:dyDescent="0.55000000000000004">
      <c r="B52" s="100" t="s">
        <v>19</v>
      </c>
      <c r="C52" s="294"/>
      <c r="D52" s="294"/>
      <c r="E52" s="294"/>
      <c r="F52" s="294"/>
      <c r="G52" s="294"/>
      <c r="H52" s="297" t="str">
        <f>IF(ISERROR(12*SUM(C47:I48,C52:G53)/COUNT(C47:I48,C52:G53)),"",12*SUM(C47:I48,C52:G53)/COUNT(C47:I48,C52:G53))</f>
        <v/>
      </c>
      <c r="I52" s="306" t="str">
        <f>IF(AND(H52&lt;&gt;"",OR(B45="",E44="",B45="年度を選択",E44="エネルギー種別を選択")),"選択項目を確認",IF($E$44="温水・冷水",計算!J4,IF($E$44="産業用蒸気",計算!J5,IF($E$44="産業用以外の蒸気",計算!J6,IF($E$44="灯油",計算!J18,IF($E$44="軽油",計算!J19,IF($E$44="A重油",計算!J20,IF($E$44="B・Ｃ重油",計算!J21,""))))))))</f>
        <v/>
      </c>
    </row>
    <row r="53" spans="2:15" ht="19.5" customHeight="1" thickBot="1" x14ac:dyDescent="0.6">
      <c r="B53" s="108" t="str">
        <f>B48</f>
        <v>［L］</v>
      </c>
      <c r="C53" s="296"/>
      <c r="D53" s="296"/>
      <c r="E53" s="296"/>
      <c r="F53" s="296"/>
      <c r="G53" s="296"/>
      <c r="H53" s="298"/>
      <c r="I53" s="307"/>
    </row>
    <row r="54" spans="2:15" ht="19.5" customHeight="1" thickTop="1" thickBot="1" x14ac:dyDescent="0.6">
      <c r="B54" s="109" t="s">
        <v>18</v>
      </c>
      <c r="C54" s="66"/>
      <c r="D54" s="66"/>
      <c r="E54" s="66"/>
      <c r="F54" s="66"/>
      <c r="G54" s="66"/>
      <c r="H54" s="114" t="str">
        <f>IF(ISERROR(12*SUM(C49:I49,C54:G54)/COUNT(C49:I49,C54:G54)),"",12*SUM(C49:I49,C54:G54)/COUNT(C49:I49,C54:G54))</f>
        <v/>
      </c>
      <c r="I54" s="168">
        <f>IF(I52="選択項目を確認",1,0)</f>
        <v>0</v>
      </c>
    </row>
    <row r="55" spans="2:15" x14ac:dyDescent="0.55000000000000004">
      <c r="E55" s="111"/>
      <c r="F55" s="111"/>
      <c r="G55" s="111"/>
      <c r="H55" s="111"/>
      <c r="O55" s="112"/>
    </row>
    <row r="56" spans="2:15" x14ac:dyDescent="0.55000000000000004">
      <c r="E56" s="111"/>
      <c r="F56" s="111"/>
      <c r="G56" s="111"/>
      <c r="H56" s="111"/>
      <c r="O56" s="112"/>
    </row>
    <row r="57" spans="2:15" ht="20.25" customHeight="1" thickBot="1" x14ac:dyDescent="0.6">
      <c r="B57" s="92" t="s">
        <v>253</v>
      </c>
      <c r="E57" s="308" t="s">
        <v>355</v>
      </c>
      <c r="F57" s="308"/>
      <c r="G57" s="95"/>
      <c r="H57" s="113"/>
      <c r="I57" s="113"/>
      <c r="K57" s="94" t="s">
        <v>354</v>
      </c>
    </row>
    <row r="58" spans="2:15" ht="19.5" customHeight="1" x14ac:dyDescent="0.55000000000000004">
      <c r="B58" s="9" t="s">
        <v>352</v>
      </c>
      <c r="C58" s="96" t="s">
        <v>35</v>
      </c>
      <c r="D58" s="97" t="s">
        <v>34</v>
      </c>
      <c r="E58" s="97" t="s">
        <v>33</v>
      </c>
      <c r="F58" s="97" t="s">
        <v>32</v>
      </c>
      <c r="G58" s="97" t="s">
        <v>31</v>
      </c>
      <c r="H58" s="97" t="s">
        <v>30</v>
      </c>
      <c r="I58" s="98" t="s">
        <v>29</v>
      </c>
      <c r="K58" s="94" t="s">
        <v>351</v>
      </c>
    </row>
    <row r="59" spans="2:15" ht="19.5" customHeight="1" x14ac:dyDescent="0.55000000000000004">
      <c r="B59" s="99" t="s">
        <v>21</v>
      </c>
      <c r="C59" s="129"/>
      <c r="D59" s="129"/>
      <c r="E59" s="129"/>
      <c r="F59" s="129"/>
      <c r="G59" s="129"/>
      <c r="H59" s="129"/>
      <c r="I59" s="130"/>
    </row>
    <row r="60" spans="2:15" ht="19.5" customHeight="1" x14ac:dyDescent="0.55000000000000004">
      <c r="B60" s="100" t="s">
        <v>19</v>
      </c>
      <c r="C60" s="294"/>
      <c r="D60" s="294"/>
      <c r="E60" s="294"/>
      <c r="F60" s="294"/>
      <c r="G60" s="294"/>
      <c r="H60" s="294"/>
      <c r="I60" s="299"/>
    </row>
    <row r="61" spans="2:15" ht="19.5" customHeight="1" thickBot="1" x14ac:dyDescent="0.6">
      <c r="B61" s="101" t="str">
        <f>IF(OR(E57="温水・冷水",E57="産業用蒸気",E57="産業用以外の蒸気"),"［MJ］","［L］")</f>
        <v>［L］</v>
      </c>
      <c r="C61" s="295"/>
      <c r="D61" s="295"/>
      <c r="E61" s="295"/>
      <c r="F61" s="295"/>
      <c r="G61" s="295"/>
      <c r="H61" s="295"/>
      <c r="I61" s="300"/>
    </row>
    <row r="62" spans="2:15" ht="19.5" customHeight="1" thickTop="1" thickBot="1" x14ac:dyDescent="0.6">
      <c r="B62" s="102" t="s">
        <v>18</v>
      </c>
      <c r="C62" s="64"/>
      <c r="D62" s="64"/>
      <c r="E62" s="64"/>
      <c r="F62" s="64"/>
      <c r="G62" s="64"/>
      <c r="H62" s="64"/>
      <c r="I62" s="65"/>
    </row>
    <row r="63" spans="2:15" ht="19.5" customHeight="1" x14ac:dyDescent="0.55000000000000004">
      <c r="B63" s="103" t="str">
        <f>B58</f>
        <v>年度を選択</v>
      </c>
      <c r="C63" s="97" t="s">
        <v>28</v>
      </c>
      <c r="D63" s="97" t="s">
        <v>27</v>
      </c>
      <c r="E63" s="96" t="s">
        <v>26</v>
      </c>
      <c r="F63" s="97" t="s">
        <v>25</v>
      </c>
      <c r="G63" s="104" t="s">
        <v>24</v>
      </c>
      <c r="H63" s="304" t="s">
        <v>0</v>
      </c>
      <c r="I63" s="105" t="s">
        <v>23</v>
      </c>
    </row>
    <row r="64" spans="2:15" ht="19.5" customHeight="1" x14ac:dyDescent="0.55000000000000004">
      <c r="B64" s="99" t="s">
        <v>21</v>
      </c>
      <c r="C64" s="129"/>
      <c r="D64" s="129"/>
      <c r="E64" s="129"/>
      <c r="F64" s="129"/>
      <c r="G64" s="131"/>
      <c r="H64" s="305"/>
      <c r="I64" s="107" t="s">
        <v>20</v>
      </c>
    </row>
    <row r="65" spans="2:15" ht="19.5" customHeight="1" x14ac:dyDescent="0.55000000000000004">
      <c r="B65" s="100" t="s">
        <v>19</v>
      </c>
      <c r="C65" s="294"/>
      <c r="D65" s="294"/>
      <c r="E65" s="294"/>
      <c r="F65" s="294"/>
      <c r="G65" s="309"/>
      <c r="H65" s="297" t="str">
        <f>IF(ISERROR(12*SUM(C60:I61,C65:G66)/COUNT(C60:I61,C65:G66)),"",12*SUM(C60:I61,C65:G66)/COUNT(C60:I61,C65:G66))</f>
        <v/>
      </c>
      <c r="I65" s="306" t="str">
        <f>IF(AND(H65&lt;&gt;"",OR(B58="",E57="",B58="年度を選択",E57="エネルギー種別を選択")),"選択項目を確認",IF($E$57="温水・冷水",計算!J25,IF($E$57="産業用蒸気",計算!J26,IF($E$57="産業用以外の蒸気",計算!J27,IF($E$57="灯油",計算!J28,IF($E$57="軽油",計算!J29,IF($E$57="A重油",計算!J30,IF($E$57="B・Ｃ重油",計算!J31,""))))))))</f>
        <v/>
      </c>
    </row>
    <row r="66" spans="2:15" ht="19.5" customHeight="1" thickBot="1" x14ac:dyDescent="0.6">
      <c r="B66" s="108" t="str">
        <f>B61</f>
        <v>［L］</v>
      </c>
      <c r="C66" s="296"/>
      <c r="D66" s="296"/>
      <c r="E66" s="296"/>
      <c r="F66" s="296"/>
      <c r="G66" s="310"/>
      <c r="H66" s="298"/>
      <c r="I66" s="307"/>
    </row>
    <row r="67" spans="2:15" ht="19.5" customHeight="1" thickTop="1" thickBot="1" x14ac:dyDescent="0.6">
      <c r="B67" s="109" t="s">
        <v>18</v>
      </c>
      <c r="C67" s="66"/>
      <c r="D67" s="66"/>
      <c r="E67" s="66"/>
      <c r="F67" s="66"/>
      <c r="G67" s="67"/>
      <c r="H67" s="114" t="str">
        <f>IF(ISERROR(12*SUM(C62:I62,C67:G67)/COUNT(C62:I62,C67:G67)),"",12*SUM(C62:I62,C67:G67)/COUNT(C62:I62,C67:G67))</f>
        <v/>
      </c>
      <c r="I67" s="168">
        <f>IF(I65="選択項目を確認",1,0)</f>
        <v>0</v>
      </c>
    </row>
    <row r="68" spans="2:15" x14ac:dyDescent="0.55000000000000004">
      <c r="E68" s="111"/>
      <c r="F68" s="111"/>
      <c r="G68" s="111"/>
      <c r="H68" s="111"/>
      <c r="O68" s="112"/>
    </row>
    <row r="69" spans="2:15" x14ac:dyDescent="0.55000000000000004">
      <c r="E69" s="111"/>
      <c r="F69" s="111"/>
      <c r="G69" s="111"/>
      <c r="H69" s="111"/>
      <c r="O69" s="112"/>
    </row>
    <row r="70" spans="2:15" ht="20.25" customHeight="1" thickBot="1" x14ac:dyDescent="0.6">
      <c r="B70" s="92" t="s">
        <v>254</v>
      </c>
      <c r="E70" s="308" t="s">
        <v>355</v>
      </c>
      <c r="F70" s="308"/>
      <c r="G70" s="95"/>
      <c r="H70" s="113"/>
      <c r="I70" s="113"/>
      <c r="K70" s="94" t="s">
        <v>354</v>
      </c>
    </row>
    <row r="71" spans="2:15" ht="19.5" customHeight="1" x14ac:dyDescent="0.55000000000000004">
      <c r="B71" s="9" t="s">
        <v>352</v>
      </c>
      <c r="C71" s="96" t="s">
        <v>35</v>
      </c>
      <c r="D71" s="97" t="s">
        <v>34</v>
      </c>
      <c r="E71" s="97" t="s">
        <v>33</v>
      </c>
      <c r="F71" s="97" t="s">
        <v>32</v>
      </c>
      <c r="G71" s="97" t="s">
        <v>31</v>
      </c>
      <c r="H71" s="97" t="s">
        <v>30</v>
      </c>
      <c r="I71" s="98" t="s">
        <v>29</v>
      </c>
      <c r="K71" s="94" t="s">
        <v>351</v>
      </c>
    </row>
    <row r="72" spans="2:15" ht="19.5" customHeight="1" x14ac:dyDescent="0.55000000000000004">
      <c r="B72" s="99" t="s">
        <v>21</v>
      </c>
      <c r="C72" s="129"/>
      <c r="D72" s="129"/>
      <c r="E72" s="129"/>
      <c r="F72" s="129"/>
      <c r="G72" s="129"/>
      <c r="H72" s="129"/>
      <c r="I72" s="130"/>
    </row>
    <row r="73" spans="2:15" ht="19.5" customHeight="1" x14ac:dyDescent="0.55000000000000004">
      <c r="B73" s="100" t="s">
        <v>19</v>
      </c>
      <c r="C73" s="294"/>
      <c r="D73" s="294"/>
      <c r="E73" s="294"/>
      <c r="F73" s="294"/>
      <c r="G73" s="294"/>
      <c r="H73" s="294"/>
      <c r="I73" s="299"/>
    </row>
    <row r="74" spans="2:15" ht="19.5" customHeight="1" thickBot="1" x14ac:dyDescent="0.6">
      <c r="B74" s="101" t="str">
        <f>IF(OR(E70="温水・冷水",E70="産業用蒸気",E70="産業用以外の蒸気"),"［MJ］","［L］")</f>
        <v>［L］</v>
      </c>
      <c r="C74" s="295"/>
      <c r="D74" s="295"/>
      <c r="E74" s="295"/>
      <c r="F74" s="295"/>
      <c r="G74" s="295"/>
      <c r="H74" s="295"/>
      <c r="I74" s="300"/>
    </row>
    <row r="75" spans="2:15" ht="19.5" customHeight="1" thickTop="1" thickBot="1" x14ac:dyDescent="0.6">
      <c r="B75" s="102" t="s">
        <v>18</v>
      </c>
      <c r="C75" s="64"/>
      <c r="D75" s="64"/>
      <c r="E75" s="64"/>
      <c r="F75" s="64"/>
      <c r="G75" s="64"/>
      <c r="H75" s="64"/>
      <c r="I75" s="65"/>
    </row>
    <row r="76" spans="2:15" ht="19.5" customHeight="1" x14ac:dyDescent="0.55000000000000004">
      <c r="B76" s="103" t="str">
        <f>B71</f>
        <v>年度を選択</v>
      </c>
      <c r="C76" s="97" t="s">
        <v>28</v>
      </c>
      <c r="D76" s="97" t="s">
        <v>27</v>
      </c>
      <c r="E76" s="96" t="s">
        <v>26</v>
      </c>
      <c r="F76" s="97" t="s">
        <v>25</v>
      </c>
      <c r="G76" s="104" t="s">
        <v>24</v>
      </c>
      <c r="H76" s="304" t="s">
        <v>0</v>
      </c>
      <c r="I76" s="105" t="s">
        <v>23</v>
      </c>
    </row>
    <row r="77" spans="2:15" ht="19.5" customHeight="1" x14ac:dyDescent="0.55000000000000004">
      <c r="B77" s="99" t="s">
        <v>21</v>
      </c>
      <c r="C77" s="129"/>
      <c r="D77" s="129"/>
      <c r="E77" s="129"/>
      <c r="F77" s="129"/>
      <c r="G77" s="131"/>
      <c r="H77" s="305"/>
      <c r="I77" s="107" t="s">
        <v>20</v>
      </c>
    </row>
    <row r="78" spans="2:15" ht="19.5" customHeight="1" x14ac:dyDescent="0.55000000000000004">
      <c r="B78" s="100" t="s">
        <v>19</v>
      </c>
      <c r="C78" s="294"/>
      <c r="D78" s="294"/>
      <c r="E78" s="294"/>
      <c r="F78" s="294"/>
      <c r="G78" s="294"/>
      <c r="H78" s="297" t="str">
        <f>IF(ISERROR(12*SUM(C73:I74,C78:G79)/COUNT(C73:I74,C78:G79)),"",12*SUM(C73:I74,C78:G79)/COUNT(C73:I74,C78:G79))</f>
        <v/>
      </c>
      <c r="I78" s="306" t="str">
        <f>IF(AND(H78&lt;&gt;"",OR(B71="",E70="",B71="年度を選択",E70="エネルギー種別を選択")),"選択項目を確認",IF($E$70="温水・冷水",計算!J34,IF($E$70="産業用蒸気",計算!J35,IF($E$70="産業用以外の蒸気",計算!J36,IF($E$70="灯油",計算!J37,IF($E$70="軽油",計算!J38,IF($E$70="A重油",計算!J39,IF($E$70="B・Ｃ重油",計算!J40,""))))))))</f>
        <v/>
      </c>
    </row>
    <row r="79" spans="2:15" ht="19.5" customHeight="1" thickBot="1" x14ac:dyDescent="0.6">
      <c r="B79" s="108" t="str">
        <f>B74</f>
        <v>［L］</v>
      </c>
      <c r="C79" s="296"/>
      <c r="D79" s="296"/>
      <c r="E79" s="296"/>
      <c r="F79" s="296"/>
      <c r="G79" s="296"/>
      <c r="H79" s="298"/>
      <c r="I79" s="307"/>
    </row>
    <row r="80" spans="2:15" ht="19.5" customHeight="1" thickTop="1" thickBot="1" x14ac:dyDescent="0.6">
      <c r="B80" s="109" t="s">
        <v>18</v>
      </c>
      <c r="C80" s="66"/>
      <c r="D80" s="66"/>
      <c r="E80" s="66"/>
      <c r="F80" s="66"/>
      <c r="G80" s="66"/>
      <c r="H80" s="114" t="str">
        <f>IF(ISERROR(12*SUM(C75:I75,C80:G80)/COUNT(C75:I75,C80:G80)),"",12*SUM(C75:I75,C80:G80)/COUNT(C75:I75,C80:G80))</f>
        <v/>
      </c>
      <c r="I80" s="168">
        <f>IF(I78="選択項目を確認",1,0)</f>
        <v>0</v>
      </c>
    </row>
    <row r="81" spans="2:15" x14ac:dyDescent="0.55000000000000004">
      <c r="E81" s="111"/>
      <c r="F81" s="111"/>
      <c r="G81" s="111"/>
      <c r="H81" s="111"/>
      <c r="O81" s="112"/>
    </row>
    <row r="82" spans="2:15" x14ac:dyDescent="0.55000000000000004">
      <c r="E82" s="111"/>
      <c r="F82" s="111"/>
      <c r="G82" s="111"/>
      <c r="H82" s="111"/>
      <c r="O82" s="112"/>
    </row>
    <row r="83" spans="2:15" ht="20.25" customHeight="1" thickBot="1" x14ac:dyDescent="0.6">
      <c r="B83" s="92" t="s">
        <v>255</v>
      </c>
      <c r="E83" s="308" t="s">
        <v>355</v>
      </c>
      <c r="F83" s="308"/>
      <c r="G83" s="95"/>
      <c r="H83" s="113"/>
      <c r="I83" s="113"/>
      <c r="K83" s="94" t="s">
        <v>354</v>
      </c>
    </row>
    <row r="84" spans="2:15" ht="19.5" customHeight="1" x14ac:dyDescent="0.55000000000000004">
      <c r="B84" s="9" t="s">
        <v>352</v>
      </c>
      <c r="C84" s="96" t="s">
        <v>35</v>
      </c>
      <c r="D84" s="97" t="s">
        <v>34</v>
      </c>
      <c r="E84" s="97" t="s">
        <v>33</v>
      </c>
      <c r="F84" s="97" t="s">
        <v>32</v>
      </c>
      <c r="G84" s="97" t="s">
        <v>31</v>
      </c>
      <c r="H84" s="97" t="s">
        <v>30</v>
      </c>
      <c r="I84" s="98" t="s">
        <v>29</v>
      </c>
      <c r="K84" s="94" t="s">
        <v>351</v>
      </c>
    </row>
    <row r="85" spans="2:15" ht="19.5" customHeight="1" x14ac:dyDescent="0.55000000000000004">
      <c r="B85" s="99" t="s">
        <v>21</v>
      </c>
      <c r="C85" s="129"/>
      <c r="D85" s="129"/>
      <c r="E85" s="129"/>
      <c r="F85" s="129"/>
      <c r="G85" s="129"/>
      <c r="H85" s="129"/>
      <c r="I85" s="130"/>
    </row>
    <row r="86" spans="2:15" ht="19.5" customHeight="1" x14ac:dyDescent="0.55000000000000004">
      <c r="B86" s="100" t="s">
        <v>19</v>
      </c>
      <c r="C86" s="294"/>
      <c r="D86" s="294"/>
      <c r="E86" s="294"/>
      <c r="F86" s="294"/>
      <c r="G86" s="294"/>
      <c r="H86" s="294"/>
      <c r="I86" s="299"/>
    </row>
    <row r="87" spans="2:15" ht="19.5" customHeight="1" thickBot="1" x14ac:dyDescent="0.6">
      <c r="B87" s="101" t="str">
        <f>IF(OR(E83="温水・冷水",E83="産業用蒸気",E83="産業用以外の蒸気"),"［MJ］","［L］")</f>
        <v>［L］</v>
      </c>
      <c r="C87" s="295"/>
      <c r="D87" s="295"/>
      <c r="E87" s="295"/>
      <c r="F87" s="295"/>
      <c r="G87" s="295"/>
      <c r="H87" s="295"/>
      <c r="I87" s="300"/>
    </row>
    <row r="88" spans="2:15" ht="19.5" customHeight="1" thickTop="1" thickBot="1" x14ac:dyDescent="0.6">
      <c r="B88" s="102" t="s">
        <v>18</v>
      </c>
      <c r="C88" s="64"/>
      <c r="D88" s="64"/>
      <c r="E88" s="64"/>
      <c r="F88" s="64"/>
      <c r="G88" s="64"/>
      <c r="H88" s="64"/>
      <c r="I88" s="65"/>
    </row>
    <row r="89" spans="2:15" ht="19.5" customHeight="1" x14ac:dyDescent="0.55000000000000004">
      <c r="B89" s="103" t="str">
        <f>B84</f>
        <v>年度を選択</v>
      </c>
      <c r="C89" s="97" t="s">
        <v>28</v>
      </c>
      <c r="D89" s="97" t="s">
        <v>27</v>
      </c>
      <c r="E89" s="96" t="s">
        <v>26</v>
      </c>
      <c r="F89" s="97" t="s">
        <v>25</v>
      </c>
      <c r="G89" s="104" t="s">
        <v>24</v>
      </c>
      <c r="H89" s="304" t="s">
        <v>0</v>
      </c>
      <c r="I89" s="105" t="s">
        <v>23</v>
      </c>
    </row>
    <row r="90" spans="2:15" ht="19.5" customHeight="1" x14ac:dyDescent="0.55000000000000004">
      <c r="B90" s="99" t="s">
        <v>21</v>
      </c>
      <c r="C90" s="129"/>
      <c r="D90" s="129"/>
      <c r="E90" s="129"/>
      <c r="F90" s="129"/>
      <c r="G90" s="131"/>
      <c r="H90" s="305"/>
      <c r="I90" s="107" t="s">
        <v>20</v>
      </c>
    </row>
    <row r="91" spans="2:15" ht="19.5" customHeight="1" x14ac:dyDescent="0.55000000000000004">
      <c r="B91" s="100" t="s">
        <v>19</v>
      </c>
      <c r="C91" s="294"/>
      <c r="D91" s="294"/>
      <c r="E91" s="294"/>
      <c r="F91" s="294"/>
      <c r="G91" s="294"/>
      <c r="H91" s="297" t="str">
        <f>IF(ISERROR(12*SUM(C86:I87,C91:G92)/COUNT(C86:I87,C91:G92)),"",12*SUM(C86:I87,C91:G92)/COUNT(C86:I87,C91:G92))</f>
        <v/>
      </c>
      <c r="I91" s="306" t="str">
        <f>IF(AND(H91&lt;&gt;"",OR(B84="",E83="",B84="年度を選択",E83="エネルギー種別を選択")),"選択項目を確認",IF($E$83="温水・冷水",計算!J43,IF($E$83="産業用蒸気",計算!J44,IF($E$83="産業用以外の蒸気",計算!J45,IF($E$83="灯油",計算!J46,IF($E$83="軽油",計算!J47,IF($E$83="A重油",計算!J48,IF($E$83="B・Ｃ重油",計算!J49,""))))))))</f>
        <v/>
      </c>
    </row>
    <row r="92" spans="2:15" ht="19.5" customHeight="1" thickBot="1" x14ac:dyDescent="0.6">
      <c r="B92" s="108" t="str">
        <f>B87</f>
        <v>［L］</v>
      </c>
      <c r="C92" s="296"/>
      <c r="D92" s="296"/>
      <c r="E92" s="296"/>
      <c r="F92" s="296"/>
      <c r="G92" s="296"/>
      <c r="H92" s="298"/>
      <c r="I92" s="307"/>
    </row>
    <row r="93" spans="2:15" ht="19.5" customHeight="1" thickTop="1" thickBot="1" x14ac:dyDescent="0.6">
      <c r="B93" s="109" t="s">
        <v>18</v>
      </c>
      <c r="C93" s="66"/>
      <c r="D93" s="66"/>
      <c r="E93" s="66"/>
      <c r="F93" s="66"/>
      <c r="G93" s="66"/>
      <c r="H93" s="114" t="str">
        <f>IF(ISERROR(12*SUM(C88:I88,C93:G93)/COUNT(C88:I88,C93:G93)),"",12*SUM(C88:I88,C93:G93)/COUNT(C88:I88,C93:G93))</f>
        <v/>
      </c>
      <c r="I93" s="168">
        <f>IF(I91="選択項目を確認",1,0)</f>
        <v>0</v>
      </c>
    </row>
  </sheetData>
  <sheetProtection password="E6DC" sheet="1" objects="1" scenarios="1" formatCells="0" formatColumns="0" formatRows="0" selectLockedCells="1"/>
  <mergeCells count="96">
    <mergeCell ref="G86:G87"/>
    <mergeCell ref="H86:H87"/>
    <mergeCell ref="I86:I87"/>
    <mergeCell ref="H89:H90"/>
    <mergeCell ref="C91:C92"/>
    <mergeCell ref="D91:D92"/>
    <mergeCell ref="E91:E92"/>
    <mergeCell ref="F91:F92"/>
    <mergeCell ref="G91:G92"/>
    <mergeCell ref="H91:H92"/>
    <mergeCell ref="I91:I92"/>
    <mergeCell ref="E83:F83"/>
    <mergeCell ref="C86:C87"/>
    <mergeCell ref="D86:D87"/>
    <mergeCell ref="E86:E87"/>
    <mergeCell ref="F86:F87"/>
    <mergeCell ref="G73:G74"/>
    <mergeCell ref="H73:H74"/>
    <mergeCell ref="I73:I74"/>
    <mergeCell ref="H76:H77"/>
    <mergeCell ref="C78:C79"/>
    <mergeCell ref="D78:D79"/>
    <mergeCell ref="E78:E79"/>
    <mergeCell ref="F78:F79"/>
    <mergeCell ref="G78:G79"/>
    <mergeCell ref="H78:H79"/>
    <mergeCell ref="I78:I79"/>
    <mergeCell ref="E70:F70"/>
    <mergeCell ref="C73:C74"/>
    <mergeCell ref="D73:D74"/>
    <mergeCell ref="E73:E74"/>
    <mergeCell ref="F73:F74"/>
    <mergeCell ref="G60:G61"/>
    <mergeCell ref="H60:H61"/>
    <mergeCell ref="I60:I61"/>
    <mergeCell ref="H63:H64"/>
    <mergeCell ref="C65:C66"/>
    <mergeCell ref="D65:D66"/>
    <mergeCell ref="E65:E66"/>
    <mergeCell ref="F65:F66"/>
    <mergeCell ref="G65:G66"/>
    <mergeCell ref="H65:H66"/>
    <mergeCell ref="I65:I66"/>
    <mergeCell ref="E57:F57"/>
    <mergeCell ref="C60:C61"/>
    <mergeCell ref="D60:D61"/>
    <mergeCell ref="E60:E61"/>
    <mergeCell ref="F60:F61"/>
    <mergeCell ref="C52:C53"/>
    <mergeCell ref="D52:D53"/>
    <mergeCell ref="G39:G40"/>
    <mergeCell ref="H39:H40"/>
    <mergeCell ref="C47:C48"/>
    <mergeCell ref="D47:D48"/>
    <mergeCell ref="H52:H53"/>
    <mergeCell ref="E52:E53"/>
    <mergeCell ref="F52:F53"/>
    <mergeCell ref="G52:G53"/>
    <mergeCell ref="I39:I40"/>
    <mergeCell ref="I52:I53"/>
    <mergeCell ref="I47:I48"/>
    <mergeCell ref="E44:F44"/>
    <mergeCell ref="H47:H48"/>
    <mergeCell ref="E47:E48"/>
    <mergeCell ref="F47:F48"/>
    <mergeCell ref="G47:G48"/>
    <mergeCell ref="H50:H51"/>
    <mergeCell ref="C34:C35"/>
    <mergeCell ref="D34:D35"/>
    <mergeCell ref="E34:E35"/>
    <mergeCell ref="F34:F35"/>
    <mergeCell ref="G34:G35"/>
    <mergeCell ref="I34:I35"/>
    <mergeCell ref="C39:C40"/>
    <mergeCell ref="H20:H21"/>
    <mergeCell ref="I20:I21"/>
    <mergeCell ref="C25:C26"/>
    <mergeCell ref="I25:I26"/>
    <mergeCell ref="C20:C21"/>
    <mergeCell ref="D20:D21"/>
    <mergeCell ref="E20:E21"/>
    <mergeCell ref="F20:F21"/>
    <mergeCell ref="H34:H35"/>
    <mergeCell ref="H37:H38"/>
    <mergeCell ref="H23:H24"/>
    <mergeCell ref="D25:D26"/>
    <mergeCell ref="D39:D40"/>
    <mergeCell ref="E39:E40"/>
    <mergeCell ref="E16:F16"/>
    <mergeCell ref="G16:H16"/>
    <mergeCell ref="G20:G21"/>
    <mergeCell ref="F39:F40"/>
    <mergeCell ref="G25:G26"/>
    <mergeCell ref="H25:H26"/>
    <mergeCell ref="E25:E26"/>
    <mergeCell ref="F25:F26"/>
  </mergeCells>
  <phoneticPr fontId="2"/>
  <conditionalFormatting sqref="I39 I52 I65 I78 I91">
    <cfRule type="expression" dxfId="4" priority="4">
      <formula>I63="選択項目を確認"</formula>
    </cfRule>
  </conditionalFormatting>
  <conditionalFormatting sqref="G16">
    <cfRule type="expression" dxfId="3" priority="2">
      <formula>G16="選択項目を確認"</formula>
    </cfRule>
    <cfRule type="expression" dxfId="2" priority="3">
      <formula>G16="未入力"</formula>
    </cfRule>
  </conditionalFormatting>
  <conditionalFormatting sqref="I25 I39 I52 I65 I78 I91">
    <cfRule type="expression" dxfId="1" priority="1">
      <formula>I27=1</formula>
    </cfRule>
  </conditionalFormatting>
  <dataValidations xWindow="290" yWindow="382" count="4">
    <dataValidation allowBlank="1" showInputMessage="1" sqref="B19 B33 B46 B37:B38 B23:B24 B50:B51 B59 B63:B64 B72 B76:B77 B85 B89:B90"/>
    <dataValidation type="list" allowBlank="1" showInputMessage="1" sqref="B71 B18 B32 B45 B58 B84">
      <formula1>"年度を選択,2021年度,2020年度"</formula1>
    </dataValidation>
    <dataValidation allowBlank="1" sqref="C11:C12"/>
    <dataValidation allowBlank="1" showInputMessage="1" showErrorMessage="1" prompt="証憑等に記載されている使用期間を記入してください。" sqref="C19"/>
  </dataValidations>
  <pageMargins left="0.6692913385826772" right="0.31496062992125984" top="1.1023622047244095" bottom="0.82677165354330717" header="0.55118110236220474" footer="0.31496062992125984"/>
  <pageSetup paperSize="9" scale="92" fitToHeight="0" orientation="portrait" r:id="rId1"/>
  <headerFooter>
    <oddHeader>&amp;C&amp;20換気量・省エネ計算シート&amp;RVer.5.1</oddHeader>
  </headerFooter>
  <rowBreaks count="1" manualBreakCount="1">
    <brk id="55" max="9" man="1"/>
  </rowBreaks>
  <legacyDrawing r:id="rId2"/>
  <extLst>
    <ext xmlns:x14="http://schemas.microsoft.com/office/spreadsheetml/2009/9/main" uri="{CCE6A557-97BC-4b89-ADB6-D9C93CAAB3DF}">
      <x14:dataValidations xmlns:xm="http://schemas.microsoft.com/office/excel/2006/main" xWindow="290" yWindow="382" count="3">
        <x14:dataValidation type="list" allowBlank="1" showInputMessage="1">
          <x14:formula1>
            <xm:f>計算!$P$3:$P$12</xm:f>
          </x14:formula1>
          <xm:sqref>E44 E57 E70 E83</xm:sqref>
        </x14:dataValidation>
        <x14:dataValidation type="list" allowBlank="1" showInputMessage="1" showErrorMessage="1">
          <x14:formula1>
            <xm:f>計算!$N$3:$N$5</xm:f>
          </x14:formula1>
          <xm:sqref>E31</xm:sqref>
        </x14:dataValidation>
        <x14:dataValidation type="list" allowBlank="1" showInputMessage="1" showErrorMessage="1">
          <x14:formula1>
            <xm:f>計算!$O$3:$O$5</xm:f>
          </x14:formula1>
          <xm:sqref>F31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2:L39"/>
  <sheetViews>
    <sheetView zoomScaleNormal="100" zoomScaleSheetLayoutView="90" workbookViewId="0">
      <selection activeCell="I15" sqref="I15:J15"/>
    </sheetView>
  </sheetViews>
  <sheetFormatPr defaultColWidth="8.83203125" defaultRowHeight="17.399999999999999" x14ac:dyDescent="0.55000000000000004"/>
  <cols>
    <col min="1" max="1" width="2.33203125" style="92" customWidth="1"/>
    <col min="2" max="3" width="5.9140625" style="92" customWidth="1"/>
    <col min="4" max="4" width="4.83203125" style="92" customWidth="1"/>
    <col min="5" max="5" width="12.58203125" style="92" customWidth="1"/>
    <col min="6" max="10" width="9.1640625" style="92" customWidth="1"/>
    <col min="11" max="11" width="2.33203125" style="92" customWidth="1"/>
    <col min="12" max="12" width="10.4140625" style="92" customWidth="1"/>
    <col min="13" max="15" width="8.5" style="92" customWidth="1"/>
    <col min="16" max="16" width="9.5" style="92" customWidth="1"/>
    <col min="17" max="17" width="8.5" style="92" customWidth="1"/>
    <col min="18" max="18" width="8.83203125" style="92"/>
    <col min="19" max="19" width="17.1640625" style="92" customWidth="1"/>
    <col min="20" max="20" width="8.1640625" style="92" customWidth="1"/>
    <col min="21" max="21" width="10.5" style="92" customWidth="1"/>
    <col min="22" max="22" width="10.33203125" style="92" bestFit="1" customWidth="1"/>
    <col min="23" max="24" width="8.83203125" style="92"/>
    <col min="25" max="25" width="9.58203125" style="92" bestFit="1" customWidth="1"/>
    <col min="26" max="26" width="8.5" style="92" customWidth="1"/>
    <col min="27" max="27" width="9.33203125" style="92" customWidth="1"/>
    <col min="28" max="28" width="9.33203125" style="92" bestFit="1" customWidth="1"/>
    <col min="29" max="16384" width="8.83203125" style="92"/>
  </cols>
  <sheetData>
    <row r="2" spans="2:12" s="35" customFormat="1" ht="19.2" x14ac:dyDescent="0.55000000000000004">
      <c r="B2" s="81" t="s">
        <v>214</v>
      </c>
      <c r="C2" s="81"/>
    </row>
    <row r="3" spans="2:12" ht="19.2" x14ac:dyDescent="0.55000000000000004">
      <c r="B3" s="91" t="s">
        <v>322</v>
      </c>
      <c r="K3" s="35"/>
    </row>
    <row r="4" spans="2:12" s="35" customFormat="1" ht="19.2" x14ac:dyDescent="0.55000000000000004">
      <c r="B4" s="91" t="s">
        <v>323</v>
      </c>
      <c r="C4" s="81"/>
    </row>
    <row r="5" spans="2:12" ht="19.2" x14ac:dyDescent="0.55000000000000004">
      <c r="B5" s="91" t="s">
        <v>308</v>
      </c>
      <c r="C5" s="91"/>
      <c r="L5" s="35"/>
    </row>
    <row r="6" spans="2:12" ht="19.2" x14ac:dyDescent="0.55000000000000004">
      <c r="B6" s="91" t="s">
        <v>309</v>
      </c>
      <c r="C6" s="91"/>
      <c r="L6" s="35"/>
    </row>
    <row r="7" spans="2:12" ht="19.2" x14ac:dyDescent="0.55000000000000004">
      <c r="B7" s="91"/>
      <c r="C7" s="91"/>
      <c r="L7" s="35"/>
    </row>
    <row r="8" spans="2:12" s="35" customFormat="1" ht="19.2" x14ac:dyDescent="0.55000000000000004">
      <c r="B8" s="320" t="s">
        <v>215</v>
      </c>
      <c r="C8" s="321"/>
      <c r="D8" s="37"/>
      <c r="E8" s="79" t="s">
        <v>285</v>
      </c>
    </row>
    <row r="9" spans="2:12" s="35" customFormat="1" ht="19.2" x14ac:dyDescent="0.55000000000000004">
      <c r="D9" s="38"/>
      <c r="E9" s="80" t="s">
        <v>142</v>
      </c>
      <c r="K9" s="68"/>
    </row>
    <row r="10" spans="2:12" s="35" customFormat="1" ht="19.2" x14ac:dyDescent="0.55000000000000004">
      <c r="D10" s="39"/>
      <c r="E10" s="80" t="s">
        <v>143</v>
      </c>
    </row>
    <row r="11" spans="2:12" s="35" customFormat="1" ht="19.2" x14ac:dyDescent="0.55000000000000004">
      <c r="E11" s="80"/>
    </row>
    <row r="12" spans="2:12" s="35" customFormat="1" ht="26.25" customHeight="1" x14ac:dyDescent="0.55000000000000004">
      <c r="B12" s="36"/>
      <c r="C12" s="36"/>
      <c r="D12" s="36"/>
      <c r="K12" s="188"/>
    </row>
    <row r="13" spans="2:12" ht="43.5" customHeight="1" x14ac:dyDescent="0.55000000000000004">
      <c r="B13" s="93" t="s">
        <v>324</v>
      </c>
      <c r="C13" s="93"/>
      <c r="G13" s="292" t="s">
        <v>264</v>
      </c>
      <c r="H13" s="292"/>
      <c r="I13" s="293" t="str">
        <f>IF(OR(I15="",I15="サーバーの設置を確認"),"確認事項を選択",IF(I15="はい",IF(I28=1,"未入力",IF(F33&lt;1500,"該当","非該当")),IF(OR(F23&lt;=0,F23=""),"未入力",IF(F23&lt;1500,"該当","非該当"))))</f>
        <v>確認事項を選択</v>
      </c>
      <c r="J13" s="293"/>
      <c r="L13" s="35"/>
    </row>
    <row r="14" spans="2:12" ht="19.5" customHeight="1" x14ac:dyDescent="0.55000000000000004"/>
    <row r="15" spans="2:12" ht="34.5" customHeight="1" x14ac:dyDescent="0.55000000000000004">
      <c r="C15" s="317" t="s">
        <v>356</v>
      </c>
      <c r="D15" s="317"/>
      <c r="E15" s="317"/>
      <c r="F15" s="317"/>
      <c r="G15" s="317"/>
      <c r="H15" s="318"/>
      <c r="I15" s="311" t="s">
        <v>359</v>
      </c>
      <c r="J15" s="312"/>
    </row>
    <row r="16" spans="2:12" ht="33" customHeight="1" x14ac:dyDescent="0.55000000000000004">
      <c r="D16" s="176"/>
      <c r="E16" s="319" t="s">
        <v>357</v>
      </c>
      <c r="F16" s="319"/>
      <c r="G16" s="319"/>
      <c r="H16" s="319"/>
      <c r="I16" s="175"/>
      <c r="J16" s="175"/>
      <c r="K16" s="175"/>
    </row>
    <row r="17" spans="3:9" ht="19.5" customHeight="1" x14ac:dyDescent="0.55000000000000004">
      <c r="C17" s="160"/>
      <c r="D17" s="35"/>
      <c r="E17" s="149"/>
    </row>
    <row r="18" spans="3:9" x14ac:dyDescent="0.55000000000000004">
      <c r="C18" s="92" t="s">
        <v>310</v>
      </c>
    </row>
    <row r="19" spans="3:9" ht="40.5" customHeight="1" x14ac:dyDescent="0.55000000000000004">
      <c r="C19" s="313" t="s">
        <v>298</v>
      </c>
      <c r="D19" s="313"/>
      <c r="E19" s="313"/>
      <c r="F19" s="323" t="s">
        <v>121</v>
      </c>
      <c r="G19" s="323"/>
      <c r="H19" s="159"/>
    </row>
    <row r="20" spans="3:9" ht="40.5" customHeight="1" x14ac:dyDescent="0.55000000000000004">
      <c r="C20" s="313" t="s">
        <v>299</v>
      </c>
      <c r="D20" s="313"/>
      <c r="E20" s="313"/>
      <c r="F20" s="316"/>
      <c r="G20" s="316"/>
      <c r="H20" s="159" t="s">
        <v>300</v>
      </c>
    </row>
    <row r="21" spans="3:9" ht="40.5" customHeight="1" x14ac:dyDescent="0.55000000000000004">
      <c r="C21" s="315" t="s">
        <v>318</v>
      </c>
      <c r="D21" s="313"/>
      <c r="E21" s="313"/>
      <c r="F21" s="316"/>
      <c r="G21" s="316"/>
      <c r="H21" s="159" t="s">
        <v>314</v>
      </c>
    </row>
    <row r="22" spans="3:9" ht="40.5" customHeight="1" x14ac:dyDescent="0.55000000000000004">
      <c r="C22" s="313" t="s">
        <v>326</v>
      </c>
      <c r="D22" s="313"/>
      <c r="E22" s="313"/>
      <c r="F22" s="314" t="str">
        <f>IF(F20="","",IF(ISERROR(F20*F21*VLOOKUP($F$19,計算!$AB$4:$AC$8,2,FALSE)/1000),"事業所等の区分を選択",(F20*F21*VLOOKUP($F$19,計算!$AB$4:$AC$8,2,FALSE)/1000)))</f>
        <v/>
      </c>
      <c r="G22" s="314"/>
      <c r="H22" s="159" t="s">
        <v>315</v>
      </c>
    </row>
    <row r="23" spans="3:9" ht="40.5" customHeight="1" x14ac:dyDescent="0.55000000000000004">
      <c r="C23" s="313" t="s">
        <v>306</v>
      </c>
      <c r="D23" s="313"/>
      <c r="E23" s="313"/>
      <c r="F23" s="314" t="str">
        <f>IF(I15="はい","",IF(ISERROR(F22*計算!$C$7),"",F22*計算!$C$7))</f>
        <v/>
      </c>
      <c r="G23" s="314"/>
      <c r="H23" s="159" t="s">
        <v>316</v>
      </c>
    </row>
    <row r="26" spans="3:9" x14ac:dyDescent="0.55000000000000004">
      <c r="C26" s="92" t="s">
        <v>311</v>
      </c>
    </row>
    <row r="27" spans="3:9" ht="40.5" customHeight="1" x14ac:dyDescent="0.55000000000000004">
      <c r="C27" s="313" t="s">
        <v>298</v>
      </c>
      <c r="D27" s="313"/>
      <c r="E27" s="313"/>
      <c r="F27" s="322" t="s">
        <v>358</v>
      </c>
      <c r="G27" s="322"/>
      <c r="H27" s="159"/>
    </row>
    <row r="28" spans="3:9" ht="40.5" customHeight="1" x14ac:dyDescent="0.55000000000000004">
      <c r="C28" s="313" t="s">
        <v>312</v>
      </c>
      <c r="D28" s="313"/>
      <c r="E28" s="313"/>
      <c r="F28" s="316"/>
      <c r="G28" s="316"/>
      <c r="H28" s="159" t="s">
        <v>300</v>
      </c>
      <c r="I28" s="177">
        <f>IF(OR(F28="",F29="",F30="",F31="",F28&lt;=0,F29&lt;=0,F30&lt;=0,F31&lt;=0),1,0)</f>
        <v>1</v>
      </c>
    </row>
    <row r="29" spans="3:9" ht="40.5" customHeight="1" x14ac:dyDescent="0.55000000000000004">
      <c r="C29" s="315" t="s">
        <v>317</v>
      </c>
      <c r="D29" s="313"/>
      <c r="E29" s="313"/>
      <c r="F29" s="316"/>
      <c r="G29" s="316"/>
      <c r="H29" s="159" t="s">
        <v>314</v>
      </c>
    </row>
    <row r="30" spans="3:9" ht="40.5" customHeight="1" x14ac:dyDescent="0.55000000000000004">
      <c r="C30" s="315" t="s">
        <v>313</v>
      </c>
      <c r="D30" s="313"/>
      <c r="E30" s="313"/>
      <c r="F30" s="316"/>
      <c r="G30" s="316"/>
      <c r="H30" s="159" t="s">
        <v>300</v>
      </c>
    </row>
    <row r="31" spans="3:9" ht="40.5" customHeight="1" x14ac:dyDescent="0.55000000000000004">
      <c r="C31" s="315" t="s">
        <v>319</v>
      </c>
      <c r="D31" s="313"/>
      <c r="E31" s="313"/>
      <c r="F31" s="316"/>
      <c r="G31" s="316"/>
      <c r="H31" s="159" t="s">
        <v>314</v>
      </c>
    </row>
    <row r="32" spans="3:9" ht="40.5" customHeight="1" x14ac:dyDescent="0.55000000000000004">
      <c r="C32" s="313" t="s">
        <v>326</v>
      </c>
      <c r="D32" s="313"/>
      <c r="E32" s="313"/>
      <c r="F32" s="314" t="str">
        <f>IF(F28="","",IF(ISERROR(((F28-F30)*F29*VLOOKUP(F27,計算!$AB$4:$AC$8,2,FALSE)+(F30*F31*1.4))/1000),"",((F28-F30)*F29*VLOOKUP(F27,計算!$AB$4:$AC$8,2,FALSE)+(F30*F31*1.4))/1000))</f>
        <v/>
      </c>
      <c r="G32" s="314"/>
      <c r="H32" s="159" t="s">
        <v>315</v>
      </c>
    </row>
    <row r="33" spans="3:8" ht="40.5" customHeight="1" x14ac:dyDescent="0.55000000000000004">
      <c r="C33" s="313" t="s">
        <v>306</v>
      </c>
      <c r="D33" s="313"/>
      <c r="E33" s="313"/>
      <c r="F33" s="314" t="str">
        <f>IF(I15="いいえ","",IF(ISERROR(F32*計算!$C$7),"",F32*計算!$C$7))</f>
        <v/>
      </c>
      <c r="G33" s="314"/>
      <c r="H33" s="159" t="s">
        <v>316</v>
      </c>
    </row>
    <row r="35" spans="3:8" x14ac:dyDescent="0.55000000000000004">
      <c r="C35" s="94" t="s">
        <v>307</v>
      </c>
    </row>
    <row r="36" spans="3:8" x14ac:dyDescent="0.55000000000000004">
      <c r="C36" s="150" t="s">
        <v>290</v>
      </c>
      <c r="D36" s="92" t="s">
        <v>294</v>
      </c>
    </row>
    <row r="37" spans="3:8" ht="19.2" x14ac:dyDescent="0.55000000000000004">
      <c r="C37" s="150" t="s">
        <v>291</v>
      </c>
      <c r="D37" s="92" t="s">
        <v>295</v>
      </c>
    </row>
    <row r="38" spans="3:8" ht="19.2" x14ac:dyDescent="0.55000000000000004">
      <c r="C38" s="150" t="s">
        <v>292</v>
      </c>
      <c r="D38" s="92" t="s">
        <v>296</v>
      </c>
    </row>
    <row r="39" spans="3:8" x14ac:dyDescent="0.55000000000000004">
      <c r="C39" s="150" t="s">
        <v>293</v>
      </c>
      <c r="D39" s="92" t="s">
        <v>297</v>
      </c>
    </row>
  </sheetData>
  <sheetProtection password="E6DC" sheet="1" objects="1" scenarios="1" formatCells="0" formatColumns="0" formatRows="0" selectLockedCells="1"/>
  <mergeCells count="30">
    <mergeCell ref="B8:C8"/>
    <mergeCell ref="C27:E27"/>
    <mergeCell ref="F27:G27"/>
    <mergeCell ref="C28:E28"/>
    <mergeCell ref="F28:G28"/>
    <mergeCell ref="G13:H13"/>
    <mergeCell ref="C20:E20"/>
    <mergeCell ref="C19:E19"/>
    <mergeCell ref="C21:E21"/>
    <mergeCell ref="C22:E22"/>
    <mergeCell ref="F19:G19"/>
    <mergeCell ref="F20:G20"/>
    <mergeCell ref="F21:G21"/>
    <mergeCell ref="F22:G22"/>
    <mergeCell ref="C23:E23"/>
    <mergeCell ref="F23:G23"/>
    <mergeCell ref="I13:J13"/>
    <mergeCell ref="I15:J15"/>
    <mergeCell ref="C32:E32"/>
    <mergeCell ref="F32:G32"/>
    <mergeCell ref="C33:E33"/>
    <mergeCell ref="F33:G33"/>
    <mergeCell ref="C30:E30"/>
    <mergeCell ref="F30:G30"/>
    <mergeCell ref="C31:E31"/>
    <mergeCell ref="F31:G31"/>
    <mergeCell ref="C29:E29"/>
    <mergeCell ref="F29:G29"/>
    <mergeCell ref="C15:H15"/>
    <mergeCell ref="E16:H16"/>
  </mergeCells>
  <phoneticPr fontId="2"/>
  <conditionalFormatting sqref="I13:J13">
    <cfRule type="expression" dxfId="0" priority="1">
      <formula>I13="未入力"</formula>
    </cfRule>
  </conditionalFormatting>
  <dataValidations xWindow="525" yWindow="361" count="3">
    <dataValidation allowBlank="1" sqref="D8:D9"/>
    <dataValidation allowBlank="1" showInputMessage="1" showErrorMessage="1" prompt="事務所内にサーバーを設置している区画がある場合" sqref="F27:G27"/>
    <dataValidation type="list" allowBlank="1" showInputMessage="1" showErrorMessage="1" sqref="I15:J15">
      <formula1>"サーバーの設置を確認,はい,いいえ"</formula1>
    </dataValidation>
  </dataValidations>
  <pageMargins left="0.6692913385826772" right="0.31496062992125984" top="1.1023622047244095" bottom="0.82677165354330717" header="0.55118110236220474" footer="0.31496062992125984"/>
  <pageSetup paperSize="9" scale="87" fitToHeight="0" orientation="portrait" r:id="rId1"/>
  <headerFooter>
    <oddHeader>&amp;C&amp;20換気量・省エネ計算シート&amp;RVer.5.1</oddHeader>
  </headerFooter>
  <legacyDrawing r:id="rId2"/>
  <extLst>
    <ext xmlns:x14="http://schemas.microsoft.com/office/spreadsheetml/2009/9/main" uri="{CCE6A557-97BC-4b89-ADB6-D9C93CAAB3DF}">
      <x14:dataValidations xmlns:xm="http://schemas.microsoft.com/office/excel/2006/main" xWindow="525" yWindow="361" count="1">
        <x14:dataValidation type="list" allowBlank="1" showInputMessage="1" showErrorMessage="1" prompt="事務所等の区分を選択してください。">
          <x14:formula1>
            <xm:f>計算!$AB$3:$AB$8</xm:f>
          </x14:formula1>
          <xm:sqref>F19:G19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計算</vt:lpstr>
      <vt:lpstr>1.換気～比較表</vt:lpstr>
      <vt:lpstr>2-3.設備仕様入力</vt:lpstr>
      <vt:lpstr>4.エネルギー使用量</vt:lpstr>
      <vt:lpstr>5.概算使用量</vt:lpstr>
      <vt:lpstr>'1.換気～比較表'!Print_Area</vt:lpstr>
      <vt:lpstr>'2-3.設備仕様入力'!Print_Area</vt:lpstr>
      <vt:lpstr>'4.エネルギー使用量'!Print_Area</vt:lpstr>
      <vt:lpstr>'5.概算使用量'!Print_Area</vt:lpstr>
      <vt:lpstr>'4.エネルギー使用量'!Print_Titles</vt:lpstr>
      <vt:lpstr>'5.概算使用量'!Print_Titles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PC20A06JR003</dc:creator>
  <cp:lastModifiedBy>PC19B60JS086</cp:lastModifiedBy>
  <cp:lastPrinted>2021-12-21T05:02:34Z</cp:lastPrinted>
  <dcterms:created xsi:type="dcterms:W3CDTF">2021-06-30T04:19:28Z</dcterms:created>
  <dcterms:modified xsi:type="dcterms:W3CDTF">2021-12-21T05:02:43Z</dcterms:modified>
</cp:coreProperties>
</file>