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４\5_省エネ型換気・空調設備導入支援事業\4_要綱・様式・チェックシート\5_様式\5_計算シート\◆令和４年度_計算シート\"/>
    </mc:Choice>
  </mc:AlternateContent>
  <workbookProtection workbookPassword="DFA8" lockStructure="1"/>
  <bookViews>
    <workbookView xWindow="0" yWindow="43200" windowWidth="20490" windowHeight="8805" tabRatio="712" firstSheet="1" activeTab="1"/>
  </bookViews>
  <sheets>
    <sheet name="計算" sheetId="5" state="hidden" r:id="rId1"/>
    <sheet name="1.換気～比較表" sheetId="10" r:id="rId2"/>
    <sheet name="2-3.設備仕様入力" sheetId="2" r:id="rId3"/>
    <sheet name="4.エネルギー使用量" sheetId="4" r:id="rId4"/>
    <sheet name="5.概算使用量" sheetId="17" r:id="rId5"/>
  </sheets>
  <definedNames>
    <definedName name="LPG">計算!$O$10:$O$12</definedName>
    <definedName name="_xlnm.Print_Area" localSheetId="1">'1.換気～比較表'!$A$20:$BL$35</definedName>
    <definedName name="_xlnm.Print_Area" localSheetId="2">'2-3.設備仕様入力'!$A$21:$Y$195</definedName>
    <definedName name="_xlnm.Print_Area" localSheetId="3">'4.エネルギー使用量'!$A$18:$Q$86</definedName>
    <definedName name="_xlnm.Print_Area" localSheetId="4">'5.概算使用量'!$A$13:$K$41</definedName>
    <definedName name="_xlnm.Print_Titles" localSheetId="1">'1.換気～比較表'!$B:$D</definedName>
    <definedName name="_xlnm.Print_Titles" localSheetId="3">'4.エネルギー使用量'!$18:$20</definedName>
    <definedName name="_xlnm.Print_Titles" localSheetId="4">'5.概算使用量'!$14:$15</definedName>
    <definedName name="都市ガス">計算!$O$7:$O$8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0" l="1"/>
  <c r="J40" i="10"/>
  <c r="M40" i="10"/>
  <c r="N40" i="10"/>
  <c r="O40" i="10"/>
  <c r="Q40" i="10"/>
  <c r="R40" i="10"/>
  <c r="U40" i="10"/>
  <c r="V40" i="10"/>
  <c r="Y40" i="10"/>
  <c r="Z40" i="10"/>
  <c r="AC40" i="10"/>
  <c r="AD40" i="10"/>
  <c r="AG40" i="10"/>
  <c r="AH40" i="10"/>
  <c r="AK40" i="10"/>
  <c r="AL40" i="10"/>
  <c r="AO40" i="10"/>
  <c r="AP40" i="10"/>
  <c r="AS40" i="10"/>
  <c r="AT40" i="10"/>
  <c r="AW40" i="10"/>
  <c r="AX40" i="10"/>
  <c r="BA40" i="10"/>
  <c r="BB40" i="10"/>
  <c r="BC40" i="10"/>
  <c r="BE40" i="10"/>
  <c r="BF40" i="10"/>
  <c r="BI40" i="10"/>
  <c r="BJ40" i="10"/>
  <c r="F37" i="10"/>
  <c r="F40" i="10" s="1"/>
  <c r="G37" i="10"/>
  <c r="G40" i="10" s="1"/>
  <c r="H37" i="10"/>
  <c r="H40" i="10" s="1"/>
  <c r="I37" i="10"/>
  <c r="J37" i="10"/>
  <c r="K37" i="10"/>
  <c r="K40" i="10" s="1"/>
  <c r="L37" i="10"/>
  <c r="L40" i="10" s="1"/>
  <c r="M37" i="10"/>
  <c r="N37" i="10"/>
  <c r="O37" i="10"/>
  <c r="P37" i="10"/>
  <c r="P40" i="10" s="1"/>
  <c r="Q37" i="10"/>
  <c r="R37" i="10"/>
  <c r="S37" i="10"/>
  <c r="S40" i="10" s="1"/>
  <c r="T37" i="10"/>
  <c r="T40" i="10" s="1"/>
  <c r="U37" i="10"/>
  <c r="V37" i="10"/>
  <c r="W37" i="10"/>
  <c r="W40" i="10" s="1"/>
  <c r="X37" i="10"/>
  <c r="X40" i="10" s="1"/>
  <c r="Y37" i="10"/>
  <c r="Z37" i="10"/>
  <c r="AA37" i="10"/>
  <c r="AA40" i="10" s="1"/>
  <c r="AB37" i="10"/>
  <c r="AB40" i="10" s="1"/>
  <c r="AC37" i="10"/>
  <c r="AD37" i="10"/>
  <c r="AE37" i="10"/>
  <c r="AE40" i="10" s="1"/>
  <c r="AF37" i="10"/>
  <c r="AF40" i="10" s="1"/>
  <c r="AG37" i="10"/>
  <c r="AH37" i="10"/>
  <c r="AI37" i="10"/>
  <c r="AI40" i="10" s="1"/>
  <c r="AJ37" i="10"/>
  <c r="AJ40" i="10" s="1"/>
  <c r="AK37" i="10"/>
  <c r="AL37" i="10"/>
  <c r="AM37" i="10"/>
  <c r="AM40" i="10" s="1"/>
  <c r="AN37" i="10"/>
  <c r="AN40" i="10" s="1"/>
  <c r="AO37" i="10"/>
  <c r="AP37" i="10"/>
  <c r="AQ37" i="10"/>
  <c r="AQ40" i="10" s="1"/>
  <c r="AR37" i="10"/>
  <c r="AR40" i="10" s="1"/>
  <c r="AS37" i="10"/>
  <c r="AT37" i="10"/>
  <c r="AU37" i="10"/>
  <c r="AU40" i="10" s="1"/>
  <c r="AV37" i="10"/>
  <c r="AV40" i="10" s="1"/>
  <c r="AW37" i="10"/>
  <c r="AX37" i="10"/>
  <c r="AY37" i="10"/>
  <c r="AY40" i="10" s="1"/>
  <c r="AZ37" i="10"/>
  <c r="AZ40" i="10" s="1"/>
  <c r="BA37" i="10"/>
  <c r="BB37" i="10"/>
  <c r="BC37" i="10"/>
  <c r="BD37" i="10"/>
  <c r="BD40" i="10" s="1"/>
  <c r="BE37" i="10"/>
  <c r="BF37" i="10"/>
  <c r="BG37" i="10"/>
  <c r="BG40" i="10" s="1"/>
  <c r="BH37" i="10"/>
  <c r="BH40" i="10" s="1"/>
  <c r="BI37" i="10"/>
  <c r="BJ37" i="10"/>
  <c r="BK37" i="10"/>
  <c r="BK40" i="10" s="1"/>
  <c r="BL37" i="10"/>
  <c r="BL40" i="10" s="1"/>
  <c r="E37" i="10"/>
  <c r="E40" i="10" s="1"/>
  <c r="G42" i="10" l="1"/>
  <c r="F42" i="10"/>
  <c r="G32" i="10"/>
  <c r="H42" i="10"/>
  <c r="I32" i="10"/>
  <c r="J32" i="10"/>
  <c r="L32" i="10"/>
  <c r="N32" i="10"/>
  <c r="O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L32" i="10"/>
  <c r="I33" i="10"/>
  <c r="J33" i="10"/>
  <c r="L33" i="10"/>
  <c r="N33" i="10"/>
  <c r="O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L33" i="10"/>
  <c r="I34" i="10"/>
  <c r="I38" i="10" s="1"/>
  <c r="J34" i="10"/>
  <c r="J38" i="10" s="1"/>
  <c r="L34" i="10"/>
  <c r="L38" i="10" s="1"/>
  <c r="N34" i="10"/>
  <c r="N38" i="10" s="1"/>
  <c r="O34" i="10"/>
  <c r="O38" i="10" s="1"/>
  <c r="Q34" i="10"/>
  <c r="Q38" i="10" s="1"/>
  <c r="R34" i="10"/>
  <c r="R38" i="10" s="1"/>
  <c r="S34" i="10"/>
  <c r="S38" i="10" s="1"/>
  <c r="T34" i="10"/>
  <c r="T38" i="10" s="1"/>
  <c r="U34" i="10"/>
  <c r="U38" i="10" s="1"/>
  <c r="V34" i="10"/>
  <c r="V38" i="10" s="1"/>
  <c r="W34" i="10"/>
  <c r="W38" i="10" s="1"/>
  <c r="X34" i="10"/>
  <c r="X38" i="10" s="1"/>
  <c r="Y34" i="10"/>
  <c r="Y38" i="10" s="1"/>
  <c r="Z34" i="10"/>
  <c r="Z38" i="10" s="1"/>
  <c r="AA34" i="10"/>
  <c r="AA38" i="10" s="1"/>
  <c r="AB34" i="10"/>
  <c r="AB38" i="10" s="1"/>
  <c r="AC34" i="10"/>
  <c r="AC38" i="10" s="1"/>
  <c r="AD34" i="10"/>
  <c r="AD38" i="10" s="1"/>
  <c r="AE34" i="10"/>
  <c r="AE38" i="10" s="1"/>
  <c r="AF34" i="10"/>
  <c r="AF38" i="10" s="1"/>
  <c r="AG34" i="10"/>
  <c r="AG38" i="10" s="1"/>
  <c r="AH34" i="10"/>
  <c r="AH38" i="10" s="1"/>
  <c r="AI34" i="10"/>
  <c r="AI38" i="10" s="1"/>
  <c r="AJ34" i="10"/>
  <c r="AJ38" i="10" s="1"/>
  <c r="AK34" i="10"/>
  <c r="AK38" i="10" s="1"/>
  <c r="AL34" i="10"/>
  <c r="AL38" i="10" s="1"/>
  <c r="AM34" i="10"/>
  <c r="AM38" i="10" s="1"/>
  <c r="AN34" i="10"/>
  <c r="AN38" i="10" s="1"/>
  <c r="AO34" i="10"/>
  <c r="AO38" i="10" s="1"/>
  <c r="AP34" i="10"/>
  <c r="AP38" i="10" s="1"/>
  <c r="AQ34" i="10"/>
  <c r="AQ38" i="10" s="1"/>
  <c r="AR34" i="10"/>
  <c r="AR38" i="10" s="1"/>
  <c r="AS34" i="10"/>
  <c r="AS38" i="10" s="1"/>
  <c r="AT34" i="10"/>
  <c r="AT38" i="10" s="1"/>
  <c r="AU34" i="10"/>
  <c r="AU38" i="10" s="1"/>
  <c r="AV34" i="10"/>
  <c r="AV38" i="10" s="1"/>
  <c r="AW34" i="10"/>
  <c r="AW38" i="10" s="1"/>
  <c r="AX34" i="10"/>
  <c r="AX38" i="10" s="1"/>
  <c r="AY34" i="10"/>
  <c r="AY38" i="10" s="1"/>
  <c r="AZ34" i="10"/>
  <c r="AZ38" i="10" s="1"/>
  <c r="BA34" i="10"/>
  <c r="BA38" i="10" s="1"/>
  <c r="BB34" i="10"/>
  <c r="BB38" i="10" s="1"/>
  <c r="BC34" i="10"/>
  <c r="BC38" i="10" s="1"/>
  <c r="BD34" i="10"/>
  <c r="BD38" i="10" s="1"/>
  <c r="BE34" i="10"/>
  <c r="BE38" i="10" s="1"/>
  <c r="BF34" i="10"/>
  <c r="BF38" i="10" s="1"/>
  <c r="BG34" i="10"/>
  <c r="BG38" i="10" s="1"/>
  <c r="BH34" i="10"/>
  <c r="BH38" i="10" s="1"/>
  <c r="BI34" i="10"/>
  <c r="BI38" i="10" s="1"/>
  <c r="BJ34" i="10"/>
  <c r="BJ38" i="10" s="1"/>
  <c r="BL34" i="10"/>
  <c r="BL38" i="10" s="1"/>
  <c r="I35" i="10"/>
  <c r="I39" i="10" s="1"/>
  <c r="J35" i="10"/>
  <c r="J39" i="10" s="1"/>
  <c r="L35" i="10"/>
  <c r="L39" i="10" s="1"/>
  <c r="N35" i="10"/>
  <c r="N39" i="10" s="1"/>
  <c r="O35" i="10"/>
  <c r="O39" i="10" s="1"/>
  <c r="Q35" i="10"/>
  <c r="Q39" i="10" s="1"/>
  <c r="R35" i="10"/>
  <c r="R39" i="10" s="1"/>
  <c r="S35" i="10"/>
  <c r="S39" i="10" s="1"/>
  <c r="T35" i="10"/>
  <c r="T39" i="10" s="1"/>
  <c r="U35" i="10"/>
  <c r="U39" i="10" s="1"/>
  <c r="V35" i="10"/>
  <c r="V39" i="10" s="1"/>
  <c r="W35" i="10"/>
  <c r="W39" i="10" s="1"/>
  <c r="X35" i="10"/>
  <c r="X39" i="10" s="1"/>
  <c r="Y35" i="10"/>
  <c r="Y39" i="10" s="1"/>
  <c r="Z35" i="10"/>
  <c r="Z39" i="10" s="1"/>
  <c r="AA35" i="10"/>
  <c r="AA39" i="10" s="1"/>
  <c r="AB35" i="10"/>
  <c r="AB39" i="10" s="1"/>
  <c r="AC35" i="10"/>
  <c r="AC39" i="10" s="1"/>
  <c r="AD35" i="10"/>
  <c r="AD39" i="10" s="1"/>
  <c r="AE35" i="10"/>
  <c r="AE39" i="10" s="1"/>
  <c r="AF35" i="10"/>
  <c r="AF39" i="10" s="1"/>
  <c r="AG35" i="10"/>
  <c r="AG39" i="10" s="1"/>
  <c r="AH35" i="10"/>
  <c r="AH39" i="10" s="1"/>
  <c r="AI35" i="10"/>
  <c r="AI39" i="10" s="1"/>
  <c r="AJ35" i="10"/>
  <c r="AJ39" i="10" s="1"/>
  <c r="AK35" i="10"/>
  <c r="AK39" i="10" s="1"/>
  <c r="AL35" i="10"/>
  <c r="AL39" i="10" s="1"/>
  <c r="AM35" i="10"/>
  <c r="AM39" i="10" s="1"/>
  <c r="AN35" i="10"/>
  <c r="AN39" i="10" s="1"/>
  <c r="AO35" i="10"/>
  <c r="AO39" i="10" s="1"/>
  <c r="AP35" i="10"/>
  <c r="AP39" i="10" s="1"/>
  <c r="AQ35" i="10"/>
  <c r="AQ39" i="10" s="1"/>
  <c r="AR35" i="10"/>
  <c r="AR39" i="10" s="1"/>
  <c r="AS35" i="10"/>
  <c r="AS39" i="10" s="1"/>
  <c r="AT35" i="10"/>
  <c r="AT39" i="10" s="1"/>
  <c r="AU35" i="10"/>
  <c r="AU39" i="10" s="1"/>
  <c r="AV35" i="10"/>
  <c r="AV39" i="10" s="1"/>
  <c r="AW35" i="10"/>
  <c r="AW39" i="10" s="1"/>
  <c r="AX35" i="10"/>
  <c r="AX39" i="10" s="1"/>
  <c r="AY35" i="10"/>
  <c r="AY39" i="10" s="1"/>
  <c r="AZ35" i="10"/>
  <c r="AZ39" i="10" s="1"/>
  <c r="BA35" i="10"/>
  <c r="BA39" i="10" s="1"/>
  <c r="BB35" i="10"/>
  <c r="BB39" i="10" s="1"/>
  <c r="BC35" i="10"/>
  <c r="BC39" i="10" s="1"/>
  <c r="BD35" i="10"/>
  <c r="BD39" i="10" s="1"/>
  <c r="BE35" i="10"/>
  <c r="BE39" i="10" s="1"/>
  <c r="BF35" i="10"/>
  <c r="BF39" i="10" s="1"/>
  <c r="BG35" i="10"/>
  <c r="BG39" i="10" s="1"/>
  <c r="BH35" i="10"/>
  <c r="BH39" i="10" s="1"/>
  <c r="BI35" i="10"/>
  <c r="BI39" i="10" s="1"/>
  <c r="BJ35" i="10"/>
  <c r="BJ39" i="10" s="1"/>
  <c r="BL35" i="10"/>
  <c r="BL39" i="10" s="1"/>
  <c r="J36" i="10"/>
  <c r="E36" i="10"/>
  <c r="K33" i="10"/>
  <c r="BG41" i="10" l="1"/>
  <c r="AY41" i="10"/>
  <c r="AQ41" i="10"/>
  <c r="AI41" i="10"/>
  <c r="AA41" i="10"/>
  <c r="S41" i="10"/>
  <c r="AP41" i="10"/>
  <c r="BD41" i="10"/>
  <c r="AV41" i="10"/>
  <c r="AN41" i="10"/>
  <c r="AF41" i="10"/>
  <c r="X41" i="10"/>
  <c r="BE41" i="10"/>
  <c r="AX41" i="10"/>
  <c r="AM41" i="10"/>
  <c r="AE41" i="10"/>
  <c r="W41" i="10"/>
  <c r="O41" i="10"/>
  <c r="AW41" i="10"/>
  <c r="R41" i="10"/>
  <c r="BB41" i="10"/>
  <c r="AT41" i="10"/>
  <c r="AL41" i="10"/>
  <c r="AD41" i="10"/>
  <c r="V41" i="10"/>
  <c r="N41" i="10"/>
  <c r="AO41" i="10"/>
  <c r="BF41" i="10"/>
  <c r="AH41" i="10"/>
  <c r="BC41" i="10"/>
  <c r="BJ41" i="10"/>
  <c r="BI41" i="10"/>
  <c r="BA41" i="10"/>
  <c r="AS41" i="10"/>
  <c r="AK41" i="10"/>
  <c r="AC41" i="10"/>
  <c r="U41" i="10"/>
  <c r="AG41" i="10"/>
  <c r="I41" i="10"/>
  <c r="BL41" i="10"/>
  <c r="AU41" i="10"/>
  <c r="BH41" i="10"/>
  <c r="AZ41" i="10"/>
  <c r="AR41" i="10"/>
  <c r="AJ41" i="10"/>
  <c r="AB41" i="10"/>
  <c r="T41" i="10"/>
  <c r="L41" i="10"/>
  <c r="Y41" i="10"/>
  <c r="Z41" i="10"/>
  <c r="J41" i="10"/>
  <c r="Q41" i="10"/>
  <c r="G34" i="10"/>
  <c r="G38" i="10" s="1"/>
  <c r="G33" i="10"/>
  <c r="G35" i="10" s="1"/>
  <c r="G39" i="10" s="1"/>
  <c r="K32" i="10"/>
  <c r="K35" i="10"/>
  <c r="K39" i="10" s="1"/>
  <c r="K34" i="10"/>
  <c r="K38" i="10" s="1"/>
  <c r="B12" i="17"/>
  <c r="B17" i="4"/>
  <c r="B20" i="2"/>
  <c r="AD44" i="2"/>
  <c r="AC53" i="2"/>
  <c r="R43" i="2"/>
  <c r="Q43" i="2"/>
  <c r="Q46" i="2"/>
  <c r="Q47" i="2" s="1"/>
  <c r="Q48" i="2"/>
  <c r="Q49" i="2"/>
  <c r="Q50" i="2"/>
  <c r="Q51" i="2"/>
  <c r="Q52" i="2"/>
  <c r="Q53" i="2"/>
  <c r="E44" i="2"/>
  <c r="F44" i="2"/>
  <c r="G44" i="2"/>
  <c r="H44" i="2"/>
  <c r="I44" i="2"/>
  <c r="J44" i="2"/>
  <c r="K44" i="2"/>
  <c r="L44" i="2"/>
  <c r="M44" i="2"/>
  <c r="N44" i="2"/>
  <c r="O44" i="2"/>
  <c r="P44" i="2"/>
  <c r="Q44" i="2"/>
  <c r="R44" i="2"/>
  <c r="S44" i="2"/>
  <c r="T44" i="2"/>
  <c r="U44" i="2"/>
  <c r="V44" i="2"/>
  <c r="W44" i="2"/>
  <c r="D44" i="2"/>
  <c r="K41" i="10" l="1"/>
  <c r="G41" i="10"/>
  <c r="AB44" i="2"/>
  <c r="AC44" i="2"/>
  <c r="Y44" i="2"/>
  <c r="X44" i="2" s="1"/>
  <c r="Z44" i="2"/>
  <c r="AA44" i="2"/>
  <c r="O47" i="4" l="1"/>
  <c r="J19" i="5" s="1"/>
  <c r="J18" i="5" l="1"/>
  <c r="J17" i="5"/>
  <c r="N84" i="4"/>
  <c r="M84" i="4"/>
  <c r="L84" i="4"/>
  <c r="K84" i="4"/>
  <c r="J84" i="4"/>
  <c r="I84" i="4"/>
  <c r="H84" i="4"/>
  <c r="G84" i="4"/>
  <c r="F84" i="4"/>
  <c r="E84" i="4"/>
  <c r="D84" i="4"/>
  <c r="C84" i="4"/>
  <c r="N83" i="4"/>
  <c r="N85" i="4" s="1"/>
  <c r="M83" i="4"/>
  <c r="L83" i="4"/>
  <c r="K83" i="4"/>
  <c r="K85" i="4" s="1"/>
  <c r="J83" i="4"/>
  <c r="I83" i="4"/>
  <c r="H83" i="4"/>
  <c r="G83" i="4"/>
  <c r="F83" i="4"/>
  <c r="F85" i="4" s="1"/>
  <c r="E83" i="4"/>
  <c r="D83" i="4"/>
  <c r="D85" i="4" s="1"/>
  <c r="C83" i="4"/>
  <c r="N73" i="4"/>
  <c r="M73" i="4"/>
  <c r="L73" i="4"/>
  <c r="K73" i="4"/>
  <c r="J73" i="4"/>
  <c r="I73" i="4"/>
  <c r="H73" i="4"/>
  <c r="G73" i="4"/>
  <c r="F73" i="4"/>
  <c r="E73" i="4"/>
  <c r="D73" i="4"/>
  <c r="C73" i="4"/>
  <c r="N72" i="4"/>
  <c r="N74" i="4" s="1"/>
  <c r="M72" i="4"/>
  <c r="M74" i="4" s="1"/>
  <c r="L72" i="4"/>
  <c r="K72" i="4"/>
  <c r="J72" i="4"/>
  <c r="I72" i="4"/>
  <c r="H72" i="4"/>
  <c r="G72" i="4"/>
  <c r="F72" i="4"/>
  <c r="F74" i="4" s="1"/>
  <c r="E72" i="4"/>
  <c r="E74" i="4" s="1"/>
  <c r="D72" i="4"/>
  <c r="D74" i="4" s="1"/>
  <c r="C72" i="4"/>
  <c r="N62" i="4"/>
  <c r="M62" i="4"/>
  <c r="L62" i="4"/>
  <c r="K62" i="4"/>
  <c r="J62" i="4"/>
  <c r="I62" i="4"/>
  <c r="H62" i="4"/>
  <c r="G62" i="4"/>
  <c r="F62" i="4"/>
  <c r="E62" i="4"/>
  <c r="D62" i="4"/>
  <c r="C62" i="4"/>
  <c r="N61" i="4"/>
  <c r="N63" i="4" s="1"/>
  <c r="M61" i="4"/>
  <c r="L61" i="4"/>
  <c r="K61" i="4"/>
  <c r="J61" i="4"/>
  <c r="I61" i="4"/>
  <c r="H61" i="4"/>
  <c r="G61" i="4"/>
  <c r="F61" i="4"/>
  <c r="F63" i="4" s="1"/>
  <c r="E61" i="4"/>
  <c r="D61" i="4"/>
  <c r="C61" i="4"/>
  <c r="N51" i="4"/>
  <c r="M51" i="4"/>
  <c r="L51" i="4"/>
  <c r="K51" i="4"/>
  <c r="J51" i="4"/>
  <c r="I51" i="4"/>
  <c r="H51" i="4"/>
  <c r="G51" i="4"/>
  <c r="F51" i="4"/>
  <c r="E51" i="4"/>
  <c r="D51" i="4"/>
  <c r="C51" i="4"/>
  <c r="N50" i="4"/>
  <c r="M50" i="4"/>
  <c r="L50" i="4"/>
  <c r="K50" i="4"/>
  <c r="J50" i="4"/>
  <c r="I50" i="4"/>
  <c r="H50" i="4"/>
  <c r="G50" i="4"/>
  <c r="F50" i="4"/>
  <c r="F52" i="4" s="1"/>
  <c r="E50" i="4"/>
  <c r="D50" i="4"/>
  <c r="C50" i="4"/>
  <c r="C39" i="4"/>
  <c r="N40" i="4"/>
  <c r="M40" i="4"/>
  <c r="L40" i="4"/>
  <c r="K40" i="4"/>
  <c r="J40" i="4"/>
  <c r="I40" i="4"/>
  <c r="H40" i="4"/>
  <c r="G40" i="4"/>
  <c r="F40" i="4"/>
  <c r="E40" i="4"/>
  <c r="D40" i="4"/>
  <c r="C40" i="4"/>
  <c r="N39" i="4"/>
  <c r="M39" i="4"/>
  <c r="L39" i="4"/>
  <c r="K39" i="4"/>
  <c r="J39" i="4"/>
  <c r="I39" i="4"/>
  <c r="H39" i="4"/>
  <c r="G39" i="4"/>
  <c r="F39" i="4"/>
  <c r="E39" i="4"/>
  <c r="D39" i="4"/>
  <c r="I63" i="4" l="1"/>
  <c r="I52" i="4"/>
  <c r="J41" i="4"/>
  <c r="D41" i="4"/>
  <c r="L85" i="4"/>
  <c r="L74" i="4"/>
  <c r="J85" i="4"/>
  <c r="G63" i="4"/>
  <c r="L41" i="4"/>
  <c r="C52" i="4"/>
  <c r="K52" i="4"/>
  <c r="S62" i="4"/>
  <c r="K74" i="4"/>
  <c r="G85" i="4"/>
  <c r="H52" i="4"/>
  <c r="D52" i="4"/>
  <c r="L52" i="4"/>
  <c r="H63" i="4"/>
  <c r="H74" i="4"/>
  <c r="E63" i="4"/>
  <c r="I74" i="4"/>
  <c r="J52" i="4"/>
  <c r="J63" i="4"/>
  <c r="S51" i="4"/>
  <c r="H85" i="4"/>
  <c r="M63" i="4"/>
  <c r="R84" i="4"/>
  <c r="G52" i="4"/>
  <c r="C63" i="4"/>
  <c r="K63" i="4"/>
  <c r="J74" i="4"/>
  <c r="I85" i="4"/>
  <c r="S73" i="4"/>
  <c r="F41" i="4"/>
  <c r="N41" i="4"/>
  <c r="E52" i="4"/>
  <c r="M52" i="4"/>
  <c r="D63" i="4"/>
  <c r="L63" i="4"/>
  <c r="S72" i="4"/>
  <c r="E85" i="4"/>
  <c r="M85" i="4"/>
  <c r="N52" i="4"/>
  <c r="G74" i="4"/>
  <c r="R83" i="4"/>
  <c r="S84" i="4"/>
  <c r="C85" i="4"/>
  <c r="S83" i="4"/>
  <c r="Q83" i="4"/>
  <c r="Q84" i="4"/>
  <c r="C74" i="4"/>
  <c r="Q72" i="4"/>
  <c r="Q73" i="4"/>
  <c r="R72" i="4"/>
  <c r="R73" i="4"/>
  <c r="Q61" i="4"/>
  <c r="Q62" i="4"/>
  <c r="R61" i="4"/>
  <c r="R62" i="4"/>
  <c r="S61" i="4"/>
  <c r="Q50" i="4"/>
  <c r="Q51" i="4"/>
  <c r="R50" i="4"/>
  <c r="R51" i="4"/>
  <c r="S50" i="4"/>
  <c r="K41" i="4"/>
  <c r="Q39" i="4"/>
  <c r="R40" i="4"/>
  <c r="R39" i="4"/>
  <c r="G41" i="4"/>
  <c r="I41" i="4"/>
  <c r="S39" i="4"/>
  <c r="E41" i="4"/>
  <c r="M41" i="4"/>
  <c r="Q40" i="4"/>
  <c r="S40" i="4"/>
  <c r="C41" i="4"/>
  <c r="H41" i="4"/>
  <c r="O24" i="4"/>
  <c r="J3" i="5" s="1"/>
  <c r="C28" i="4"/>
  <c r="M27" i="4"/>
  <c r="D28" i="4"/>
  <c r="E28" i="4"/>
  <c r="F28" i="4"/>
  <c r="G28" i="4"/>
  <c r="H28" i="4"/>
  <c r="I28" i="4"/>
  <c r="J28" i="4"/>
  <c r="K28" i="4"/>
  <c r="L28" i="4"/>
  <c r="M28" i="4"/>
  <c r="N28" i="4"/>
  <c r="D27" i="4"/>
  <c r="E27" i="4"/>
  <c r="F27" i="4"/>
  <c r="G27" i="4"/>
  <c r="H27" i="4"/>
  <c r="I27" i="4"/>
  <c r="J27" i="4"/>
  <c r="K27" i="4"/>
  <c r="L27" i="4"/>
  <c r="N27" i="4"/>
  <c r="C27" i="4"/>
  <c r="O127" i="2"/>
  <c r="O126" i="2"/>
  <c r="Z126" i="2" s="1"/>
  <c r="O124" i="2"/>
  <c r="AC124" i="2" s="1"/>
  <c r="O123" i="2"/>
  <c r="D147" i="2"/>
  <c r="E147" i="2"/>
  <c r="F147" i="2"/>
  <c r="G147" i="2"/>
  <c r="H147" i="2"/>
  <c r="I147" i="2"/>
  <c r="J147" i="2"/>
  <c r="K147" i="2"/>
  <c r="L147" i="2"/>
  <c r="M147" i="2"/>
  <c r="N147" i="2"/>
  <c r="P147" i="2"/>
  <c r="Q147" i="2"/>
  <c r="R147" i="2"/>
  <c r="S147" i="2"/>
  <c r="T147" i="2"/>
  <c r="U147" i="2"/>
  <c r="V147" i="2"/>
  <c r="W147" i="2"/>
  <c r="O147" i="2"/>
  <c r="Y147" i="2" s="1"/>
  <c r="D126" i="2"/>
  <c r="E126" i="2"/>
  <c r="F126" i="2"/>
  <c r="G126" i="2"/>
  <c r="H126" i="2"/>
  <c r="I126" i="2"/>
  <c r="J126" i="2"/>
  <c r="K126" i="2"/>
  <c r="L126" i="2"/>
  <c r="M126" i="2"/>
  <c r="N126" i="2"/>
  <c r="P126" i="2"/>
  <c r="Q126" i="2"/>
  <c r="R126" i="2"/>
  <c r="S126" i="2"/>
  <c r="T126" i="2"/>
  <c r="U126" i="2"/>
  <c r="V126" i="2"/>
  <c r="W126" i="2"/>
  <c r="AE148" i="2"/>
  <c r="O148" i="2"/>
  <c r="B104" i="2"/>
  <c r="I29" i="4" l="1"/>
  <c r="O62" i="4"/>
  <c r="O51" i="4"/>
  <c r="F29" i="4"/>
  <c r="L29" i="4"/>
  <c r="D29" i="4"/>
  <c r="G29" i="4"/>
  <c r="O50" i="4"/>
  <c r="O72" i="4"/>
  <c r="S52" i="4"/>
  <c r="S63" i="4"/>
  <c r="O61" i="4"/>
  <c r="H29" i="4"/>
  <c r="M29" i="4"/>
  <c r="O73" i="4"/>
  <c r="C29" i="4"/>
  <c r="K29" i="4"/>
  <c r="Q52" i="4"/>
  <c r="Q63" i="4"/>
  <c r="O84" i="4"/>
  <c r="J29" i="4"/>
  <c r="R52" i="4"/>
  <c r="R63" i="4"/>
  <c r="O83" i="4"/>
  <c r="Q85" i="4"/>
  <c r="S85" i="4"/>
  <c r="R85" i="4"/>
  <c r="R74" i="4"/>
  <c r="Q74" i="4"/>
  <c r="S74" i="4"/>
  <c r="O40" i="4"/>
  <c r="Q27" i="4"/>
  <c r="R27" i="4"/>
  <c r="E29" i="4"/>
  <c r="O39" i="4"/>
  <c r="Q41" i="4"/>
  <c r="R41" i="4"/>
  <c r="S41" i="4"/>
  <c r="N29" i="4"/>
  <c r="Q28" i="4"/>
  <c r="R28" i="4"/>
  <c r="S27" i="4"/>
  <c r="S28" i="4"/>
  <c r="AA147" i="2"/>
  <c r="Z147" i="2"/>
  <c r="X147" i="2" s="1"/>
  <c r="AA126" i="2"/>
  <c r="Y126" i="2"/>
  <c r="Y124" i="2"/>
  <c r="Z124" i="2"/>
  <c r="AA124" i="2"/>
  <c r="AB124" i="2"/>
  <c r="AD124" i="2"/>
  <c r="O125" i="2"/>
  <c r="AA123" i="2"/>
  <c r="Y123" i="2"/>
  <c r="AB123" i="2"/>
  <c r="Z123" i="2"/>
  <c r="AC123" i="2"/>
  <c r="AD123" i="2"/>
  <c r="W125" i="2"/>
  <c r="O85" i="4" l="1"/>
  <c r="P85" i="4" s="1"/>
  <c r="O52" i="4"/>
  <c r="P52" i="4" s="1"/>
  <c r="O74" i="4"/>
  <c r="P74" i="4" s="1"/>
  <c r="O63" i="4"/>
  <c r="P63" i="4" s="1"/>
  <c r="O27" i="4"/>
  <c r="O41" i="4"/>
  <c r="P41" i="4" s="1"/>
  <c r="S29" i="4"/>
  <c r="R29" i="4"/>
  <c r="Q29" i="4"/>
  <c r="O28" i="4"/>
  <c r="AE127" i="2"/>
  <c r="X126" i="2" s="1"/>
  <c r="O29" i="4" l="1"/>
  <c r="P29" i="4" s="1"/>
  <c r="AC30" i="2"/>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E48" i="2"/>
  <c r="F48" i="2"/>
  <c r="G48" i="2"/>
  <c r="H48" i="2"/>
  <c r="I48" i="2"/>
  <c r="J48" i="2"/>
  <c r="K48" i="2"/>
  <c r="L48" i="2"/>
  <c r="M48" i="2"/>
  <c r="N48" i="2"/>
  <c r="O48" i="2"/>
  <c r="P48" i="2"/>
  <c r="R48" i="2"/>
  <c r="S48" i="2"/>
  <c r="T48" i="2"/>
  <c r="U48" i="2"/>
  <c r="V48" i="2"/>
  <c r="W48" i="2"/>
  <c r="D48" i="2"/>
  <c r="AG48" i="2"/>
  <c r="X39" i="2"/>
  <c r="X29" i="2"/>
  <c r="X28" i="2"/>
  <c r="X38" i="2"/>
  <c r="X27" i="2"/>
  <c r="P35" i="10" l="1"/>
  <c r="P39" i="10" s="1"/>
  <c r="P32" i="10"/>
  <c r="P34" i="10"/>
  <c r="P38" i="10" s="1"/>
  <c r="P33" i="10"/>
  <c r="M33" i="10"/>
  <c r="M32" i="10"/>
  <c r="M34" i="10"/>
  <c r="M38" i="10" s="1"/>
  <c r="BK34" i="10"/>
  <c r="BK38" i="10" s="1"/>
  <c r="BK33" i="10"/>
  <c r="BK32" i="10"/>
  <c r="H32" i="10"/>
  <c r="H33" i="10"/>
  <c r="H35" i="10"/>
  <c r="H39" i="10" s="1"/>
  <c r="H34" i="10"/>
  <c r="H38" i="10" s="1"/>
  <c r="E34" i="10"/>
  <c r="E38" i="10" s="1"/>
  <c r="E33" i="10"/>
  <c r="E35" i="10" s="1"/>
  <c r="E39" i="10" s="1"/>
  <c r="E32" i="10"/>
  <c r="F33" i="10"/>
  <c r="E42" i="10"/>
  <c r="I42" i="10" s="1"/>
  <c r="F32" i="10"/>
  <c r="F34" i="10"/>
  <c r="F38" i="10" s="1"/>
  <c r="W30" i="2"/>
  <c r="I21" i="10" l="1"/>
  <c r="E41" i="10"/>
  <c r="BK35" i="10"/>
  <c r="BK39" i="10" s="1"/>
  <c r="BK41" i="10" s="1"/>
  <c r="P41" i="10"/>
  <c r="M35" i="10"/>
  <c r="M39" i="10" s="1"/>
  <c r="M41" i="10" s="1"/>
  <c r="H41" i="10"/>
  <c r="F35" i="10"/>
  <c r="F39" i="10" s="1"/>
  <c r="F41" i="10" s="1"/>
  <c r="N30" i="2"/>
  <c r="O30" i="2"/>
  <c r="P30" i="2"/>
  <c r="Q30" i="2"/>
  <c r="R30" i="2"/>
  <c r="S30" i="2"/>
  <c r="T30" i="2"/>
  <c r="U30" i="2"/>
  <c r="V30" i="2"/>
  <c r="O82" i="4" l="1"/>
  <c r="O80" i="4"/>
  <c r="O71" i="4"/>
  <c r="O69" i="4"/>
  <c r="O60" i="4"/>
  <c r="O58" i="4"/>
  <c r="O49" i="4"/>
  <c r="O38" i="4"/>
  <c r="O26" i="4"/>
  <c r="P26" i="4" s="1"/>
  <c r="O36" i="4"/>
  <c r="K36" i="10"/>
  <c r="L36" i="10"/>
  <c r="M36" i="10"/>
  <c r="N36" i="10"/>
  <c r="O36" i="10"/>
  <c r="P36" i="10"/>
  <c r="Q36" i="10"/>
  <c r="R36" i="10"/>
  <c r="S36" i="10"/>
  <c r="T36" i="10"/>
  <c r="U36" i="10"/>
  <c r="V36" i="10"/>
  <c r="W36" i="10"/>
  <c r="P38" i="4" l="1"/>
  <c r="P39" i="4" s="1"/>
  <c r="L7" i="5"/>
  <c r="J10" i="5"/>
  <c r="J7" i="5"/>
  <c r="J9" i="5"/>
  <c r="J6" i="5"/>
  <c r="P82" i="4"/>
  <c r="J44" i="5"/>
  <c r="P71" i="4"/>
  <c r="P60" i="4"/>
  <c r="P49" i="4"/>
  <c r="P50" i="4" s="1"/>
  <c r="P47" i="4" s="1"/>
  <c r="P27" i="4"/>
  <c r="W75" i="5"/>
  <c r="V75" i="5"/>
  <c r="W74" i="5"/>
  <c r="V74" i="5"/>
  <c r="W73" i="5"/>
  <c r="V73" i="5"/>
  <c r="W72" i="5"/>
  <c r="V72" i="5"/>
  <c r="W71" i="5"/>
  <c r="V71" i="5"/>
  <c r="W70" i="5"/>
  <c r="V70" i="5"/>
  <c r="W69" i="5"/>
  <c r="V69" i="5"/>
  <c r="W68" i="5"/>
  <c r="V68" i="5"/>
  <c r="W67" i="5"/>
  <c r="V67" i="5"/>
  <c r="W66" i="5"/>
  <c r="V66" i="5"/>
  <c r="W56" i="5"/>
  <c r="V56" i="5"/>
  <c r="W50" i="5"/>
  <c r="V50" i="5"/>
  <c r="W49" i="5"/>
  <c r="V49" i="5"/>
  <c r="W48" i="5"/>
  <c r="V48" i="5"/>
  <c r="W47" i="5"/>
  <c r="V47" i="5"/>
  <c r="W46" i="5"/>
  <c r="V46" i="5"/>
  <c r="W45" i="5"/>
  <c r="V45" i="5"/>
  <c r="W44" i="5"/>
  <c r="V44" i="5"/>
  <c r="W43" i="5"/>
  <c r="V43" i="5"/>
  <c r="W42" i="5"/>
  <c r="V42" i="5"/>
  <c r="W41" i="5"/>
  <c r="V41" i="5"/>
  <c r="O50" i="5"/>
  <c r="O49" i="5"/>
  <c r="O48" i="5"/>
  <c r="O47" i="5"/>
  <c r="O46" i="5"/>
  <c r="O45" i="5"/>
  <c r="O44" i="5"/>
  <c r="O43" i="5"/>
  <c r="O42" i="5"/>
  <c r="O41" i="5"/>
  <c r="O75" i="5"/>
  <c r="O74" i="5"/>
  <c r="O73" i="5"/>
  <c r="O72" i="5"/>
  <c r="O71" i="5"/>
  <c r="O70" i="5"/>
  <c r="O69" i="5"/>
  <c r="O68" i="5"/>
  <c r="O67" i="5"/>
  <c r="O66" i="5"/>
  <c r="O65" i="5"/>
  <c r="P83" i="4" l="1"/>
  <c r="R82" i="4"/>
  <c r="P36" i="4"/>
  <c r="P24" i="4"/>
  <c r="P61" i="4"/>
  <c r="P72" i="4"/>
  <c r="X47" i="5"/>
  <c r="P66" i="5"/>
  <c r="P65" i="5"/>
  <c r="AC75" i="5"/>
  <c r="AB75" i="5"/>
  <c r="Z75" i="5"/>
  <c r="Y75" i="5"/>
  <c r="T75" i="5"/>
  <c r="S75" i="5"/>
  <c r="Q75" i="5"/>
  <c r="P75" i="5"/>
  <c r="AC50" i="5"/>
  <c r="AB50" i="5"/>
  <c r="Z50" i="5"/>
  <c r="Y50" i="5"/>
  <c r="T50" i="5"/>
  <c r="S50" i="5"/>
  <c r="Q50" i="5"/>
  <c r="P50" i="5"/>
  <c r="AC49" i="5"/>
  <c r="AB49" i="5"/>
  <c r="Z49" i="5"/>
  <c r="Y49" i="5"/>
  <c r="T49" i="5"/>
  <c r="S49" i="5"/>
  <c r="Q49" i="5"/>
  <c r="P49" i="5"/>
  <c r="AC74" i="5"/>
  <c r="AB74" i="5"/>
  <c r="Z74" i="5"/>
  <c r="Y74" i="5"/>
  <c r="T74" i="5"/>
  <c r="S74" i="5"/>
  <c r="Q74" i="5"/>
  <c r="P74" i="5"/>
  <c r="AC73" i="5"/>
  <c r="AB73" i="5"/>
  <c r="Z73" i="5"/>
  <c r="Y73" i="5"/>
  <c r="T73" i="5"/>
  <c r="S73" i="5"/>
  <c r="Q73" i="5"/>
  <c r="P73" i="5"/>
  <c r="AC48" i="5"/>
  <c r="AB48" i="5"/>
  <c r="Z48" i="5"/>
  <c r="Y48" i="5"/>
  <c r="T48" i="5"/>
  <c r="S48" i="5"/>
  <c r="Q48" i="5"/>
  <c r="P48" i="5"/>
  <c r="AC47" i="5"/>
  <c r="AB47" i="5"/>
  <c r="Z47" i="5"/>
  <c r="Y47" i="5"/>
  <c r="T47" i="5"/>
  <c r="S47" i="5"/>
  <c r="Q47" i="5"/>
  <c r="P47" i="5"/>
  <c r="AC72" i="5"/>
  <c r="AB72" i="5"/>
  <c r="Z72" i="5"/>
  <c r="Y72" i="5"/>
  <c r="T72" i="5"/>
  <c r="S72" i="5"/>
  <c r="Q72" i="5"/>
  <c r="P72" i="5"/>
  <c r="AC71" i="5"/>
  <c r="AB71" i="5"/>
  <c r="Z71" i="5"/>
  <c r="Y71" i="5"/>
  <c r="T71" i="5"/>
  <c r="S71" i="5"/>
  <c r="Q71" i="5"/>
  <c r="P71" i="5"/>
  <c r="AC46" i="5"/>
  <c r="AB46" i="5"/>
  <c r="Z46" i="5"/>
  <c r="Y46" i="5"/>
  <c r="T46" i="5"/>
  <c r="S46" i="5"/>
  <c r="Q46" i="5"/>
  <c r="P46" i="5"/>
  <c r="AC45" i="5"/>
  <c r="AB45" i="5"/>
  <c r="Z45" i="5"/>
  <c r="Y45" i="5"/>
  <c r="T45" i="5"/>
  <c r="S45" i="5"/>
  <c r="Q45" i="5"/>
  <c r="P45" i="5"/>
  <c r="AC70" i="5"/>
  <c r="AB70" i="5"/>
  <c r="Z70" i="5"/>
  <c r="Y70" i="5"/>
  <c r="T70" i="5"/>
  <c r="S70" i="5"/>
  <c r="Q70" i="5"/>
  <c r="P70" i="5"/>
  <c r="AC69" i="5"/>
  <c r="AB69" i="5"/>
  <c r="Z69" i="5"/>
  <c r="Y69" i="5"/>
  <c r="T69" i="5"/>
  <c r="S69" i="5"/>
  <c r="Q69" i="5"/>
  <c r="P69" i="5"/>
  <c r="AC44" i="5"/>
  <c r="AB44" i="5"/>
  <c r="Z44" i="5"/>
  <c r="Y44" i="5"/>
  <c r="T44" i="5"/>
  <c r="S44" i="5"/>
  <c r="Q44" i="5"/>
  <c r="P44" i="5"/>
  <c r="AC43" i="5"/>
  <c r="AB43" i="5"/>
  <c r="Z43" i="5"/>
  <c r="Y43" i="5"/>
  <c r="T43" i="5"/>
  <c r="S43" i="5"/>
  <c r="Q43" i="5"/>
  <c r="P43" i="5"/>
  <c r="AC68" i="5"/>
  <c r="AB68" i="5"/>
  <c r="Z68" i="5"/>
  <c r="Y68" i="5"/>
  <c r="T68" i="5"/>
  <c r="S68" i="5"/>
  <c r="Q68" i="5"/>
  <c r="P68" i="5"/>
  <c r="AC67" i="5"/>
  <c r="AB67" i="5"/>
  <c r="Z67" i="5"/>
  <c r="Y67" i="5"/>
  <c r="T67" i="5"/>
  <c r="S67" i="5"/>
  <c r="Q67" i="5"/>
  <c r="P67" i="5"/>
  <c r="AC42" i="5"/>
  <c r="AB42" i="5"/>
  <c r="Z42" i="5"/>
  <c r="Y42" i="5"/>
  <c r="T42" i="5"/>
  <c r="S42" i="5"/>
  <c r="Q42" i="5"/>
  <c r="P42" i="5"/>
  <c r="AC41" i="5"/>
  <c r="AB41" i="5"/>
  <c r="Z41" i="5"/>
  <c r="Y41" i="5"/>
  <c r="T41" i="5"/>
  <c r="S41" i="5"/>
  <c r="Q41" i="5"/>
  <c r="P41" i="5"/>
  <c r="AC66" i="5"/>
  <c r="AB66" i="5"/>
  <c r="Z66" i="5"/>
  <c r="Y66" i="5"/>
  <c r="T66" i="5"/>
  <c r="S66" i="5"/>
  <c r="Q66" i="5"/>
  <c r="X132" i="2"/>
  <c r="W144" i="2"/>
  <c r="N144" i="2"/>
  <c r="O144" i="2"/>
  <c r="P144" i="2"/>
  <c r="Q144" i="2"/>
  <c r="R144" i="2"/>
  <c r="S144" i="2"/>
  <c r="T144" i="2"/>
  <c r="U144" i="2"/>
  <c r="V144" i="2"/>
  <c r="N145" i="2"/>
  <c r="O145" i="2"/>
  <c r="P145" i="2"/>
  <c r="Q145" i="2"/>
  <c r="R145" i="2"/>
  <c r="S145" i="2"/>
  <c r="T145" i="2"/>
  <c r="U145" i="2"/>
  <c r="V145" i="2"/>
  <c r="W145" i="2"/>
  <c r="N148" i="2"/>
  <c r="P148" i="2"/>
  <c r="Q148" i="2"/>
  <c r="R148" i="2"/>
  <c r="S148" i="2"/>
  <c r="T148" i="2"/>
  <c r="U148" i="2"/>
  <c r="V148" i="2"/>
  <c r="W148" i="2"/>
  <c r="X111" i="2"/>
  <c r="N123" i="2"/>
  <c r="P123" i="2"/>
  <c r="Q123" i="2"/>
  <c r="R123" i="2"/>
  <c r="S123" i="2"/>
  <c r="T123" i="2"/>
  <c r="U123" i="2"/>
  <c r="V123" i="2"/>
  <c r="W123" i="2"/>
  <c r="N124" i="2"/>
  <c r="P124" i="2"/>
  <c r="Q124" i="2"/>
  <c r="R124" i="2"/>
  <c r="S124" i="2"/>
  <c r="T124" i="2"/>
  <c r="U124" i="2"/>
  <c r="V124" i="2"/>
  <c r="W124" i="2"/>
  <c r="N127" i="2"/>
  <c r="P127" i="2"/>
  <c r="Q127" i="2"/>
  <c r="R127" i="2"/>
  <c r="S127" i="2"/>
  <c r="T127" i="2"/>
  <c r="U127" i="2"/>
  <c r="V127" i="2"/>
  <c r="W127" i="2"/>
  <c r="AC51" i="2"/>
  <c r="AC49" i="2"/>
  <c r="AC48" i="2"/>
  <c r="AC46" i="2"/>
  <c r="AC45" i="2"/>
  <c r="AC43" i="2"/>
  <c r="AB52" i="2"/>
  <c r="AB51" i="2"/>
  <c r="AB48" i="2"/>
  <c r="X37" i="2"/>
  <c r="N40" i="2"/>
  <c r="N45" i="2" s="1"/>
  <c r="O40" i="2"/>
  <c r="O45" i="2" s="1"/>
  <c r="P40" i="2"/>
  <c r="P45" i="2" s="1"/>
  <c r="Q40" i="2"/>
  <c r="Q45" i="2" s="1"/>
  <c r="R40" i="2"/>
  <c r="R45" i="2" s="1"/>
  <c r="S40" i="2"/>
  <c r="S45" i="2" s="1"/>
  <c r="T40" i="2"/>
  <c r="T45" i="2" s="1"/>
  <c r="U40" i="2"/>
  <c r="V40" i="2"/>
  <c r="V45" i="2" s="1"/>
  <c r="W40" i="2"/>
  <c r="W45" i="2" s="1"/>
  <c r="N43" i="2"/>
  <c r="O43" i="2"/>
  <c r="P43" i="2"/>
  <c r="S43" i="2"/>
  <c r="T43" i="2"/>
  <c r="U43" i="2"/>
  <c r="V43" i="2"/>
  <c r="W43" i="2"/>
  <c r="U45" i="2"/>
  <c r="N46" i="2"/>
  <c r="N47" i="2" s="1"/>
  <c r="O46" i="2"/>
  <c r="O47" i="2" s="1"/>
  <c r="P46" i="2"/>
  <c r="P47" i="2" s="1"/>
  <c r="R46" i="2"/>
  <c r="R47" i="2" s="1"/>
  <c r="S46" i="2"/>
  <c r="S47" i="2" s="1"/>
  <c r="T46" i="2"/>
  <c r="T47" i="2" s="1"/>
  <c r="U46" i="2"/>
  <c r="U47" i="2" s="1"/>
  <c r="V46" i="2"/>
  <c r="V47" i="2" s="1"/>
  <c r="W46" i="2"/>
  <c r="W47" i="2" s="1"/>
  <c r="N49" i="2"/>
  <c r="O49" i="2"/>
  <c r="P49" i="2"/>
  <c r="R49" i="2"/>
  <c r="S49" i="2"/>
  <c r="T49" i="2"/>
  <c r="U49" i="2"/>
  <c r="V49" i="2"/>
  <c r="W49" i="2"/>
  <c r="N50" i="2"/>
  <c r="O50" i="2"/>
  <c r="P50" i="2"/>
  <c r="R50" i="2"/>
  <c r="S50" i="2"/>
  <c r="T50" i="2"/>
  <c r="U50" i="2"/>
  <c r="V50" i="2"/>
  <c r="W50" i="2"/>
  <c r="N51" i="2"/>
  <c r="O51" i="2"/>
  <c r="P51" i="2"/>
  <c r="R51" i="2"/>
  <c r="S51" i="2"/>
  <c r="T51" i="2"/>
  <c r="U51" i="2"/>
  <c r="V51" i="2"/>
  <c r="W51" i="2"/>
  <c r="N52" i="2"/>
  <c r="O52" i="2"/>
  <c r="P52" i="2"/>
  <c r="R52" i="2"/>
  <c r="S52" i="2"/>
  <c r="T52" i="2"/>
  <c r="U52" i="2"/>
  <c r="V52" i="2"/>
  <c r="W52" i="2"/>
  <c r="N53" i="2"/>
  <c r="O53" i="2"/>
  <c r="P53" i="2"/>
  <c r="R53" i="2"/>
  <c r="S53" i="2"/>
  <c r="T53" i="2"/>
  <c r="U53" i="2"/>
  <c r="V53" i="2"/>
  <c r="W53" i="2"/>
  <c r="F36" i="10"/>
  <c r="G36" i="10"/>
  <c r="H36" i="10"/>
  <c r="I36" i="10"/>
  <c r="G19" i="4" l="1"/>
  <c r="AB145" i="2"/>
  <c r="AA145" i="2"/>
  <c r="Z145" i="2"/>
  <c r="AD145" i="2"/>
  <c r="Y145" i="2"/>
  <c r="AC145" i="2"/>
  <c r="AD144" i="2"/>
  <c r="AA144" i="2"/>
  <c r="Z144" i="2"/>
  <c r="AB144" i="2"/>
  <c r="Y144" i="2"/>
  <c r="AC144" i="2"/>
  <c r="AA73" i="5"/>
  <c r="Q146" i="2"/>
  <c r="R74" i="5"/>
  <c r="R146" i="2"/>
  <c r="U72" i="5"/>
  <c r="X75" i="5"/>
  <c r="U75" i="5"/>
  <c r="AD68" i="5"/>
  <c r="AA42" i="5"/>
  <c r="AD43" i="5"/>
  <c r="AD45" i="5"/>
  <c r="V125" i="2"/>
  <c r="P125" i="2"/>
  <c r="T146" i="2"/>
  <c r="P146" i="2"/>
  <c r="U146" i="2"/>
  <c r="V146" i="2"/>
  <c r="N146" i="2"/>
  <c r="AA74" i="5"/>
  <c r="Q125" i="2"/>
  <c r="AD44" i="5"/>
  <c r="AD46" i="5"/>
  <c r="N125" i="2"/>
  <c r="U125" i="2"/>
  <c r="X46" i="5"/>
  <c r="S125" i="2"/>
  <c r="X73" i="5"/>
  <c r="R73" i="5"/>
  <c r="AA66" i="5"/>
  <c r="U67" i="5"/>
  <c r="AD70" i="5"/>
  <c r="X48" i="5"/>
  <c r="R41" i="5"/>
  <c r="R45" i="5"/>
  <c r="AD49" i="5"/>
  <c r="R50" i="5"/>
  <c r="X49" i="5"/>
  <c r="AA75" i="5"/>
  <c r="R75" i="5"/>
  <c r="X50" i="5"/>
  <c r="U50" i="5"/>
  <c r="AA49" i="5"/>
  <c r="AD73" i="5"/>
  <c r="AD48" i="5"/>
  <c r="AA48" i="5"/>
  <c r="U48" i="5"/>
  <c r="AD47" i="5"/>
  <c r="AA47" i="5"/>
  <c r="R47" i="5"/>
  <c r="AD72" i="5"/>
  <c r="R72" i="5"/>
  <c r="U71" i="5"/>
  <c r="AA46" i="5"/>
  <c r="AA45" i="5"/>
  <c r="X45" i="5"/>
  <c r="U45" i="5"/>
  <c r="AA70" i="5"/>
  <c r="X70" i="5"/>
  <c r="U70" i="5"/>
  <c r="X69" i="5"/>
  <c r="R44" i="5"/>
  <c r="AA43" i="5"/>
  <c r="X43" i="5"/>
  <c r="U43" i="5"/>
  <c r="R43" i="5"/>
  <c r="AD67" i="5"/>
  <c r="R67" i="5"/>
  <c r="U42" i="5"/>
  <c r="R42" i="5"/>
  <c r="AD41" i="5"/>
  <c r="X41" i="5"/>
  <c r="X66" i="5"/>
  <c r="U66" i="5"/>
  <c r="R66" i="5"/>
  <c r="X72" i="5"/>
  <c r="AD71" i="5"/>
  <c r="R71" i="5"/>
  <c r="X74" i="5"/>
  <c r="X71" i="5"/>
  <c r="X68" i="5"/>
  <c r="AA67" i="5"/>
  <c r="AD66" i="5"/>
  <c r="AD69" i="5"/>
  <c r="R69" i="5"/>
  <c r="U68" i="5"/>
  <c r="X67" i="5"/>
  <c r="S146" i="2"/>
  <c r="AD75" i="5"/>
  <c r="AA72" i="5"/>
  <c r="R70" i="5"/>
  <c r="R68" i="5"/>
  <c r="U73" i="5"/>
  <c r="U69" i="5"/>
  <c r="AA68" i="5"/>
  <c r="O146" i="2"/>
  <c r="U74" i="5"/>
  <c r="AD74" i="5"/>
  <c r="AA71" i="5"/>
  <c r="AA69" i="5"/>
  <c r="W146" i="2"/>
  <c r="T125" i="2"/>
  <c r="R46" i="5"/>
  <c r="AA50" i="5"/>
  <c r="U49" i="5"/>
  <c r="R48" i="5"/>
  <c r="U47" i="5"/>
  <c r="AA44" i="5"/>
  <c r="X42" i="5"/>
  <c r="U41" i="5"/>
  <c r="X44" i="5"/>
  <c r="R49" i="5"/>
  <c r="U44" i="5"/>
  <c r="AA41" i="5"/>
  <c r="AD50" i="5"/>
  <c r="U46" i="5"/>
  <c r="AD42" i="5"/>
  <c r="R125" i="2"/>
  <c r="D123" i="2"/>
  <c r="D144" i="2"/>
  <c r="E144" i="2"/>
  <c r="F144" i="2"/>
  <c r="G144" i="2"/>
  <c r="H144" i="2"/>
  <c r="I144" i="2"/>
  <c r="K144" i="2"/>
  <c r="L144" i="2"/>
  <c r="M144" i="2"/>
  <c r="J144" i="2"/>
  <c r="E124" i="2"/>
  <c r="F124" i="2"/>
  <c r="G124" i="2"/>
  <c r="H124" i="2"/>
  <c r="I124" i="2"/>
  <c r="J124" i="2"/>
  <c r="K124" i="2"/>
  <c r="L124" i="2"/>
  <c r="M124" i="2"/>
  <c r="D124" i="2"/>
  <c r="E123" i="2"/>
  <c r="F123" i="2"/>
  <c r="G123" i="2"/>
  <c r="H123" i="2"/>
  <c r="I123" i="2"/>
  <c r="J123" i="2"/>
  <c r="K123" i="2"/>
  <c r="L123" i="2"/>
  <c r="M123" i="2"/>
  <c r="E145" i="2"/>
  <c r="F145" i="2"/>
  <c r="G145" i="2"/>
  <c r="H145" i="2"/>
  <c r="I145" i="2"/>
  <c r="J145" i="2"/>
  <c r="K145" i="2"/>
  <c r="L145" i="2"/>
  <c r="M145" i="2"/>
  <c r="D145" i="2"/>
  <c r="M127" i="2"/>
  <c r="AB31" i="5"/>
  <c r="V32" i="5"/>
  <c r="S31" i="5"/>
  <c r="P31" i="5"/>
  <c r="O31" i="5"/>
  <c r="P32" i="5"/>
  <c r="D148" i="2"/>
  <c r="M148" i="2"/>
  <c r="L148" i="2"/>
  <c r="K148" i="2"/>
  <c r="J148" i="2"/>
  <c r="I148" i="2"/>
  <c r="H148" i="2"/>
  <c r="G148" i="2"/>
  <c r="F148" i="2"/>
  <c r="E148" i="2"/>
  <c r="F127" i="2"/>
  <c r="G127" i="2"/>
  <c r="H127" i="2"/>
  <c r="I127" i="2"/>
  <c r="J127" i="2"/>
  <c r="K127" i="2"/>
  <c r="L127" i="2"/>
  <c r="AA127" i="2" s="1"/>
  <c r="D127" i="2"/>
  <c r="E127" i="2"/>
  <c r="D53" i="2"/>
  <c r="F53" i="2"/>
  <c r="G53" i="2"/>
  <c r="H53" i="2"/>
  <c r="I53" i="2"/>
  <c r="J53" i="2"/>
  <c r="K53" i="2"/>
  <c r="L53" i="2"/>
  <c r="M53" i="2"/>
  <c r="E53" i="2"/>
  <c r="Z127" i="2" l="1"/>
  <c r="X127" i="2" s="1"/>
  <c r="Y127" i="2"/>
  <c r="Z148" i="2"/>
  <c r="Y148" i="2"/>
  <c r="AA148" i="2"/>
  <c r="G125" i="2"/>
  <c r="U140" i="2"/>
  <c r="R119" i="2"/>
  <c r="R120" i="2" s="1"/>
  <c r="W140" i="2"/>
  <c r="V140" i="2"/>
  <c r="T140" i="2"/>
  <c r="S140" i="2"/>
  <c r="R140" i="2"/>
  <c r="P140" i="2"/>
  <c r="O140" i="2"/>
  <c r="N140" i="2"/>
  <c r="S119" i="2"/>
  <c r="S120" i="2" s="1"/>
  <c r="T119" i="2"/>
  <c r="T120" i="2" s="1"/>
  <c r="O119" i="2"/>
  <c r="O120" i="2" s="1"/>
  <c r="Q140" i="2"/>
  <c r="P119" i="2"/>
  <c r="P120" i="2" s="1"/>
  <c r="N119" i="2"/>
  <c r="N120" i="2" s="1"/>
  <c r="Q119" i="2"/>
  <c r="Q120" i="2" s="1"/>
  <c r="U119" i="2"/>
  <c r="U120" i="2" s="1"/>
  <c r="W119" i="2"/>
  <c r="W120" i="2" s="1"/>
  <c r="V119" i="2"/>
  <c r="V120" i="2" s="1"/>
  <c r="AA53" i="2"/>
  <c r="Z53" i="2"/>
  <c r="X53" i="2" s="1"/>
  <c r="Y53" i="2"/>
  <c r="AA48" i="2"/>
  <c r="Z48" i="2"/>
  <c r="Y48" i="2"/>
  <c r="X48" i="2" s="1"/>
  <c r="K125" i="2"/>
  <c r="J125" i="2"/>
  <c r="F146" i="2"/>
  <c r="I125" i="2"/>
  <c r="M125" i="2"/>
  <c r="E125" i="2"/>
  <c r="H146" i="2"/>
  <c r="J146" i="2"/>
  <c r="E146" i="2"/>
  <c r="H125" i="2"/>
  <c r="D125" i="2"/>
  <c r="I146" i="2"/>
  <c r="G146" i="2"/>
  <c r="M146" i="2"/>
  <c r="F125" i="2"/>
  <c r="L125" i="2"/>
  <c r="D146" i="2"/>
  <c r="K146" i="2"/>
  <c r="L146" i="2"/>
  <c r="G51" i="2"/>
  <c r="G49" i="2"/>
  <c r="X148" i="2" l="1"/>
  <c r="Y146" i="2"/>
  <c r="Z146" i="2"/>
  <c r="X146" i="2" s="1"/>
  <c r="AA146" i="2"/>
  <c r="Y125" i="2"/>
  <c r="AA125" i="2"/>
  <c r="Z125" i="2"/>
  <c r="X125" i="2" s="1"/>
  <c r="E30" i="2"/>
  <c r="F30" i="2"/>
  <c r="G30" i="2"/>
  <c r="H30" i="2"/>
  <c r="I30" i="2"/>
  <c r="J30" i="2"/>
  <c r="K30" i="2"/>
  <c r="L30" i="2"/>
  <c r="M30" i="2"/>
  <c r="D30" i="2"/>
  <c r="D43" i="2"/>
  <c r="Y30" i="2" l="1"/>
  <c r="Z30" i="2"/>
  <c r="X30" i="2" s="1"/>
  <c r="AA30" i="2"/>
  <c r="P40" i="5"/>
  <c r="P39" i="5"/>
  <c r="P38" i="5"/>
  <c r="P37" i="5"/>
  <c r="P36" i="5"/>
  <c r="P35" i="5"/>
  <c r="P33" i="5"/>
  <c r="AC65" i="5"/>
  <c r="AB65" i="5"/>
  <c r="Z65" i="5"/>
  <c r="Y65" i="5"/>
  <c r="W65" i="5"/>
  <c r="V65" i="5"/>
  <c r="T65" i="5"/>
  <c r="S65" i="5"/>
  <c r="Q65" i="5"/>
  <c r="AC64" i="5"/>
  <c r="AB64" i="5"/>
  <c r="Z64" i="5"/>
  <c r="Y64" i="5"/>
  <c r="W64" i="5"/>
  <c r="V64" i="5"/>
  <c r="T64" i="5"/>
  <c r="S64" i="5"/>
  <c r="Q64" i="5"/>
  <c r="P64" i="5"/>
  <c r="AC63" i="5"/>
  <c r="AB63" i="5"/>
  <c r="Z63" i="5"/>
  <c r="Y63" i="5"/>
  <c r="W63" i="5"/>
  <c r="V63" i="5"/>
  <c r="T63" i="5"/>
  <c r="S63" i="5"/>
  <c r="Q63" i="5"/>
  <c r="P63" i="5"/>
  <c r="AC62" i="5"/>
  <c r="AB62" i="5"/>
  <c r="Z62" i="5"/>
  <c r="Y62" i="5"/>
  <c r="W62" i="5"/>
  <c r="V62" i="5"/>
  <c r="T62" i="5"/>
  <c r="S62" i="5"/>
  <c r="Q62" i="5"/>
  <c r="P62" i="5"/>
  <c r="AC61" i="5"/>
  <c r="AB61" i="5"/>
  <c r="Z61" i="5"/>
  <c r="Y61" i="5"/>
  <c r="W61" i="5"/>
  <c r="V61" i="5"/>
  <c r="T61" i="5"/>
  <c r="S61" i="5"/>
  <c r="Q61" i="5"/>
  <c r="P61" i="5"/>
  <c r="AC60" i="5"/>
  <c r="AB60" i="5"/>
  <c r="Z60" i="5"/>
  <c r="Y60" i="5"/>
  <c r="W60" i="5"/>
  <c r="V60" i="5"/>
  <c r="T60" i="5"/>
  <c r="S60" i="5"/>
  <c r="Q60" i="5"/>
  <c r="P60" i="5"/>
  <c r="AC59" i="5"/>
  <c r="AB59" i="5"/>
  <c r="Z59" i="5"/>
  <c r="Y59" i="5"/>
  <c r="W59" i="5"/>
  <c r="V59" i="5"/>
  <c r="T59" i="5"/>
  <c r="S59" i="5"/>
  <c r="Q59" i="5"/>
  <c r="P59" i="5"/>
  <c r="AC58" i="5"/>
  <c r="AB58" i="5"/>
  <c r="Z58" i="5"/>
  <c r="Y58" i="5"/>
  <c r="W58" i="5"/>
  <c r="V58" i="5"/>
  <c r="T58" i="5"/>
  <c r="S58" i="5"/>
  <c r="Q58" i="5"/>
  <c r="P58" i="5"/>
  <c r="AC57" i="5"/>
  <c r="AB57" i="5"/>
  <c r="Z57" i="5"/>
  <c r="Y57" i="5"/>
  <c r="W57" i="5"/>
  <c r="V57" i="5"/>
  <c r="T57" i="5"/>
  <c r="S57" i="5"/>
  <c r="Q57" i="5"/>
  <c r="P57" i="5"/>
  <c r="AC56" i="5"/>
  <c r="AB56" i="5"/>
  <c r="Z56" i="5"/>
  <c r="Y56" i="5"/>
  <c r="T56" i="5"/>
  <c r="S56" i="5"/>
  <c r="Q56" i="5"/>
  <c r="P56" i="5"/>
  <c r="AC40" i="5"/>
  <c r="AB40" i="5"/>
  <c r="Z40" i="5"/>
  <c r="Y40" i="5"/>
  <c r="W40" i="5"/>
  <c r="V40" i="5"/>
  <c r="T40" i="5"/>
  <c r="S40" i="5"/>
  <c r="Q40" i="5"/>
  <c r="AC39" i="5"/>
  <c r="AB39" i="5"/>
  <c r="Z39" i="5"/>
  <c r="Y39" i="5"/>
  <c r="W39" i="5"/>
  <c r="V39" i="5"/>
  <c r="T39" i="5"/>
  <c r="S39" i="5"/>
  <c r="Q39" i="5"/>
  <c r="AC38" i="5"/>
  <c r="AB38" i="5"/>
  <c r="Z38" i="5"/>
  <c r="Y38" i="5"/>
  <c r="W38" i="5"/>
  <c r="V38" i="5"/>
  <c r="T38" i="5"/>
  <c r="S38" i="5"/>
  <c r="Q38" i="5"/>
  <c r="AC37" i="5"/>
  <c r="AB37" i="5"/>
  <c r="Z37" i="5"/>
  <c r="Y37" i="5"/>
  <c r="W37" i="5"/>
  <c r="V37" i="5"/>
  <c r="T37" i="5"/>
  <c r="S37" i="5"/>
  <c r="Q37" i="5"/>
  <c r="AC36" i="5"/>
  <c r="AB36" i="5"/>
  <c r="Z36" i="5"/>
  <c r="Y36" i="5"/>
  <c r="W36" i="5"/>
  <c r="V36" i="5"/>
  <c r="T36" i="5"/>
  <c r="S36" i="5"/>
  <c r="Q36" i="5"/>
  <c r="AC35" i="5"/>
  <c r="AB35" i="5"/>
  <c r="Z35" i="5"/>
  <c r="Y35" i="5"/>
  <c r="W35" i="5"/>
  <c r="V35" i="5"/>
  <c r="T35" i="5"/>
  <c r="S35" i="5"/>
  <c r="Q35" i="5"/>
  <c r="AC34" i="5"/>
  <c r="AB34" i="5"/>
  <c r="Z34" i="5"/>
  <c r="Y34" i="5"/>
  <c r="W34" i="5"/>
  <c r="V34" i="5"/>
  <c r="T34" i="5"/>
  <c r="S34" i="5"/>
  <c r="Q34" i="5"/>
  <c r="P34" i="5"/>
  <c r="AC33" i="5"/>
  <c r="AB33" i="5"/>
  <c r="Z33" i="5"/>
  <c r="Y33" i="5"/>
  <c r="W33" i="5"/>
  <c r="V33" i="5"/>
  <c r="T33" i="5"/>
  <c r="S33" i="5"/>
  <c r="Q33" i="5"/>
  <c r="AC32" i="5"/>
  <c r="AB32" i="5"/>
  <c r="Z32" i="5"/>
  <c r="Y32" i="5"/>
  <c r="W32" i="5"/>
  <c r="T32" i="5"/>
  <c r="S32" i="5"/>
  <c r="Q32" i="5"/>
  <c r="AC31" i="5"/>
  <c r="Z31" i="5"/>
  <c r="Y31" i="5"/>
  <c r="W31" i="5"/>
  <c r="V31" i="5"/>
  <c r="T31" i="5"/>
  <c r="Q31" i="5"/>
  <c r="E43" i="2"/>
  <c r="F43" i="2"/>
  <c r="G43" i="2"/>
  <c r="H43" i="2"/>
  <c r="J43" i="2"/>
  <c r="K43" i="2"/>
  <c r="L43" i="2"/>
  <c r="M43" i="2"/>
  <c r="I43" i="2"/>
  <c r="F51" i="2"/>
  <c r="E49" i="2"/>
  <c r="F49" i="2"/>
  <c r="H49" i="2"/>
  <c r="I49" i="2"/>
  <c r="J49" i="2"/>
  <c r="K49" i="2"/>
  <c r="L49" i="2"/>
  <c r="M49" i="2"/>
  <c r="E50" i="2"/>
  <c r="F50" i="2"/>
  <c r="G50" i="2"/>
  <c r="H50" i="2"/>
  <c r="I50" i="2"/>
  <c r="J50" i="2"/>
  <c r="K50" i="2"/>
  <c r="L50" i="2"/>
  <c r="M50" i="2"/>
  <c r="D50" i="2"/>
  <c r="D49" i="2"/>
  <c r="E51" i="2"/>
  <c r="H51" i="2"/>
  <c r="I51" i="2"/>
  <c r="J51" i="2"/>
  <c r="K51" i="2"/>
  <c r="L51" i="2"/>
  <c r="M51" i="2"/>
  <c r="E52" i="2"/>
  <c r="F52" i="2"/>
  <c r="G52" i="2"/>
  <c r="H52" i="2"/>
  <c r="I52" i="2"/>
  <c r="J52" i="2"/>
  <c r="K52" i="2"/>
  <c r="L52" i="2"/>
  <c r="M52" i="2"/>
  <c r="D52" i="2"/>
  <c r="D51" i="2"/>
  <c r="AA43" i="2" l="1"/>
  <c r="Y43" i="2"/>
  <c r="X43" i="2" s="1"/>
  <c r="Z43" i="2"/>
  <c r="AA52" i="2"/>
  <c r="Z52" i="2"/>
  <c r="Y52" i="2"/>
  <c r="Z49" i="2"/>
  <c r="AA49" i="2"/>
  <c r="Y49" i="2"/>
  <c r="Y50" i="2"/>
  <c r="AA50" i="2"/>
  <c r="Z50" i="2"/>
  <c r="Z51" i="2"/>
  <c r="AA51" i="2"/>
  <c r="Y51" i="2"/>
  <c r="X50" i="2" l="1"/>
  <c r="X52" i="2"/>
  <c r="E46" i="2"/>
  <c r="E47" i="2" s="1"/>
  <c r="F46" i="2"/>
  <c r="F47" i="2" s="1"/>
  <c r="G46" i="2"/>
  <c r="G47" i="2" s="1"/>
  <c r="H46" i="2"/>
  <c r="H47" i="2" s="1"/>
  <c r="I46" i="2"/>
  <c r="I47" i="2" s="1"/>
  <c r="J46" i="2"/>
  <c r="J47" i="2" s="1"/>
  <c r="K46" i="2"/>
  <c r="K47" i="2" s="1"/>
  <c r="L46" i="2"/>
  <c r="L47" i="2" s="1"/>
  <c r="M46" i="2"/>
  <c r="M47" i="2" s="1"/>
  <c r="D46" i="2"/>
  <c r="AA46" i="2" l="1"/>
  <c r="D47" i="2"/>
  <c r="Y46" i="2"/>
  <c r="X46" i="2" s="1"/>
  <c r="Z46" i="2"/>
  <c r="I29" i="17"/>
  <c r="F33" i="17" l="1"/>
  <c r="B37" i="4" l="1"/>
  <c r="F23" i="17" l="1"/>
  <c r="F24" i="17" s="1"/>
  <c r="H40" i="2"/>
  <c r="H45" i="2" s="1"/>
  <c r="E40" i="2"/>
  <c r="E45" i="2" s="1"/>
  <c r="K3" i="5" l="1"/>
  <c r="F34" i="17" l="1"/>
  <c r="I14" i="17" s="1"/>
  <c r="O40" i="5" l="1"/>
  <c r="O39" i="5"/>
  <c r="O38" i="5"/>
  <c r="O37" i="5"/>
  <c r="O36" i="5"/>
  <c r="O35" i="5"/>
  <c r="O34" i="5"/>
  <c r="O33" i="5"/>
  <c r="O32" i="5"/>
  <c r="O64" i="5" l="1"/>
  <c r="O63" i="5"/>
  <c r="O62" i="5"/>
  <c r="O61" i="5"/>
  <c r="O60" i="5"/>
  <c r="O59" i="5"/>
  <c r="O58" i="5"/>
  <c r="O57" i="5"/>
  <c r="O56" i="5"/>
  <c r="R65" i="5" l="1"/>
  <c r="X32" i="5"/>
  <c r="AD32" i="5"/>
  <c r="X34" i="5"/>
  <c r="AD34" i="5"/>
  <c r="X38" i="5"/>
  <c r="AD38" i="5"/>
  <c r="X40" i="5"/>
  <c r="AD40" i="5"/>
  <c r="AA34" i="5"/>
  <c r="AD59" i="5"/>
  <c r="R63" i="5"/>
  <c r="AD63" i="5"/>
  <c r="R58" i="5"/>
  <c r="AD58" i="5"/>
  <c r="R62" i="5"/>
  <c r="AD62" i="5"/>
  <c r="R56" i="5"/>
  <c r="AD56" i="5"/>
  <c r="R60" i="5"/>
  <c r="AD60" i="5"/>
  <c r="AA63" i="5"/>
  <c r="R59" i="5"/>
  <c r="AA59" i="5"/>
  <c r="U35" i="5"/>
  <c r="X65" i="5"/>
  <c r="AD65" i="5"/>
  <c r="R64" i="5"/>
  <c r="AD64" i="5"/>
  <c r="AA58" i="5"/>
  <c r="AA62" i="5"/>
  <c r="AA65" i="5"/>
  <c r="AA57" i="5"/>
  <c r="AA61" i="5"/>
  <c r="AA56" i="5"/>
  <c r="R57" i="5"/>
  <c r="AD57" i="5"/>
  <c r="AA60" i="5"/>
  <c r="R61" i="5"/>
  <c r="AD61" i="5"/>
  <c r="AA64" i="5"/>
  <c r="U39" i="5"/>
  <c r="AA40" i="5"/>
  <c r="AA38" i="5"/>
  <c r="AA32" i="5"/>
  <c r="X36" i="5"/>
  <c r="AD36" i="5"/>
  <c r="AA36" i="5"/>
  <c r="R32" i="5"/>
  <c r="U37" i="5"/>
  <c r="U33" i="5"/>
  <c r="U31" i="5"/>
  <c r="X56" i="5"/>
  <c r="X57" i="5"/>
  <c r="X58" i="5"/>
  <c r="X59" i="5"/>
  <c r="X60" i="5"/>
  <c r="X61" i="5"/>
  <c r="X62" i="5"/>
  <c r="X63" i="5"/>
  <c r="X64" i="5"/>
  <c r="U56" i="5"/>
  <c r="U57" i="5"/>
  <c r="U58" i="5"/>
  <c r="U59" i="5"/>
  <c r="U60" i="5"/>
  <c r="U61" i="5"/>
  <c r="U62" i="5"/>
  <c r="U63" i="5"/>
  <c r="U64" i="5"/>
  <c r="U65" i="5"/>
  <c r="AA31" i="5"/>
  <c r="U32" i="5"/>
  <c r="X33" i="5"/>
  <c r="AD33" i="5"/>
  <c r="AA35" i="5"/>
  <c r="U36" i="5"/>
  <c r="X37" i="5"/>
  <c r="AD37" i="5"/>
  <c r="AA39" i="5"/>
  <c r="R31" i="5"/>
  <c r="X31" i="5"/>
  <c r="AD31" i="5"/>
  <c r="AA33" i="5"/>
  <c r="U34" i="5"/>
  <c r="X35" i="5"/>
  <c r="AD35" i="5"/>
  <c r="AA37" i="5"/>
  <c r="U38" i="5"/>
  <c r="X39" i="5"/>
  <c r="AD39" i="5"/>
  <c r="R33" i="5"/>
  <c r="R34" i="5"/>
  <c r="R35" i="5"/>
  <c r="R36" i="5"/>
  <c r="R37" i="5"/>
  <c r="R38" i="5"/>
  <c r="R39" i="5"/>
  <c r="R40" i="5"/>
  <c r="U40" i="5"/>
  <c r="P141" i="2" l="1"/>
  <c r="N141" i="2"/>
  <c r="U141" i="2"/>
  <c r="Q141" i="2"/>
  <c r="W141" i="2"/>
  <c r="R141" i="2"/>
  <c r="S141" i="2"/>
  <c r="T141" i="2"/>
  <c r="O141" i="2"/>
  <c r="V141" i="2"/>
  <c r="J119" i="2"/>
  <c r="J120" i="2" s="1"/>
  <c r="H119" i="2"/>
  <c r="H120" i="2" s="1"/>
  <c r="I119" i="2"/>
  <c r="I120" i="2" s="1"/>
  <c r="E119" i="2"/>
  <c r="E120" i="2" s="1"/>
  <c r="G119" i="2"/>
  <c r="G120" i="2" s="1"/>
  <c r="F119" i="2"/>
  <c r="F120" i="2" s="1"/>
  <c r="K119" i="2"/>
  <c r="K120" i="2" s="1"/>
  <c r="M119" i="2"/>
  <c r="M120" i="2" s="1"/>
  <c r="L119" i="2"/>
  <c r="L120" i="2" s="1"/>
  <c r="D119" i="2"/>
  <c r="E140" i="2"/>
  <c r="X119" i="2" l="1"/>
  <c r="D120" i="2"/>
  <c r="X120" i="2" s="1"/>
  <c r="G140" i="2"/>
  <c r="D140" i="2"/>
  <c r="F140" i="2"/>
  <c r="F40" i="2" l="1"/>
  <c r="F45" i="2" s="1"/>
  <c r="G40" i="2"/>
  <c r="G45" i="2" s="1"/>
  <c r="I40" i="2"/>
  <c r="I45" i="2" s="1"/>
  <c r="J40" i="2"/>
  <c r="J45" i="2" s="1"/>
  <c r="K40" i="2"/>
  <c r="K45" i="2" s="1"/>
  <c r="L40" i="2"/>
  <c r="L45" i="2" s="1"/>
  <c r="M40" i="2"/>
  <c r="M45" i="2" s="1"/>
  <c r="D40" i="2"/>
  <c r="AB45" i="2" s="1"/>
  <c r="D45" i="2" l="1"/>
  <c r="AA45" i="2" s="1"/>
  <c r="B81" i="4"/>
  <c r="B70" i="4"/>
  <c r="B59" i="4"/>
  <c r="Z45" i="2" l="1"/>
  <c r="Y45" i="2"/>
  <c r="X45" i="2" s="1"/>
  <c r="H22" i="2" s="1"/>
  <c r="J26" i="5"/>
  <c r="J29" i="5"/>
  <c r="J50" i="5"/>
  <c r="J46" i="5"/>
  <c r="J47" i="5"/>
  <c r="K46" i="5"/>
  <c r="J49" i="5"/>
  <c r="J45" i="5"/>
  <c r="K44" i="5"/>
  <c r="K45" i="5"/>
  <c r="J48" i="5"/>
  <c r="P80" i="4" s="1"/>
  <c r="K36" i="5"/>
  <c r="J39" i="5"/>
  <c r="P69" i="4" s="1"/>
  <c r="J35" i="5"/>
  <c r="J40" i="5"/>
  <c r="K35" i="5"/>
  <c r="J38" i="5"/>
  <c r="K37" i="5"/>
  <c r="J41" i="5"/>
  <c r="J37" i="5"/>
  <c r="J36" i="5"/>
  <c r="J32" i="5"/>
  <c r="J28" i="5"/>
  <c r="J30" i="5"/>
  <c r="P58" i="4" s="1"/>
  <c r="K28" i="5"/>
  <c r="J31" i="5"/>
  <c r="J27" i="5"/>
  <c r="K27" i="5"/>
  <c r="K26" i="5"/>
  <c r="G12" i="5"/>
  <c r="J20" i="5" l="1"/>
  <c r="J22" i="5"/>
  <c r="K18" i="5"/>
  <c r="J21" i="5"/>
  <c r="K17" i="5"/>
  <c r="J23" i="5"/>
  <c r="D141" i="2" l="1"/>
  <c r="B48" i="4" l="1"/>
  <c r="E7" i="5" l="1"/>
  <c r="C24" i="5"/>
  <c r="C25" i="5"/>
  <c r="C26" i="5"/>
  <c r="C27" i="5"/>
  <c r="C31" i="5"/>
  <c r="C32" i="5"/>
  <c r="C33" i="5"/>
  <c r="K50" i="5" l="1"/>
  <c r="K48" i="5"/>
  <c r="K38" i="5"/>
  <c r="K40" i="5"/>
  <c r="K31" i="5"/>
  <c r="K47" i="5"/>
  <c r="K30" i="5"/>
  <c r="K49" i="5"/>
  <c r="K41" i="5"/>
  <c r="K32" i="5"/>
  <c r="K29" i="5"/>
  <c r="K39" i="5"/>
  <c r="K7" i="5"/>
  <c r="K23" i="5"/>
  <c r="K10" i="5"/>
  <c r="K6" i="5"/>
  <c r="K20" i="5"/>
  <c r="K22" i="5"/>
  <c r="K9" i="5"/>
  <c r="K21" i="5"/>
  <c r="K19" i="5"/>
  <c r="E33" i="5"/>
  <c r="E28" i="5"/>
  <c r="C28" i="5" s="1"/>
  <c r="E27" i="5"/>
  <c r="J8" i="5" l="1"/>
  <c r="K8" i="5"/>
  <c r="J140" i="2"/>
  <c r="J141" i="2" s="1"/>
  <c r="E141" i="2"/>
  <c r="G141" i="2"/>
  <c r="I140" i="2"/>
  <c r="I141" i="2" s="1"/>
  <c r="L140" i="2"/>
  <c r="L141" i="2" s="1"/>
  <c r="K140" i="2"/>
  <c r="K141" i="2" s="1"/>
  <c r="M140" i="2"/>
  <c r="M141" i="2" s="1"/>
  <c r="H140" i="2"/>
  <c r="F141" i="2"/>
  <c r="H141" i="2" l="1"/>
  <c r="X141" i="2" s="1"/>
  <c r="H106" i="2" s="1"/>
  <c r="X140" i="2"/>
</calcChain>
</file>

<file path=xl/comments1.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2.xml><?xml version="1.0" encoding="utf-8"?>
<comments xmlns="http://schemas.openxmlformats.org/spreadsheetml/2006/main">
  <authors>
    <author>鈴木 行雄</author>
    <author>CN</author>
  </authors>
  <commentList>
    <comment ref="F22" authorId="0" shapeId="0">
      <text>
        <r>
          <rPr>
            <sz val="16"/>
            <color indexed="10"/>
            <rFont val="メイリオ"/>
            <family val="3"/>
            <charset val="128"/>
          </rPr>
          <t>※既設・更新を含め設置された又は設置する
【全ての換気設備】を記入してください。</t>
        </r>
      </text>
    </comment>
    <comment ref="C58"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58" authorId="1" shapeId="0">
      <text>
        <r>
          <rPr>
            <sz val="12"/>
            <color indexed="10"/>
            <rFont val="メイリオ"/>
            <family val="3"/>
            <charset val="128"/>
          </rPr>
          <t>＜平面図記載記号について＞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8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80" authorId="1" shapeId="0">
      <text>
        <r>
          <rPr>
            <sz val="12"/>
            <color indexed="10"/>
            <rFont val="メイリオ"/>
            <family val="3"/>
            <charset val="128"/>
          </rPr>
          <t>＜平面図記載記号について＞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G103" authorId="0" shapeId="0">
      <text>
        <r>
          <rPr>
            <sz val="12"/>
            <color indexed="10"/>
            <rFont val="メイリオ"/>
            <family val="3"/>
            <charset val="128"/>
          </rPr>
          <t>＜空調設備更新の有無＞</t>
        </r>
        <r>
          <rPr>
            <sz val="12"/>
            <color indexed="81"/>
            <rFont val="メイリオ"/>
            <family val="3"/>
            <charset val="128"/>
          </rPr>
          <t>をプルダウンメニューより選択してください。</t>
        </r>
      </text>
    </comment>
    <comment ref="H106" authorId="0" shapeId="0">
      <text>
        <r>
          <rPr>
            <sz val="12"/>
            <color indexed="32"/>
            <rFont val="メイリオ"/>
            <family val="3"/>
            <charset val="128"/>
          </rPr>
          <t>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5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52" authorId="1" shapeId="0">
      <text>
        <r>
          <rPr>
            <sz val="12"/>
            <color indexed="10"/>
            <rFont val="メイリオ"/>
            <family val="3"/>
            <charset val="128"/>
          </rPr>
          <t>＜平面図記載記号について＞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52" authorId="1" shapeId="0">
      <text>
        <r>
          <rPr>
            <sz val="12"/>
            <color indexed="81"/>
            <rFont val="メイリオ"/>
            <family val="3"/>
            <charset val="128"/>
          </rPr>
          <t>（　）内に室外機の型番を記入すること。</t>
        </r>
      </text>
    </comment>
    <comment ref="C17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74" authorId="1" shapeId="0">
      <text>
        <r>
          <rPr>
            <sz val="12"/>
            <color indexed="10"/>
            <rFont val="メイリオ"/>
            <family val="3"/>
            <charset val="128"/>
          </rPr>
          <t>＜平面図記載記号について＞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74" authorId="1" shapeId="0">
      <text>
        <r>
          <rPr>
            <sz val="12"/>
            <color indexed="81"/>
            <rFont val="メイリオ"/>
            <family val="3"/>
            <charset val="128"/>
          </rPr>
          <t>（　）内に室外機の型番を記入すること。</t>
        </r>
      </text>
    </comment>
  </commentList>
</comments>
</file>

<file path=xl/comments3.xml><?xml version="1.0" encoding="utf-8"?>
<comments xmlns="http://schemas.openxmlformats.org/spreadsheetml/2006/main">
  <authors>
    <author>鈴木 行雄</author>
  </authors>
  <commentList>
    <comment ref="B22" authorId="0" shapeId="0">
      <text>
        <r>
          <rPr>
            <sz val="12"/>
            <color indexed="10"/>
            <rFont val="メイリオ"/>
            <family val="3"/>
            <charset val="128"/>
          </rPr>
          <t>年度</t>
        </r>
        <r>
          <rPr>
            <sz val="12"/>
            <color indexed="81"/>
            <rFont val="メイリオ"/>
            <family val="3"/>
            <charset val="128"/>
          </rPr>
          <t>をプルダウンメニューより選択</t>
        </r>
      </text>
    </comment>
    <comment ref="E33"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3"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4" authorId="0" shapeId="0">
      <text>
        <r>
          <rPr>
            <sz val="12"/>
            <color indexed="10"/>
            <rFont val="メイリオ"/>
            <family val="3"/>
            <charset val="128"/>
          </rPr>
          <t>年度</t>
        </r>
        <r>
          <rPr>
            <sz val="12"/>
            <color indexed="81"/>
            <rFont val="メイリオ"/>
            <family val="3"/>
            <charset val="128"/>
          </rPr>
          <t>をプルダウンメニューより選択</t>
        </r>
      </text>
    </comment>
    <comment ref="E4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5" authorId="0" shapeId="0">
      <text>
        <r>
          <rPr>
            <sz val="12"/>
            <color indexed="10"/>
            <rFont val="メイリオ"/>
            <family val="3"/>
            <charset val="128"/>
          </rPr>
          <t>年度</t>
        </r>
        <r>
          <rPr>
            <sz val="12"/>
            <color indexed="81"/>
            <rFont val="メイリオ"/>
            <family val="3"/>
            <charset val="128"/>
          </rPr>
          <t>をプルダウンメニューより選択</t>
        </r>
      </text>
    </comment>
    <comment ref="E5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6" authorId="0" shapeId="0">
      <text>
        <r>
          <rPr>
            <sz val="12"/>
            <color indexed="10"/>
            <rFont val="メイリオ"/>
            <family val="3"/>
            <charset val="128"/>
          </rPr>
          <t>年度</t>
        </r>
        <r>
          <rPr>
            <sz val="12"/>
            <color indexed="81"/>
            <rFont val="メイリオ"/>
            <family val="3"/>
            <charset val="128"/>
          </rPr>
          <t>をプルダウンメニューより選択</t>
        </r>
      </text>
    </comment>
    <comment ref="E6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7" authorId="0" shapeId="0">
      <text>
        <r>
          <rPr>
            <sz val="12"/>
            <color indexed="10"/>
            <rFont val="メイリオ"/>
            <family val="3"/>
            <charset val="128"/>
          </rPr>
          <t>年度</t>
        </r>
        <r>
          <rPr>
            <sz val="12"/>
            <color indexed="81"/>
            <rFont val="メイリオ"/>
            <family val="3"/>
            <charset val="128"/>
          </rPr>
          <t>をプルダウンメニューより選択</t>
        </r>
      </text>
    </comment>
    <comment ref="E77"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8"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4.xml><?xml version="1.0" encoding="utf-8"?>
<comments xmlns="http://schemas.openxmlformats.org/spreadsheetml/2006/main">
  <authors>
    <author>鈴木 行雄</author>
  </authors>
  <commentList>
    <comment ref="I14" authorId="0" shapeId="0">
      <text>
        <r>
          <rPr>
            <sz val="12"/>
            <color indexed="81"/>
            <rFont val="メイリオ"/>
            <family val="3"/>
            <charset val="128"/>
          </rPr>
          <t>【４．年間エネルギー使用量】を
　入力できる申請者は、
　本シートの入力は、不要です。</t>
        </r>
      </text>
    </comment>
    <comment ref="I16" authorId="0" shapeId="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sharedStrings.xml><?xml version="1.0" encoding="utf-8"?>
<sst xmlns="http://schemas.openxmlformats.org/spreadsheetml/2006/main" count="968" uniqueCount="526">
  <si>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</si>
  <si>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</si>
  <si>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</si>
  <si>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</si>
  <si>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</si>
  <si>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</si>
  <si>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</si>
  <si>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</si>
  <si>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</si>
  <si>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</si>
  <si>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</si>
  <si>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</si>
  <si>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</si>
  <si>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</si>
  <si>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</si>
  <si>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</si>
  <si>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</si>
  <si>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</si>
  <si>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使用量</t>
    <rPh sb="0" eb="3">
      <t>シヨウリョウ</t>
    </rPh>
    <phoneticPr fontId="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</si>
  <si>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</si>
  <si>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</si>
  <si>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</si>
  <si>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</si>
  <si>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</si>
  <si>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</si>
  <si>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</si>
  <si>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</si>
  <si>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</si>
  <si>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</si>
  <si>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</si>
  <si>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</si>
  <si>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</si>
  <si>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</si>
  <si>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ガス使用量</t>
    <rPh sb="2" eb="5">
      <t>シヨウリョウ</t>
    </rPh>
    <phoneticPr fontId="2"/>
  </si>
  <si>
    <t>●ガス使用量・ガス料金</t>
    <rPh sb="3" eb="6">
      <t>シヨウリョウ</t>
    </rPh>
    <rPh sb="9" eb="11">
      <t>リョウキン</t>
    </rPh>
    <phoneticPr fontId="2"/>
  </si>
  <si>
    <t>※電灯と動力がある場合、合算して記入してください。</t>
    <rPh sb="1" eb="3">
      <t>デントウ</t>
    </rPh>
    <rPh sb="4" eb="6">
      <t>ドウリョク</t>
    </rPh>
    <rPh sb="9" eb="11">
      <t>バアイ</t>
    </rPh>
    <rPh sb="12" eb="14">
      <t xml:space="preserve">ガッサンシテ </t>
    </rPh>
    <rPh sb="16" eb="18">
      <t>キニュウ</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</si>
  <si>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</si>
  <si>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</si>
  <si>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</si>
  <si>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</si>
  <si>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</si>
  <si>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</si>
  <si>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</si>
  <si>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</si>
  <si>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</si>
  <si>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</si>
  <si>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</si>
  <si>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</si>
  <si>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</si>
  <si>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</si>
  <si>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</si>
  <si>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</si>
  <si>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</si>
  <si>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</si>
  <si>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</si>
  <si>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</si>
  <si>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</si>
  <si>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</si>
  <si>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</si>
  <si>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</si>
  <si>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</si>
  <si>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</si>
  <si>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</si>
  <si>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</si>
  <si>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B・Ｃ重油</t>
    <phoneticPr fontId="12"/>
  </si>
  <si>
    <t>m3/t</t>
    <phoneticPr fontId="12"/>
  </si>
  <si>
    <t>ＬＰＧ［m3］：</t>
    <phoneticPr fontId="12"/>
  </si>
  <si>
    <t>A重油</t>
    <phoneticPr fontId="12"/>
  </si>
  <si>
    <t>都市ガス［Nm3］：</t>
    <rPh sb="0" eb="2">
      <t>トシ</t>
    </rPh>
    <phoneticPr fontId="12"/>
  </si>
  <si>
    <t>軽油</t>
    <phoneticPr fontId="12"/>
  </si>
  <si>
    <t>単位発熱量</t>
    <rPh sb="0" eb="2">
      <t>タンイ</t>
    </rPh>
    <rPh sb="2" eb="4">
      <t>ハツネツ</t>
    </rPh>
    <rPh sb="4" eb="5">
      <t>リョウ</t>
    </rPh>
    <phoneticPr fontId="12"/>
  </si>
  <si>
    <t>灯油</t>
    <phoneticPr fontId="12"/>
  </si>
  <si>
    <t>水素ガス</t>
    <phoneticPr fontId="12"/>
  </si>
  <si>
    <t>CO2分子量</t>
    <rPh sb="3" eb="6">
      <t>ブンシリョウ</t>
    </rPh>
    <phoneticPr fontId="12"/>
  </si>
  <si>
    <t>kL/GJ</t>
  </si>
  <si>
    <t>原油換算［kL］：</t>
    <rPh sb="0" eb="2">
      <t>ゲンユ</t>
    </rPh>
    <rPh sb="2" eb="4">
      <t>カンサン</t>
    </rPh>
    <phoneticPr fontId="12"/>
  </si>
  <si>
    <t>産業用蒸気</t>
    <phoneticPr fontId="12"/>
  </si>
  <si>
    <t>LPG</t>
    <phoneticPr fontId="12"/>
  </si>
  <si>
    <t>t-CO2/GJ</t>
  </si>
  <si>
    <t>GJ/GJ</t>
  </si>
  <si>
    <t>産業用以外の蒸気［MJ］：</t>
    <rPh sb="0" eb="3">
      <t>サンギョウヨウ</t>
    </rPh>
    <rPh sb="3" eb="5">
      <t>イガイ</t>
    </rPh>
    <rPh sb="6" eb="8">
      <t>ジョウキ</t>
    </rPh>
    <phoneticPr fontId="15"/>
  </si>
  <si>
    <t>温水・冷水</t>
    <phoneticPr fontId="12"/>
  </si>
  <si>
    <t>都市ガス</t>
    <phoneticPr fontId="12"/>
  </si>
  <si>
    <t>産業用蒸気［MJ］：</t>
    <rPh sb="0" eb="3">
      <t>サンギョウヨウ</t>
    </rPh>
    <rPh sb="3" eb="5">
      <t>ジョウキ</t>
    </rPh>
    <phoneticPr fontId="15"/>
  </si>
  <si>
    <t>t-CO2/GJ</t>
    <phoneticPr fontId="12"/>
  </si>
  <si>
    <t>GJ/GJ</t>
    <phoneticPr fontId="15"/>
  </si>
  <si>
    <t>温水・冷水［MJ］：</t>
    <rPh sb="0" eb="2">
      <t>オンスイ</t>
    </rPh>
    <rPh sb="3" eb="5">
      <t>レイスイ</t>
    </rPh>
    <phoneticPr fontId="12"/>
  </si>
  <si>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</si>
  <si>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</si>
  <si>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</si>
  <si>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</si>
  <si>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</si>
  <si>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</si>
  <si>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</si>
  <si>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</si>
  <si>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</si>
  <si>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</si>
  <si>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</si>
  <si>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</si>
  <si>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</si>
  <si>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</si>
  <si>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</si>
  <si>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</si>
  <si>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</si>
  <si>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</si>
  <si>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</si>
  <si>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</si>
  <si>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</si>
  <si>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</si>
  <si>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</si>
  <si>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</si>
  <si>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</si>
  <si>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</si>
  <si>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</si>
  <si>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</si>
  <si>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</si>
  <si>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</si>
  <si>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</si>
  <si>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</si>
  <si>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</si>
  <si>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</si>
  <si>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</si>
  <si>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</si>
  <si>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</si>
  <si>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</si>
  <si>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</si>
  <si>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</si>
  <si>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</si>
  <si>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</si>
  <si>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</si>
  <si>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</si>
  <si>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</si>
  <si>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</si>
  <si>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</si>
  <si>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</si>
  <si>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</si>
  <si>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産業用以外の蒸気</t>
    <phoneticPr fontId="12"/>
  </si>
  <si>
    <t>セルに必要事項を入力してください。</t>
    <rPh sb="3" eb="5">
      <t>ヒツヨウ</t>
    </rPh>
    <rPh sb="5" eb="7">
      <t>ジコウ</t>
    </rPh>
    <rPh sb="8" eb="10">
      <t>ニュウリョク</t>
    </rPh>
    <phoneticPr fontId="2"/>
  </si>
  <si>
    <t>数式により自動計算します。入力できません。</t>
    <rPh sb="0" eb="2">
      <t>スウシキ</t>
    </rPh>
    <rPh sb="5" eb="7">
      <t>ジドウ</t>
    </rPh>
    <rPh sb="7" eb="9">
      <t>ケイサン</t>
    </rPh>
    <rPh sb="13" eb="15">
      <t>ニュウリョク</t>
    </rPh>
    <phoneticPr fontId="2"/>
  </si>
  <si>
    <t>室</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</si>
  <si>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</si>
  <si>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</si>
  <si>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</si>
  <si>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</si>
  <si>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</si>
  <si>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</si>
  <si>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</si>
  <si>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</si>
  <si>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</si>
  <si>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</si>
  <si>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</si>
  <si>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</si>
  <si>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</si>
  <si>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</si>
  <si>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</si>
  <si>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</si>
  <si>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A_1</t>
    <phoneticPr fontId="2"/>
  </si>
  <si>
    <t>A_2</t>
  </si>
  <si>
    <t>A_3</t>
  </si>
  <si>
    <t>A_4</t>
  </si>
  <si>
    <t>A_5</t>
  </si>
  <si>
    <t>A_6</t>
  </si>
  <si>
    <t>A_7</t>
  </si>
  <si>
    <t>A_8</t>
  </si>
  <si>
    <t>A_9</t>
  </si>
  <si>
    <t>A_10</t>
  </si>
  <si>
    <t>A_12</t>
  </si>
  <si>
    <t>A_13</t>
  </si>
  <si>
    <t>A_14</t>
  </si>
  <si>
    <t>A_15</t>
  </si>
  <si>
    <t>A_16</t>
  </si>
  <si>
    <t>A_17</t>
  </si>
  <si>
    <t>A_18</t>
  </si>
  <si>
    <t>A_19</t>
  </si>
  <si>
    <t>A_20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</si>
  <si>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</si>
  <si>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</si>
  <si>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</si>
  <si>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</si>
  <si>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</si>
  <si>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</si>
  <si>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</si>
  <si>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</si>
  <si>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</si>
  <si>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</si>
  <si>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</si>
  <si>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</si>
  <si>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</si>
  <si>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有効換気量
（㎥/h)</t>
    <rPh sb="0" eb="2">
      <t>ユウコウ</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</si>
  <si>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</si>
  <si>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</si>
  <si>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</si>
  <si>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</si>
  <si>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</si>
  <si>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</si>
  <si>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</si>
  <si>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</si>
  <si>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</si>
  <si>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</si>
  <si>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</si>
  <si>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</si>
  <si>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</si>
  <si>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</si>
  <si>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●その他のエネルギー１使用量・料金</t>
    <rPh sb="3" eb="4">
      <t>タ</t>
    </rPh>
    <rPh sb="11" eb="14">
      <t>シヨウリョウ</t>
    </rPh>
    <rPh sb="15" eb="17">
      <t>リョウキン</t>
    </rPh>
    <phoneticPr fontId="2"/>
  </si>
  <si>
    <t>●その他のエネルギー２使用量・料金</t>
    <rPh sb="3" eb="4">
      <t>タ</t>
    </rPh>
    <rPh sb="11" eb="14">
      <t>シヨウリョウ</t>
    </rPh>
    <rPh sb="15" eb="17">
      <t>リョウキン</t>
    </rPh>
    <phoneticPr fontId="2"/>
  </si>
  <si>
    <t>●その他のエネルギー３使用量・料金</t>
    <rPh sb="3" eb="4">
      <t>タ</t>
    </rPh>
    <rPh sb="11" eb="14">
      <t>シヨウリョウ</t>
    </rPh>
    <rPh sb="15" eb="17">
      <t>リョウキン</t>
    </rPh>
    <phoneticPr fontId="2"/>
  </si>
  <si>
    <t>●その他のエネルギー４使用量・料金</t>
    <rPh sb="3" eb="4">
      <t>タ</t>
    </rPh>
    <rPh sb="11" eb="14">
      <t>シヨウリョウ</t>
    </rPh>
    <rPh sb="15" eb="17">
      <t>リョウキン</t>
    </rPh>
    <phoneticPr fontId="2"/>
  </si>
  <si>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</si>
  <si>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</si>
  <si>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</si>
  <si>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</si>
  <si>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</si>
  <si>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</si>
  <si>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</si>
  <si>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中小規模事業所の
規模判定</t>
    <rPh sb="0" eb="7">
      <t>チュウショウキボジギョウショ</t>
    </rPh>
    <rPh sb="9" eb="11">
      <t>キボ</t>
    </rPh>
    <rPh sb="11" eb="13">
      <t>ハンテイ</t>
    </rPh>
    <phoneticPr fontId="1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</si>
  <si>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</si>
  <si>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</si>
  <si>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APF</t>
    <phoneticPr fontId="2"/>
  </si>
  <si>
    <t>COP</t>
    <phoneticPr fontId="2"/>
  </si>
  <si>
    <t>エネルギー
消費効率</t>
    <phoneticPr fontId="2"/>
  </si>
  <si>
    <t>能力［[kW］</t>
    <rPh sb="0" eb="2">
      <t>ノウリョク</t>
    </rPh>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</si>
  <si>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</si>
  <si>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</si>
  <si>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</si>
  <si>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</si>
  <si>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</si>
  <si>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</si>
  <si>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</si>
  <si>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　　　①：導入推奨機器に指定されたもの。</t>
    <phoneticPr fontId="2"/>
  </si>
  <si>
    <t>　　　②：統一省エネルギーラベル４つ星以上であるもの。</t>
    <rPh sb="5" eb="7">
      <t>トウイツ</t>
    </rPh>
    <rPh sb="7" eb="8">
      <t>ショウ</t>
    </rPh>
    <rPh sb="18" eb="19">
      <t>ホシ</t>
    </rPh>
    <rPh sb="19" eb="21">
      <t>イジョウ</t>
    </rPh>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</si>
  <si>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</si>
  <si>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</si>
  <si>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プルダウンリストから選択してください。</t>
    <rPh sb="10" eb="12">
      <t>センタク</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</si>
  <si>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</si>
  <si>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</si>
  <si>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</si>
  <si>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X：</t>
    <phoneticPr fontId="2"/>
  </si>
  <si>
    <t>A：</t>
    <phoneticPr fontId="2"/>
  </si>
  <si>
    <t>B：</t>
    <phoneticPr fontId="2"/>
  </si>
  <si>
    <t>C：</t>
    <phoneticPr fontId="2"/>
  </si>
  <si>
    <t>事業所等における概算エネルギー使用量［GJ］</t>
    <rPh sb="0" eb="3">
      <t>ジギョウショ</t>
    </rPh>
    <rPh sb="3" eb="4">
      <t>トウ</t>
    </rPh>
    <rPh sb="8" eb="10">
      <t>ガイサン</t>
    </rPh>
    <rPh sb="15" eb="18">
      <t>シヨウリョウ</t>
    </rPh>
    <phoneticPr fontId="2"/>
  </si>
  <si>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2"/>
  </si>
  <si>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2"/>
  </si>
  <si>
    <t>事業所等の総稼働時間［h］</t>
    <rPh sb="0" eb="4">
      <t>ジギョウショトウ</t>
    </rPh>
    <rPh sb="5" eb="6">
      <t>ソウ</t>
    </rPh>
    <rPh sb="6" eb="8">
      <t>カドウ</t>
    </rPh>
    <rPh sb="8" eb="10">
      <t>ジカン</t>
    </rPh>
    <phoneticPr fontId="2"/>
  </si>
  <si>
    <t>事業所等の区分</t>
    <rPh sb="0" eb="4">
      <t>ジギョウショトウ</t>
    </rPh>
    <rPh sb="5" eb="7">
      <t>クブン</t>
    </rPh>
    <phoneticPr fontId="2"/>
  </si>
  <si>
    <t>事業所等の延床面積</t>
    <rPh sb="0" eb="4">
      <t>ジギョウショトウ</t>
    </rPh>
    <rPh sb="5" eb="6">
      <t>ノベ</t>
    </rPh>
    <rPh sb="6" eb="7">
      <t>ユカ</t>
    </rPh>
    <rPh sb="7" eb="9">
      <t>メンセキ</t>
    </rPh>
    <phoneticPr fontId="2"/>
  </si>
  <si>
    <r>
      <t>［ｍ</t>
    </r>
    <r>
      <rPr>
        <vertAlign val="superscript"/>
        <sz val="11"/>
        <color theme="1"/>
        <rFont val="メイリオ"/>
        <family val="3"/>
        <charset val="128"/>
      </rPr>
      <t>2</t>
    </r>
    <r>
      <rPr>
        <sz val="11"/>
        <color theme="1"/>
        <rFont val="メイリオ"/>
        <family val="3"/>
        <charset val="128"/>
      </rPr>
      <t>］</t>
    </r>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</si>
  <si>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</si>
  <si>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</si>
  <si>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</si>
  <si>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</si>
  <si>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</si>
  <si>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原油換算</t>
    <rPh sb="0" eb="2">
      <t>ゲンユ</t>
    </rPh>
    <rPh sb="2" eb="4">
      <t>カンサン</t>
    </rPh>
    <phoneticPr fontId="2"/>
  </si>
  <si>
    <t>エネルギー概算使用量：　X　＝　A　✕　B　✕　C　／　1000</t>
    <rPh sb="5" eb="7">
      <t>ガイサン</t>
    </rPh>
    <rPh sb="7" eb="10">
      <t>シヨウリョウ</t>
    </rPh>
    <phoneticPr fontId="2"/>
  </si>
  <si>
    <t>事務所の延床面積</t>
    <rPh sb="0" eb="2">
      <t>ジム</t>
    </rPh>
    <rPh sb="2" eb="3">
      <t>ショ</t>
    </rPh>
    <rPh sb="4" eb="5">
      <t>ノベ</t>
    </rPh>
    <rPh sb="5" eb="6">
      <t>ユカ</t>
    </rPh>
    <rPh sb="6" eb="8">
      <t>メンセキ</t>
    </rPh>
    <phoneticPr fontId="2"/>
  </si>
  <si>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2"/>
  </si>
  <si>
    <t>［h/年］</t>
    <rPh sb="3" eb="4">
      <t>ネン</t>
    </rPh>
    <phoneticPr fontId="2"/>
  </si>
  <si>
    <t>［GJ/年］</t>
    <rPh sb="4" eb="5">
      <t>ネン</t>
    </rPh>
    <phoneticPr fontId="2"/>
  </si>
  <si>
    <t>［kL/年］</t>
    <rPh sb="4" eb="5">
      <t>ネン</t>
    </rPh>
    <phoneticPr fontId="2"/>
  </si>
  <si>
    <t>事務所の予想年間
総稼働時間</t>
    <rPh sb="0" eb="2">
      <t>ジム</t>
    </rPh>
    <rPh sb="2" eb="3">
      <t>ショ</t>
    </rPh>
    <rPh sb="4" eb="6">
      <t>ヨソウ</t>
    </rPh>
    <rPh sb="6" eb="8">
      <t>ネンカン</t>
    </rPh>
    <rPh sb="9" eb="10">
      <t>ソウ</t>
    </rPh>
    <rPh sb="10" eb="12">
      <t>カドウ</t>
    </rPh>
    <rPh sb="12" eb="14">
      <t>ジカン</t>
    </rPh>
    <phoneticPr fontId="2"/>
  </si>
  <si>
    <t>事業所等の予想年間
総稼働時間</t>
    <rPh sb="0" eb="4">
      <t>ジギョウショトウ</t>
    </rPh>
    <rPh sb="5" eb="7">
      <t>ヨソウ</t>
    </rPh>
    <rPh sb="7" eb="9">
      <t>ネンカン</t>
    </rPh>
    <rPh sb="10" eb="11">
      <t>ソウ</t>
    </rPh>
    <rPh sb="11" eb="13">
      <t>カドウ</t>
    </rPh>
    <rPh sb="13" eb="15">
      <t>ジカン</t>
    </rPh>
    <phoneticPr fontId="2"/>
  </si>
  <si>
    <t>サーバーの予想年間
総稼働時間</t>
    <rPh sb="5" eb="7">
      <t>ヨソウ</t>
    </rPh>
    <rPh sb="7" eb="9">
      <t>ネンカン</t>
    </rPh>
    <rPh sb="10" eb="11">
      <t>ソウ</t>
    </rPh>
    <rPh sb="11" eb="13">
      <t>カドウ</t>
    </rPh>
    <rPh sb="13" eb="15">
      <t>ジカン</t>
    </rPh>
    <phoneticPr fontId="2"/>
  </si>
  <si>
    <t>区分の原単位</t>
    <rPh sb="0" eb="2">
      <t>クブン</t>
    </rPh>
    <rPh sb="3" eb="6">
      <t>ゲンタンイ</t>
    </rPh>
    <phoneticPr fontId="2"/>
  </si>
  <si>
    <t>【５．年間エネルギー使用量（概算）】</t>
    <rPh sb="3" eb="5">
      <t>ネンカン</t>
    </rPh>
    <rPh sb="10" eb="12">
      <t>シヨウ</t>
    </rPh>
    <rPh sb="12" eb="13">
      <t>リョウ</t>
    </rPh>
    <rPh sb="14" eb="16">
      <t>ガイサン</t>
    </rPh>
    <phoneticPr fontId="2"/>
  </si>
  <si>
    <t>エネルギー使用量（概算）</t>
    <rPh sb="5" eb="8">
      <t>シヨウリョウ</t>
    </rPh>
    <rPh sb="9" eb="11">
      <t>ガイサン</t>
    </rPh>
    <phoneticPr fontId="2"/>
  </si>
  <si>
    <t>①推奨機器</t>
    <rPh sb="1" eb="3">
      <t>スイショウ</t>
    </rPh>
    <rPh sb="3" eb="5">
      <t>キキ</t>
    </rPh>
    <phoneticPr fontId="2"/>
  </si>
  <si>
    <t>②４つ星</t>
    <rPh sb="3" eb="4">
      <t>ホシ</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</si>
  <si>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</si>
  <si>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</si>
  <si>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都市ガス［m3⇒Nm3］換算</t>
    <rPh sb="0" eb="2">
      <t>トシ</t>
    </rPh>
    <phoneticPr fontId="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</si>
  <si>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</si>
  <si>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</si>
  <si>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</si>
  <si>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</si>
  <si>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</si>
  <si>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</si>
  <si>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</si>
  <si>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</si>
  <si>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</si>
  <si>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</si>
  <si>
    <t>年度を選択</t>
  </si>
  <si>
    <t>エネルギー種別を選択</t>
    <rPh sb="5" eb="7">
      <t>シュベツ</t>
    </rPh>
    <phoneticPr fontId="12"/>
  </si>
  <si>
    <t>確認事項：事務所内の区画にサーバーを設置していますか。</t>
    <rPh sb="0" eb="2">
      <t>カクニン</t>
    </rPh>
    <rPh sb="2" eb="4">
      <t>ジコウ</t>
    </rPh>
    <phoneticPr fontId="12"/>
  </si>
  <si>
    <t>事務所</t>
    <rPh sb="0" eb="3">
      <t>ジムショ</t>
    </rPh>
    <phoneticPr fontId="2"/>
  </si>
  <si>
    <t>サーバーの設置を確認</t>
  </si>
  <si>
    <t>【空調設備】</t>
    <rPh sb="1" eb="3">
      <t>クウチョウ</t>
    </rPh>
    <rPh sb="3" eb="5">
      <t>セツビ</t>
    </rPh>
    <phoneticPr fontId="2"/>
  </si>
  <si>
    <t>教育施設（私学以外）</t>
    <rPh sb="0" eb="4">
      <t>キョウイクシセツ</t>
    </rPh>
    <rPh sb="5" eb="7">
      <t>シガク</t>
    </rPh>
    <rPh sb="7" eb="9">
      <t>イガイ</t>
    </rPh>
    <phoneticPr fontId="12"/>
  </si>
  <si>
    <t>工場</t>
    <rPh sb="0" eb="2">
      <t>コウジョウ</t>
    </rPh>
    <phoneticPr fontId="2"/>
  </si>
  <si>
    <t>倉庫</t>
    <rPh sb="0" eb="2">
      <t>ソウコ</t>
    </rPh>
    <phoneticPr fontId="12"/>
  </si>
  <si>
    <t>私学学校</t>
    <rPh sb="0" eb="2">
      <t>シガク</t>
    </rPh>
    <rPh sb="2" eb="4">
      <t>ガッコウ</t>
    </rPh>
    <phoneticPr fontId="12"/>
  </si>
  <si>
    <t>高効率換気入力</t>
    <rPh sb="0" eb="1">
      <t>コウ</t>
    </rPh>
    <rPh sb="1" eb="3">
      <t>コウリツ</t>
    </rPh>
    <rPh sb="3" eb="5">
      <t>カンキ</t>
    </rPh>
    <rPh sb="5" eb="7">
      <t>ニュウリョク</t>
    </rPh>
    <phoneticPr fontId="12"/>
  </si>
  <si>
    <t>　　なお、既設の熱交換型換気設備等を継続して使用する場合、導入の区分は必ず＜継続＞を選択してください。</t>
    <rPh sb="5" eb="7">
      <t>キセツ</t>
    </rPh>
    <rPh sb="8" eb="11">
      <t>ネツコウカン</t>
    </rPh>
    <rPh sb="11" eb="12">
      <t>カタ</t>
    </rPh>
    <rPh sb="12" eb="14">
      <t>カンキ</t>
    </rPh>
    <rPh sb="14" eb="16">
      <t>セツビ</t>
    </rPh>
    <rPh sb="16" eb="17">
      <t>トウ</t>
    </rPh>
    <rPh sb="18" eb="20">
      <t>ケイゾク</t>
    </rPh>
    <rPh sb="22" eb="24">
      <t>シヨウ</t>
    </rPh>
    <rPh sb="26" eb="28">
      <t>バアイ</t>
    </rPh>
    <rPh sb="35" eb="36">
      <t>カナラ</t>
    </rPh>
    <rPh sb="42" eb="44">
      <t>センタク</t>
    </rPh>
    <phoneticPr fontId="2"/>
  </si>
  <si>
    <t>【室用途】</t>
    <rPh sb="1" eb="2">
      <t>シツ</t>
    </rPh>
    <rPh sb="2" eb="4">
      <t>ヨウト</t>
    </rPh>
    <phoneticPr fontId="2"/>
  </si>
  <si>
    <t>工場</t>
    <rPh sb="0" eb="2">
      <t>コウジョウ</t>
    </rPh>
    <phoneticPr fontId="12"/>
  </si>
  <si>
    <t>空調設備の種類</t>
    <rPh sb="0" eb="2">
      <t>クウチョウ</t>
    </rPh>
    <rPh sb="2" eb="4">
      <t>セツビ</t>
    </rPh>
    <rPh sb="5" eb="7">
      <t>シュルイ</t>
    </rPh>
    <phoneticPr fontId="2"/>
  </si>
  <si>
    <r>
      <t>＜換気設備の新旧機器リスト入力表＞</t>
    </r>
    <r>
      <rPr>
        <sz val="14"/>
        <color rgb="FFFF0000"/>
        <rFont val="メイリオ"/>
        <family val="3"/>
        <charset val="128"/>
      </rPr>
      <t>（機器型番ごとにまとめて記入すること）</t>
    </r>
    <rPh sb="1" eb="3">
      <t>カンキ</t>
    </rPh>
    <rPh sb="3" eb="5">
      <t>セツビ</t>
    </rPh>
    <rPh sb="6" eb="8">
      <t>シンキュウ</t>
    </rPh>
    <rPh sb="8" eb="10">
      <t>キキ</t>
    </rPh>
    <rPh sb="13" eb="15">
      <t>ニュウリョク</t>
    </rPh>
    <rPh sb="15" eb="16">
      <t>ヒョウ</t>
    </rPh>
    <rPh sb="29" eb="31">
      <t>キニュウ</t>
    </rPh>
    <phoneticPr fontId="2"/>
  </si>
  <si>
    <r>
      <t>＜空調設備の新旧機器リスト入力表＞</t>
    </r>
    <r>
      <rPr>
        <sz val="14"/>
        <color rgb="FFFF0000"/>
        <rFont val="メイリオ"/>
        <family val="3"/>
        <charset val="128"/>
      </rPr>
      <t>（機器型番ごとにまとめて記入すること）</t>
    </r>
    <rPh sb="1" eb="3">
      <t>クウチョウ</t>
    </rPh>
    <rPh sb="3" eb="5">
      <t>セツビ</t>
    </rPh>
    <rPh sb="6" eb="8">
      <t>シンキュウ</t>
    </rPh>
    <rPh sb="8" eb="10">
      <t>キキ</t>
    </rPh>
    <rPh sb="13" eb="15">
      <t>ニュウリョク</t>
    </rPh>
    <rPh sb="15" eb="16">
      <t>ヒョウ</t>
    </rPh>
    <rPh sb="29" eb="31">
      <t>キニュウ</t>
    </rPh>
    <phoneticPr fontId="2"/>
  </si>
  <si>
    <t>機械換気確認</t>
    <rPh sb="0" eb="2">
      <t>キカイ</t>
    </rPh>
    <rPh sb="2" eb="4">
      <t>カンキ</t>
    </rPh>
    <rPh sb="4" eb="6">
      <t>カクニン</t>
    </rPh>
    <phoneticPr fontId="12"/>
  </si>
  <si>
    <t>熱交要件</t>
    <rPh sb="0" eb="2">
      <t>ネツコウ</t>
    </rPh>
    <rPh sb="2" eb="4">
      <t>ヨウケン</t>
    </rPh>
    <phoneticPr fontId="12"/>
  </si>
  <si>
    <t>選択確認</t>
    <rPh sb="0" eb="2">
      <t>センタク</t>
    </rPh>
    <rPh sb="2" eb="4">
      <t>カクニン</t>
    </rPh>
    <phoneticPr fontId="12"/>
  </si>
  <si>
    <t>空調選択確認</t>
    <rPh sb="0" eb="2">
      <t>クウチョウ</t>
    </rPh>
    <rPh sb="2" eb="4">
      <t>センタク</t>
    </rPh>
    <rPh sb="4" eb="6">
      <t>カクニン</t>
    </rPh>
    <phoneticPr fontId="12"/>
  </si>
  <si>
    <t>エネ選択確認</t>
    <rPh sb="2" eb="4">
      <t>センタク</t>
    </rPh>
    <rPh sb="4" eb="6">
      <t>カクニン</t>
    </rPh>
    <phoneticPr fontId="12"/>
  </si>
  <si>
    <t>エネ確認</t>
    <rPh sb="2" eb="4">
      <t>カクニン</t>
    </rPh>
    <phoneticPr fontId="12"/>
  </si>
  <si>
    <t>空調確認</t>
    <rPh sb="0" eb="2">
      <t>クウチョウ</t>
    </rPh>
    <rPh sb="2" eb="4">
      <t>カクニン</t>
    </rPh>
    <phoneticPr fontId="12"/>
  </si>
  <si>
    <t>換気一体要件</t>
    <rPh sb="0" eb="2">
      <t>カンキ</t>
    </rPh>
    <rPh sb="2" eb="4">
      <t>イッタイ</t>
    </rPh>
    <rPh sb="4" eb="6">
      <t>ヨウケン</t>
    </rPh>
    <phoneticPr fontId="12"/>
  </si>
  <si>
    <t>構成型番（室外機）</t>
    <rPh sb="0" eb="2">
      <t>コウセイ</t>
    </rPh>
    <rPh sb="2" eb="4">
      <t>カタバン</t>
    </rPh>
    <rPh sb="5" eb="8">
      <t>シツガイキ</t>
    </rPh>
    <phoneticPr fontId="2"/>
  </si>
  <si>
    <t>B_1</t>
    <phoneticPr fontId="2"/>
  </si>
  <si>
    <t>B_2</t>
  </si>
  <si>
    <t>B_3</t>
  </si>
  <si>
    <t>B_4</t>
  </si>
  <si>
    <t>B_5</t>
  </si>
  <si>
    <t>B_6</t>
  </si>
  <si>
    <t>B_7</t>
  </si>
  <si>
    <t>B_8</t>
  </si>
  <si>
    <t>B_9</t>
  </si>
  <si>
    <t>B_10</t>
  </si>
  <si>
    <t>C_1</t>
    <phoneticPr fontId="2"/>
  </si>
  <si>
    <t>C_2</t>
  </si>
  <si>
    <t>C_3</t>
  </si>
  <si>
    <t>C_4</t>
  </si>
  <si>
    <t>C_5</t>
  </si>
  <si>
    <t>C_6</t>
  </si>
  <si>
    <t>C_7</t>
  </si>
  <si>
    <t>C_8</t>
  </si>
  <si>
    <t>C_9</t>
  </si>
  <si>
    <t>C_10</t>
  </si>
  <si>
    <t>D_1</t>
    <phoneticPr fontId="2"/>
  </si>
  <si>
    <t>D_2</t>
  </si>
  <si>
    <t>D_3</t>
  </si>
  <si>
    <t>D_4</t>
  </si>
  <si>
    <t>D_5</t>
  </si>
  <si>
    <t>D_6</t>
  </si>
  <si>
    <t>D_7</t>
  </si>
  <si>
    <t>D_8</t>
  </si>
  <si>
    <t>D_9</t>
  </si>
  <si>
    <t>D_10</t>
  </si>
  <si>
    <t>C_2</t>
    <phoneticPr fontId="12"/>
  </si>
  <si>
    <t>D_2</t>
    <phoneticPr fontId="1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</si>
  <si>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</si>
  <si>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</si>
  <si>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</si>
  <si>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</si>
  <si>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</si>
  <si>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</si>
  <si>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</si>
  <si>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</si>
  <si>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</si>
  <si>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</si>
  <si>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</si>
  <si>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</si>
  <si>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</si>
  <si>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</si>
  <si>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</si>
  <si>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</si>
  <si>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</si>
  <si>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</si>
  <si>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</si>
  <si>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</si>
  <si>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</si>
  <si>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</si>
  <si>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</si>
  <si>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</si>
  <si>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</si>
  <si>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</si>
  <si>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</si>
  <si>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</si>
  <si>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</si>
  <si>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</si>
  <si>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導入前後の換気量の要件を判定します。</t>
    <rPh sb="0" eb="2">
      <t>ドウニュウ</t>
    </rPh>
    <rPh sb="2" eb="4">
      <t>ゼンゴ</t>
    </rPh>
    <rPh sb="5" eb="7">
      <t>カンキ</t>
    </rPh>
    <rPh sb="7" eb="8">
      <t>リョウ</t>
    </rPh>
    <rPh sb="9" eb="11">
      <t>ヨウケン</t>
    </rPh>
    <rPh sb="12" eb="14">
      <t>ハンテイ</t>
    </rPh>
    <phoneticPr fontId="2"/>
  </si>
  <si>
    <r>
      <t xml:space="preserve">利用人数
（人/室）
</t>
    </r>
    <r>
      <rPr>
        <sz val="12"/>
        <color rgb="FFFF0000"/>
        <rFont val="メイリオ"/>
        <family val="3"/>
        <charset val="128"/>
      </rPr>
      <t>※入室する最大人数を記入すること</t>
    </r>
    <rPh sb="0" eb="2">
      <t>リヨウ</t>
    </rPh>
    <rPh sb="2" eb="4">
      <t>ニンズウ</t>
    </rPh>
    <rPh sb="6" eb="7">
      <t>ヒト</t>
    </rPh>
    <rPh sb="8" eb="9">
      <t>シツ</t>
    </rPh>
    <rPh sb="12" eb="14">
      <t>ニュウシツ</t>
    </rPh>
    <rPh sb="16" eb="18">
      <t>サイダイ</t>
    </rPh>
    <rPh sb="18" eb="20">
      <t>ニンズウ</t>
    </rPh>
    <rPh sb="21" eb="23">
      <t>キニュウ</t>
    </rPh>
    <phoneticPr fontId="12"/>
  </si>
  <si>
    <t>A_11</t>
  </si>
  <si>
    <t>B_11</t>
  </si>
  <si>
    <t>B_12</t>
  </si>
  <si>
    <t>B_13</t>
  </si>
  <si>
    <t>B_14</t>
  </si>
  <si>
    <t>B_15</t>
  </si>
  <si>
    <t>B_16</t>
  </si>
  <si>
    <t>B_17</t>
  </si>
  <si>
    <t>B_18</t>
  </si>
  <si>
    <t>B_19</t>
  </si>
  <si>
    <t>B_20</t>
  </si>
  <si>
    <t>C_11</t>
  </si>
  <si>
    <t>C_12</t>
  </si>
  <si>
    <t>C_13</t>
  </si>
  <si>
    <t>C_14</t>
  </si>
  <si>
    <t>C_15</t>
  </si>
  <si>
    <t>C_16</t>
  </si>
  <si>
    <t>C_17</t>
  </si>
  <si>
    <t>C_18</t>
  </si>
  <si>
    <t>C_19</t>
  </si>
  <si>
    <t>C_20</t>
  </si>
  <si>
    <t>D_11</t>
  </si>
  <si>
    <t>D_12</t>
  </si>
  <si>
    <t>D_13</t>
  </si>
  <si>
    <t>D_14</t>
  </si>
  <si>
    <t>D_15</t>
  </si>
  <si>
    <t>D_16</t>
  </si>
  <si>
    <t>D_17</t>
  </si>
  <si>
    <t>D_18</t>
  </si>
  <si>
    <t>D_19</t>
  </si>
  <si>
    <t>D_20</t>
  </si>
  <si>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</si>
  <si>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</si>
  <si>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</si>
  <si>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</si>
  <si>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</si>
  <si>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</si>
  <si>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</si>
  <si>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</si>
  <si>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</si>
  <si>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</si>
  <si>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31</t>
  </si>
  <si>
    <t>32</t>
  </si>
  <si>
    <t>33</t>
  </si>
  <si>
    <t>34</t>
  </si>
  <si>
    <t>35</t>
  </si>
  <si>
    <t>36</t>
  </si>
  <si>
    <t>37</t>
  </si>
  <si>
    <t>38</t>
  </si>
  <si>
    <t>39</t>
  </si>
  <si>
    <t>40</t>
  </si>
  <si>
    <t>41</t>
  </si>
  <si>
    <t>42</t>
  </si>
  <si>
    <t>43</t>
  </si>
  <si>
    <t>44</t>
  </si>
  <si>
    <t>45</t>
  </si>
  <si>
    <t>46</t>
  </si>
  <si>
    <t>47</t>
  </si>
  <si>
    <t>48</t>
  </si>
  <si>
    <t>49</t>
  </si>
  <si>
    <t>50</t>
  </si>
  <si>
    <r>
      <rPr>
        <sz val="12"/>
        <rFont val="メイリオ"/>
        <family val="3"/>
        <charset val="128"/>
      </rPr>
      <t>６．要件判定欄に</t>
    </r>
    <r>
      <rPr>
        <sz val="12"/>
        <color rgb="FFFF0000"/>
        <rFont val="メイリオ"/>
        <family val="3"/>
        <charset val="128"/>
      </rPr>
      <t>、"必要換気量に係る要件を満たしています。"</t>
    </r>
    <r>
      <rPr>
        <sz val="12"/>
        <rFont val="メイリオ"/>
        <family val="3"/>
        <charset val="128"/>
      </rPr>
      <t>　と表示される場合のみ、申請できます。</t>
    </r>
    <rPh sb="2" eb="4">
      <t>ヨウケン</t>
    </rPh>
    <rPh sb="4" eb="7">
      <t>ハンテイラン</t>
    </rPh>
    <rPh sb="32" eb="34">
      <t>ヒョウジ</t>
    </rPh>
    <rPh sb="37" eb="39">
      <t>バアイ</t>
    </rPh>
    <rPh sb="42" eb="44">
      <t>シンセイ</t>
    </rPh>
    <phoneticPr fontId="2"/>
  </si>
  <si>
    <t>２．１つの室に複数の換気設備がある場合は、その合計を記入してください。</t>
    <rPh sb="5" eb="6">
      <t>シツ</t>
    </rPh>
    <rPh sb="7" eb="9">
      <t>フクスウ</t>
    </rPh>
    <rPh sb="10" eb="12">
      <t>カンキ</t>
    </rPh>
    <rPh sb="12" eb="14">
      <t>セツビ</t>
    </rPh>
    <rPh sb="17" eb="19">
      <t>バアイ</t>
    </rPh>
    <rPh sb="23" eb="25">
      <t>ゴウケイ</t>
    </rPh>
    <rPh sb="26" eb="28">
      <t>キニュウ</t>
    </rPh>
    <phoneticPr fontId="2"/>
  </si>
  <si>
    <t>５．外気との給気または排気を伴わない送風設備等の風量は、換気量に含まれません。</t>
    <rPh sb="2" eb="4">
      <t>ガイキ</t>
    </rPh>
    <rPh sb="6" eb="8">
      <t>キュウキ</t>
    </rPh>
    <rPh sb="11" eb="13">
      <t>ハイキ</t>
    </rPh>
    <rPh sb="14" eb="15">
      <t>トモナ</t>
    </rPh>
    <rPh sb="18" eb="20">
      <t>ソウフウ</t>
    </rPh>
    <rPh sb="20" eb="22">
      <t>セツビ</t>
    </rPh>
    <rPh sb="22" eb="23">
      <t>トウ</t>
    </rPh>
    <rPh sb="24" eb="26">
      <t>フウリョウ</t>
    </rPh>
    <rPh sb="28" eb="30">
      <t>カンキ</t>
    </rPh>
    <rPh sb="30" eb="31">
      <t>リョウ</t>
    </rPh>
    <rPh sb="32" eb="33">
      <t>フク</t>
    </rPh>
    <phoneticPr fontId="2"/>
  </si>
  <si>
    <r>
      <t>４．自然換気の換気量は、</t>
    </r>
    <r>
      <rPr>
        <sz val="12"/>
        <color rgb="FFFF0000"/>
        <rFont val="メイリオ"/>
        <family val="3"/>
        <charset val="128"/>
      </rPr>
      <t>「０」</t>
    </r>
    <r>
      <rPr>
        <sz val="12"/>
        <rFont val="メイリオ"/>
        <family val="3"/>
        <charset val="128"/>
      </rPr>
      <t>を入力してください。</t>
    </r>
    <rPh sb="2" eb="4">
      <t>シゼン</t>
    </rPh>
    <rPh sb="4" eb="6">
      <t>カンキ</t>
    </rPh>
    <rPh sb="7" eb="9">
      <t>カンキ</t>
    </rPh>
    <rPh sb="9" eb="10">
      <t>リョウ</t>
    </rPh>
    <rPh sb="16" eb="18">
      <t>ニュウリョク</t>
    </rPh>
    <phoneticPr fontId="2"/>
  </si>
  <si>
    <r>
      <t>　　なお、１つの室に給気と排気の機械換気設備がある場合は</t>
    </r>
    <r>
      <rPr>
        <sz val="12"/>
        <color rgb="FFFF0000"/>
        <rFont val="メイリオ"/>
        <family val="3"/>
        <charset val="128"/>
      </rPr>
      <t>換気量の多い給気又は排気設備</t>
    </r>
    <r>
      <rPr>
        <sz val="12"/>
        <rFont val="メイリオ"/>
        <family val="3"/>
        <charset val="128"/>
      </rPr>
      <t>の有効換気量をご記入ください。</t>
    </r>
    <rPh sb="28" eb="31">
      <t>カンキリョウ</t>
    </rPh>
    <rPh sb="32" eb="33">
      <t>オオ</t>
    </rPh>
    <rPh sb="34" eb="36">
      <t>キュウキ</t>
    </rPh>
    <rPh sb="36" eb="37">
      <t>マタ</t>
    </rPh>
    <rPh sb="38" eb="40">
      <t>ハイキ</t>
    </rPh>
    <rPh sb="40" eb="42">
      <t>セツビ</t>
    </rPh>
    <rPh sb="43" eb="45">
      <t>ユウコウ</t>
    </rPh>
    <rPh sb="45" eb="48">
      <t>カンキリョウ</t>
    </rPh>
    <rPh sb="50" eb="52">
      <t>キニュウ</t>
    </rPh>
    <phoneticPr fontId="2"/>
  </si>
  <si>
    <r>
      <t>１．建屋内で</t>
    </r>
    <r>
      <rPr>
        <sz val="12"/>
        <color rgb="FFFF0000"/>
        <rFont val="メイリオ"/>
        <family val="3"/>
        <charset val="128"/>
      </rPr>
      <t>壁等で区切られた部屋</t>
    </r>
    <r>
      <rPr>
        <sz val="12"/>
        <rFont val="メイリオ"/>
        <family val="3"/>
        <charset val="128"/>
      </rPr>
      <t>を１つの室として記入してください。</t>
    </r>
    <rPh sb="6" eb="7">
      <t>カベ</t>
    </rPh>
    <rPh sb="7" eb="8">
      <t>トウ</t>
    </rPh>
    <phoneticPr fontId="2"/>
  </si>
  <si>
    <r>
      <t>　　該当する要件の確認資料として、</t>
    </r>
    <r>
      <rPr>
        <sz val="12"/>
        <color rgb="FFFF0000"/>
        <rFont val="メイリオ"/>
        <family val="3"/>
        <charset val="128"/>
      </rPr>
      <t>「導入推奨機器検索画面のコピー」</t>
    </r>
    <r>
      <rPr>
        <sz val="12"/>
        <rFont val="メイリオ"/>
        <family val="3"/>
        <charset val="128"/>
      </rPr>
      <t>等を提出してください。</t>
    </r>
    <rPh sb="2" eb="4">
      <t>ガイトウ</t>
    </rPh>
    <rPh sb="6" eb="8">
      <t>ヨウケン</t>
    </rPh>
    <rPh sb="9" eb="11">
      <t>カクニン</t>
    </rPh>
    <rPh sb="11" eb="13">
      <t>シリョウ</t>
    </rPh>
    <rPh sb="18" eb="20">
      <t>ドウニュウ</t>
    </rPh>
    <rPh sb="20" eb="22">
      <t>スイショウ</t>
    </rPh>
    <rPh sb="22" eb="24">
      <t>キキ</t>
    </rPh>
    <rPh sb="24" eb="26">
      <t>ケンサク</t>
    </rPh>
    <rPh sb="26" eb="28">
      <t>ガメン</t>
    </rPh>
    <rPh sb="33" eb="34">
      <t>トウ</t>
    </rPh>
    <rPh sb="35" eb="37">
      <t>テイシュツ</t>
    </rPh>
    <phoneticPr fontId="12"/>
  </si>
  <si>
    <t>　　なお、表中の「計」欄は、12か月すべてに入力が無い場合は、12か月分に補正した値が表示されます。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</si>
  <si>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r>
      <t>２．</t>
    </r>
    <r>
      <rPr>
        <sz val="10"/>
        <color rgb="FFFF0000"/>
        <rFont val="メイリオ"/>
        <family val="3"/>
        <charset val="128"/>
      </rPr>
      <t>年度途中から営業開始等の場合</t>
    </r>
    <r>
      <rPr>
        <sz val="10"/>
        <rFont val="メイリオ"/>
        <family val="3"/>
        <charset val="128"/>
      </rPr>
      <t>は、直近までの実績値を入力してください。</t>
    </r>
    <rPh sb="2" eb="4">
      <t>ネンド</t>
    </rPh>
    <rPh sb="4" eb="6">
      <t>トチュウ</t>
    </rPh>
    <rPh sb="8" eb="10">
      <t>エイギョウ</t>
    </rPh>
    <rPh sb="10" eb="12">
      <t>カイシ</t>
    </rPh>
    <rPh sb="12" eb="13">
      <t>トウ</t>
    </rPh>
    <rPh sb="14" eb="16">
      <t>バアイ</t>
    </rPh>
    <rPh sb="18" eb="20">
      <t>チョッキン</t>
    </rPh>
    <rPh sb="23" eb="25">
      <t>ジッセキ</t>
    </rPh>
    <rPh sb="25" eb="26">
      <t>チ</t>
    </rPh>
    <rPh sb="27" eb="29">
      <t xml:space="preserve">ニュウリョクシテクダサイ </t>
    </rPh>
    <phoneticPr fontId="2"/>
  </si>
  <si>
    <r>
      <t>１．</t>
    </r>
    <r>
      <rPr>
        <sz val="10"/>
        <color rgb="FFFF0000"/>
        <rFont val="メイリオ"/>
        <family val="3"/>
        <charset val="128"/>
      </rPr>
      <t>令和３年度</t>
    </r>
    <r>
      <rPr>
        <sz val="10"/>
        <rFont val="メイリオ"/>
        <family val="3"/>
        <charset val="128"/>
      </rPr>
      <t>（2021年度）の電気、ガス及びその他のエネルギー使用量を下記表に入力してください。</t>
    </r>
    <rPh sb="2" eb="4">
      <t>レイワ</t>
    </rPh>
    <rPh sb="5" eb="7">
      <t>ネンド</t>
    </rPh>
    <rPh sb="12" eb="14">
      <t>ネンド</t>
    </rPh>
    <rPh sb="21" eb="22">
      <t>オヨ</t>
    </rPh>
    <rPh sb="25" eb="26">
      <t>タ</t>
    </rPh>
    <rPh sb="32" eb="34">
      <t>シヨウ</t>
    </rPh>
    <rPh sb="34" eb="35">
      <t>リョウ</t>
    </rPh>
    <rPh sb="36" eb="38">
      <t>カキ</t>
    </rPh>
    <rPh sb="38" eb="39">
      <t>ヒョウ</t>
    </rPh>
    <rPh sb="40" eb="42">
      <t>ニュウリョク</t>
    </rPh>
    <phoneticPr fontId="2"/>
  </si>
  <si>
    <r>
      <t xml:space="preserve">料金[円]
</t>
    </r>
    <r>
      <rPr>
        <sz val="10"/>
        <color theme="1"/>
        <rFont val="メイリオ"/>
        <family val="3"/>
        <charset val="128"/>
      </rPr>
      <t>（税込み）</t>
    </r>
    <rPh sb="0" eb="2">
      <t>リョウキン</t>
    </rPh>
    <rPh sb="3" eb="4">
      <t>エン</t>
    </rPh>
    <phoneticPr fontId="2"/>
  </si>
  <si>
    <r>
      <t xml:space="preserve">使用期間
</t>
    </r>
    <r>
      <rPr>
        <sz val="9"/>
        <color theme="1"/>
        <rFont val="メイリオ"/>
        <family val="3"/>
        <charset val="128"/>
      </rPr>
      <t>［ 月 日～ 月 日］</t>
    </r>
    <rPh sb="0" eb="2">
      <t>シヨウ</t>
    </rPh>
    <rPh sb="2" eb="4">
      <t>キカン</t>
    </rPh>
    <rPh sb="7" eb="8">
      <t>ガツ</t>
    </rPh>
    <rPh sb="9" eb="10">
      <t>ヒ</t>
    </rPh>
    <rPh sb="12" eb="13">
      <t>ツキ</t>
    </rPh>
    <rPh sb="14" eb="15">
      <t>ヒ</t>
    </rPh>
    <phoneticPr fontId="12"/>
  </si>
  <si>
    <t>原油換算
［kL］</t>
    <phoneticPr fontId="12"/>
  </si>
  <si>
    <t>合計</t>
    <rPh sb="0" eb="2">
      <t>ゴウケイ</t>
    </rPh>
    <phoneticPr fontId="2"/>
  </si>
  <si>
    <r>
      <rPr>
        <sz val="12"/>
        <color rgb="FFFF0000"/>
        <rFont val="メイリオ"/>
        <family val="3"/>
        <charset val="128"/>
      </rPr>
      <t>換気設備</t>
    </r>
    <r>
      <rPr>
        <sz val="12"/>
        <color theme="1"/>
        <rFont val="メイリオ"/>
        <family val="2"/>
        <charset val="128"/>
      </rPr>
      <t>の導入要件</t>
    </r>
    <phoneticPr fontId="12"/>
  </si>
  <si>
    <t>51</t>
  </si>
  <si>
    <t>52</t>
  </si>
  <si>
    <t>53</t>
  </si>
  <si>
    <t>54</t>
  </si>
  <si>
    <t>55</t>
  </si>
  <si>
    <t>56</t>
  </si>
  <si>
    <t>57</t>
  </si>
  <si>
    <t>58</t>
  </si>
  <si>
    <t>59</t>
  </si>
  <si>
    <t>60</t>
  </si>
  <si>
    <r>
      <t>　・料金は、</t>
    </r>
    <r>
      <rPr>
        <sz val="10"/>
        <color rgb="FFFF0000"/>
        <rFont val="メイリオ"/>
        <family val="3"/>
        <charset val="128"/>
      </rPr>
      <t>税込み金額</t>
    </r>
    <r>
      <rPr>
        <sz val="10"/>
        <rFont val="メイリオ"/>
        <family val="3"/>
        <charset val="128"/>
      </rPr>
      <t>を入力すること。</t>
    </r>
    <rPh sb="2" eb="4">
      <t>リョウキン</t>
    </rPh>
    <rPh sb="6" eb="8">
      <t>ゼイコ</t>
    </rPh>
    <rPh sb="9" eb="11">
      <t>キンガク</t>
    </rPh>
    <rPh sb="12" eb="14">
      <t>ニュウリョク</t>
    </rPh>
    <phoneticPr fontId="2"/>
  </si>
  <si>
    <t>　・電気、ガス以外のエネルギー使用がある場合は、「その他のエネルギー」欄に種別等を選択の上、入力すること。</t>
    <rPh sb="2" eb="4">
      <t>デンキ</t>
    </rPh>
    <rPh sb="7" eb="9">
      <t>イガイ</t>
    </rPh>
    <rPh sb="15" eb="17">
      <t>シヨウ</t>
    </rPh>
    <rPh sb="20" eb="22">
      <t>バアイ</t>
    </rPh>
    <rPh sb="27" eb="28">
      <t>タ</t>
    </rPh>
    <rPh sb="35" eb="36">
      <t>ラン</t>
    </rPh>
    <rPh sb="37" eb="39">
      <t>シュベツ</t>
    </rPh>
    <rPh sb="39" eb="40">
      <t>トウ</t>
    </rPh>
    <rPh sb="41" eb="43">
      <t>センタク</t>
    </rPh>
    <rPh sb="44" eb="45">
      <t>ウエ</t>
    </rPh>
    <rPh sb="46" eb="48">
      <t>ニュウリョク</t>
    </rPh>
    <phoneticPr fontId="2"/>
  </si>
  <si>
    <t>マイナス確認</t>
    <rPh sb="4" eb="6">
      <t>カクニン</t>
    </rPh>
    <phoneticPr fontId="12"/>
  </si>
  <si>
    <r>
      <t>更新後の室内機に接続される更新及び既設空調設備の室外機について入力してください。</t>
    </r>
    <r>
      <rPr>
        <sz val="14"/>
        <color rgb="FFFF0000"/>
        <rFont val="メイリオ"/>
        <family val="3"/>
        <charset val="128"/>
      </rPr>
      <t>（機器型番ごとにまとめること）</t>
    </r>
    <rPh sb="0" eb="2">
      <t>コウシン</t>
    </rPh>
    <rPh sb="2" eb="3">
      <t>ゴ</t>
    </rPh>
    <rPh sb="4" eb="7">
      <t>シツナイキ</t>
    </rPh>
    <rPh sb="8" eb="10">
      <t>セツゾク</t>
    </rPh>
    <rPh sb="13" eb="15">
      <t>コウシン</t>
    </rPh>
    <rPh sb="15" eb="16">
      <t>オヨ</t>
    </rPh>
    <rPh sb="17" eb="19">
      <t>キセツ</t>
    </rPh>
    <rPh sb="19" eb="21">
      <t>クウチョウ</t>
    </rPh>
    <rPh sb="21" eb="23">
      <t>セツビ</t>
    </rPh>
    <rPh sb="24" eb="27">
      <t>シツガイキ</t>
    </rPh>
    <phoneticPr fontId="2"/>
  </si>
  <si>
    <r>
      <t>更新する室内機に接続された既設空調設備の室外機について入力してください。</t>
    </r>
    <r>
      <rPr>
        <sz val="14"/>
        <color rgb="FFFF0000"/>
        <rFont val="メイリオ"/>
        <family val="3"/>
        <charset val="128"/>
      </rPr>
      <t>（機器型番ごとにまとめること）</t>
    </r>
    <rPh sb="0" eb="2">
      <t>コウシン</t>
    </rPh>
    <rPh sb="4" eb="7">
      <t>シツナイキ</t>
    </rPh>
    <rPh sb="8" eb="10">
      <t>セツゾク</t>
    </rPh>
    <rPh sb="13" eb="15">
      <t>キセツ</t>
    </rPh>
    <rPh sb="15" eb="17">
      <t>クウチョウ</t>
    </rPh>
    <rPh sb="17" eb="19">
      <t>セツビ</t>
    </rPh>
    <rPh sb="20" eb="23">
      <t>シツガイキ</t>
    </rPh>
    <phoneticPr fontId="2"/>
  </si>
  <si>
    <r>
      <t>事業範囲に設置されているすべての換気設備について入力してください。</t>
    </r>
    <r>
      <rPr>
        <sz val="14"/>
        <color rgb="FFFF0000"/>
        <rFont val="メイリオ"/>
        <family val="3"/>
        <charset val="128"/>
      </rPr>
      <t>（機器型番ごとにまとめて記入すること）</t>
    </r>
    <rPh sb="0" eb="2">
      <t>ジギョウ</t>
    </rPh>
    <rPh sb="2" eb="4">
      <t>ハンイ</t>
    </rPh>
    <rPh sb="5" eb="7">
      <t>セッチ</t>
    </rPh>
    <rPh sb="16" eb="18">
      <t>カンキ</t>
    </rPh>
    <rPh sb="34" eb="36">
      <t>キキ</t>
    </rPh>
    <rPh sb="36" eb="38">
      <t>カタバン</t>
    </rPh>
    <rPh sb="45" eb="47">
      <t>キニュウ</t>
    </rPh>
    <phoneticPr fontId="2"/>
  </si>
  <si>
    <r>
      <t>今回新たに新設、更新、増設する換気設備並びに、継続使用する換気設備について入力してください。</t>
    </r>
    <r>
      <rPr>
        <sz val="14"/>
        <color rgb="FFFF0000"/>
        <rFont val="メイリオ"/>
        <family val="3"/>
        <charset val="128"/>
      </rPr>
      <t>（機器型番ごとにまとめて記入すること）</t>
    </r>
    <rPh sb="5" eb="7">
      <t>シンセツ</t>
    </rPh>
    <rPh sb="15" eb="17">
      <t>カンキ</t>
    </rPh>
    <rPh sb="17" eb="19">
      <t>セツビ</t>
    </rPh>
    <rPh sb="29" eb="31">
      <t>カンキ</t>
    </rPh>
    <rPh sb="31" eb="33">
      <t>セツビ</t>
    </rPh>
    <rPh sb="58" eb="60">
      <t>キニュウ</t>
    </rPh>
    <phoneticPr fontId="2"/>
  </si>
  <si>
    <t>←記入事項に不備がある場合、セルが＜橙色＞になります。</t>
    <rPh sb="1" eb="3">
      <t>キニュウ</t>
    </rPh>
    <rPh sb="3" eb="5">
      <t>ジコウ</t>
    </rPh>
    <rPh sb="6" eb="8">
      <t>フビ</t>
    </rPh>
    <rPh sb="11" eb="13">
      <t>バアイ</t>
    </rPh>
    <rPh sb="18" eb="19">
      <t>ダイダイ</t>
    </rPh>
    <phoneticPr fontId="2"/>
  </si>
  <si>
    <t>←プルダウンメニューより＜換気設備の種類＞選択してください。</t>
    <rPh sb="13" eb="15">
      <t>カンキ</t>
    </rPh>
    <rPh sb="15" eb="17">
      <t>セツビ</t>
    </rPh>
    <rPh sb="18" eb="20">
      <t>シュルイ</t>
    </rPh>
    <rPh sb="21" eb="23">
      <t>センタク</t>
    </rPh>
    <phoneticPr fontId="2"/>
  </si>
  <si>
    <t>←記入事項に不備がある場合、セルが＜黄色＞になります。</t>
    <rPh sb="1" eb="3">
      <t>キニュウ</t>
    </rPh>
    <rPh sb="3" eb="5">
      <t>ジコウ</t>
    </rPh>
    <rPh sb="6" eb="8">
      <t>フビ</t>
    </rPh>
    <rPh sb="11" eb="13">
      <t>バアイ</t>
    </rPh>
    <rPh sb="18" eb="20">
      <t>キイロ</t>
    </rPh>
    <phoneticPr fontId="2"/>
  </si>
  <si>
    <t>←プルダウンメニューより＜導入の区分＞選択してください。</t>
    <rPh sb="13" eb="15">
      <t>ドウニュウ</t>
    </rPh>
    <rPh sb="16" eb="18">
      <t>クブン</t>
    </rPh>
    <rPh sb="19" eb="21">
      <t>センタク</t>
    </rPh>
    <phoneticPr fontId="2"/>
  </si>
  <si>
    <t>←プルダウンメニューより＜室用途＞選択してください。</t>
    <rPh sb="13" eb="14">
      <t>シツ</t>
    </rPh>
    <rPh sb="14" eb="16">
      <t>ヨウト</t>
    </rPh>
    <rPh sb="17" eb="19">
      <t>センタク</t>
    </rPh>
    <phoneticPr fontId="2"/>
  </si>
  <si>
    <t>←プルダウンメニューより＜空調設備の種類＞選択してください。</t>
    <rPh sb="13" eb="15">
      <t>クウチョウ</t>
    </rPh>
    <rPh sb="15" eb="17">
      <t>セツビ</t>
    </rPh>
    <rPh sb="18" eb="20">
      <t>シュルイ</t>
    </rPh>
    <rPh sb="21" eb="23">
      <t>センタク</t>
    </rPh>
    <phoneticPr fontId="2"/>
  </si>
  <si>
    <t>←プルダウンメニューより＜エネルギー種別＞選択してください。</t>
    <rPh sb="18" eb="20">
      <t>シュベツ</t>
    </rPh>
    <rPh sb="21" eb="23">
      <t>センタク</t>
    </rPh>
    <phoneticPr fontId="2"/>
  </si>
  <si>
    <t>←プルダウンメニューより＜単位＞選択してください。</t>
    <rPh sb="13" eb="15">
      <t>タンイ</t>
    </rPh>
    <rPh sb="16" eb="18">
      <t>センタク</t>
    </rPh>
    <phoneticPr fontId="2"/>
  </si>
  <si>
    <t>←省エネ化の要件を満たさない場合、セルが＜黄色＞、文字が＜朱色＞になります。</t>
    <rPh sb="1" eb="2">
      <t>ショウ</t>
    </rPh>
    <rPh sb="4" eb="5">
      <t>カ</t>
    </rPh>
    <rPh sb="6" eb="8">
      <t>ヨウケン</t>
    </rPh>
    <rPh sb="9" eb="10">
      <t>ミ</t>
    </rPh>
    <rPh sb="14" eb="16">
      <t>バアイ</t>
    </rPh>
    <rPh sb="21" eb="23">
      <t>キイロ</t>
    </rPh>
    <rPh sb="25" eb="27">
      <t>モジ</t>
    </rPh>
    <rPh sb="29" eb="31">
      <t>シュイロ</t>
    </rPh>
    <phoneticPr fontId="2"/>
  </si>
  <si>
    <t>←導入後の換気量が要件を満たさない場合、セルが＜黄色＞、文字が＜朱色＞になります。</t>
    <rPh sb="1" eb="3">
      <t>ドウニュウ</t>
    </rPh>
    <rPh sb="3" eb="4">
      <t>ゴ</t>
    </rPh>
    <rPh sb="5" eb="8">
      <t>カンキリョウ</t>
    </rPh>
    <rPh sb="9" eb="11">
      <t>ヨウケン</t>
    </rPh>
    <rPh sb="12" eb="13">
      <t>ミ</t>
    </rPh>
    <rPh sb="17" eb="19">
      <t>バアイ</t>
    </rPh>
    <rPh sb="24" eb="26">
      <t>キイロ</t>
    </rPh>
    <rPh sb="28" eb="30">
      <t>モジ</t>
    </rPh>
    <rPh sb="32" eb="34">
      <t>シュイロ</t>
    </rPh>
    <phoneticPr fontId="2"/>
  </si>
  <si>
    <t>記入値が要件を満たさない場合、セルが＜黄色＞、文字が＜朱色＞になります。</t>
    <rPh sb="0" eb="2">
      <t>キニュウ</t>
    </rPh>
    <rPh sb="2" eb="3">
      <t>チ</t>
    </rPh>
    <rPh sb="4" eb="6">
      <t>ヨウケン</t>
    </rPh>
    <rPh sb="7" eb="8">
      <t>ミ</t>
    </rPh>
    <rPh sb="12" eb="14">
      <t>バアイ</t>
    </rPh>
    <rPh sb="23" eb="25">
      <t>モジ</t>
    </rPh>
    <rPh sb="27" eb="29">
      <t>シュイロ</t>
    </rPh>
    <phoneticPr fontId="2"/>
  </si>
  <si>
    <t>都市ガス</t>
  </si>
  <si>
    <t>［m3］</t>
  </si>
  <si>
    <t>空欄チェック</t>
    <rPh sb="0" eb="2">
      <t>クウラン</t>
    </rPh>
    <phoneticPr fontId="12"/>
  </si>
  <si>
    <t>期間入力</t>
    <rPh sb="0" eb="2">
      <t>キカン</t>
    </rPh>
    <rPh sb="2" eb="4">
      <t>ニュウリョク</t>
    </rPh>
    <phoneticPr fontId="2"/>
  </si>
  <si>
    <t>数値入力</t>
    <rPh sb="0" eb="2">
      <t>スウチ</t>
    </rPh>
    <rPh sb="2" eb="4">
      <t>ニュウリョク</t>
    </rPh>
    <phoneticPr fontId="2"/>
  </si>
  <si>
    <t>入力チェック</t>
    <rPh sb="0" eb="2">
      <t>ニュウリョク</t>
    </rPh>
    <phoneticPr fontId="2"/>
  </si>
  <si>
    <t>使用量!P21</t>
    <phoneticPr fontId="2"/>
  </si>
  <si>
    <t>使用量!P33</t>
    <phoneticPr fontId="2"/>
  </si>
  <si>
    <t>電気</t>
    <rPh sb="0" eb="2">
      <t>デンキ</t>
    </rPh>
    <phoneticPr fontId="2"/>
  </si>
  <si>
    <t>LPG</t>
  </si>
  <si>
    <t>LPG</t>
    <phoneticPr fontId="2"/>
  </si>
  <si>
    <t>LNG</t>
    <phoneticPr fontId="2"/>
  </si>
  <si>
    <t>都市ガス</t>
    <phoneticPr fontId="2"/>
  </si>
  <si>
    <t>［Nm3］</t>
    <phoneticPr fontId="2"/>
  </si>
  <si>
    <t>水素</t>
    <rPh sb="0" eb="2">
      <t>スイソ</t>
    </rPh>
    <phoneticPr fontId="2"/>
  </si>
  <si>
    <t>天然ガス</t>
    <rPh sb="0" eb="2">
      <t>テンネン</t>
    </rPh>
    <phoneticPr fontId="2"/>
  </si>
  <si>
    <t>使用量!P44</t>
    <phoneticPr fontId="2"/>
  </si>
  <si>
    <t>使用量!P55</t>
    <phoneticPr fontId="2"/>
  </si>
  <si>
    <t>使用量!P66</t>
    <phoneticPr fontId="2"/>
  </si>
  <si>
    <t>使用量!P77</t>
    <phoneticPr fontId="2"/>
  </si>
  <si>
    <t>［kg］</t>
  </si>
  <si>
    <t>種別を選択</t>
  </si>
  <si>
    <t>実施を選択</t>
  </si>
  <si>
    <r>
      <t>２．記入する設備仕様の値を確認ができる</t>
    </r>
    <r>
      <rPr>
        <sz val="12"/>
        <color rgb="FFFF0000"/>
        <rFont val="メイリオ"/>
        <family val="3"/>
        <charset val="128"/>
      </rPr>
      <t>仕様書等</t>
    </r>
    <r>
      <rPr>
        <sz val="12"/>
        <rFont val="メイリオ"/>
        <family val="3"/>
        <charset val="128"/>
      </rPr>
      <t>の参照箇所に</t>
    </r>
    <r>
      <rPr>
        <sz val="12"/>
        <color rgb="FFFF0000"/>
        <rFont val="メイリオ"/>
        <family val="3"/>
        <charset val="128"/>
      </rPr>
      <t>マーカーなどの印</t>
    </r>
    <r>
      <rPr>
        <sz val="12"/>
        <rFont val="メイリオ"/>
        <family val="3"/>
        <charset val="128"/>
      </rPr>
      <t>を付けたものを提出してください。</t>
    </r>
    <rPh sb="2" eb="4">
      <t>キニュウ</t>
    </rPh>
    <rPh sb="6" eb="8">
      <t>セツビ</t>
    </rPh>
    <rPh sb="8" eb="10">
      <t>シヨウ</t>
    </rPh>
    <rPh sb="11" eb="12">
      <t>アタイ</t>
    </rPh>
    <rPh sb="13" eb="15">
      <t>カクニン</t>
    </rPh>
    <rPh sb="19" eb="22">
      <t>シヨウショ</t>
    </rPh>
    <rPh sb="22" eb="23">
      <t>トウ</t>
    </rPh>
    <rPh sb="24" eb="26">
      <t>サンショウ</t>
    </rPh>
    <rPh sb="26" eb="28">
      <t>カショ</t>
    </rPh>
    <rPh sb="36" eb="37">
      <t>シルシ</t>
    </rPh>
    <rPh sb="38" eb="39">
      <t>ツ</t>
    </rPh>
    <rPh sb="44" eb="46">
      <t>テイシュツ</t>
    </rPh>
    <phoneticPr fontId="2"/>
  </si>
  <si>
    <t>３．換気・空調一体型設備は、「２．換気設備の新旧仕様入力表」に記入してください。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</si>
  <si>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r>
      <t>４．換気設備の換気量及び消費電力は、カタログ等に記載された</t>
    </r>
    <r>
      <rPr>
        <sz val="12"/>
        <color rgb="FFFF0000"/>
        <rFont val="メイリオ"/>
        <family val="3"/>
        <charset val="128"/>
      </rPr>
      <t>常時使用できる＜最大風量時の値＞</t>
    </r>
    <r>
      <rPr>
        <sz val="12"/>
        <rFont val="メイリオ"/>
        <family val="3"/>
        <charset val="128"/>
      </rPr>
      <t>を記入してください。</t>
    </r>
    <rPh sb="2" eb="4">
      <t>カンキ</t>
    </rPh>
    <rPh sb="4" eb="6">
      <t>セツビ</t>
    </rPh>
    <rPh sb="7" eb="9">
      <t>カンキ</t>
    </rPh>
    <rPh sb="9" eb="10">
      <t>リョウ</t>
    </rPh>
    <rPh sb="10" eb="11">
      <t>オヨ</t>
    </rPh>
    <rPh sb="12" eb="14">
      <t>ショウヒ</t>
    </rPh>
    <rPh sb="14" eb="16">
      <t>デンリョク</t>
    </rPh>
    <rPh sb="22" eb="23">
      <t>トウ</t>
    </rPh>
    <rPh sb="24" eb="26">
      <t>キサイ</t>
    </rPh>
    <rPh sb="29" eb="31">
      <t>ジョウジ</t>
    </rPh>
    <rPh sb="31" eb="33">
      <t>シヨウ</t>
    </rPh>
    <rPh sb="37" eb="39">
      <t>サイダイ</t>
    </rPh>
    <rPh sb="39" eb="41">
      <t>フウリョウ</t>
    </rPh>
    <rPh sb="41" eb="42">
      <t>ジ</t>
    </rPh>
    <rPh sb="43" eb="44">
      <t>アタイ</t>
    </rPh>
    <rPh sb="46" eb="48">
      <t>キニュウ</t>
    </rPh>
    <phoneticPr fontId="2"/>
  </si>
  <si>
    <r>
      <t>５．熱交換型換気設備の導入は、＜</t>
    </r>
    <r>
      <rPr>
        <sz val="12"/>
        <color rgb="FFFF0000"/>
        <rFont val="メイリオ"/>
        <family val="3"/>
        <charset val="128"/>
      </rPr>
      <t>工場・倉庫</t>
    </r>
    <r>
      <rPr>
        <sz val="12"/>
        <rFont val="メイリオ"/>
        <family val="3"/>
        <charset val="128"/>
      </rPr>
      <t>＞のみ対象となります。</t>
    </r>
    <rPh sb="2" eb="3">
      <t>ネツ</t>
    </rPh>
    <rPh sb="3" eb="5">
      <t>コウカン</t>
    </rPh>
    <rPh sb="5" eb="6">
      <t>カタ</t>
    </rPh>
    <rPh sb="6" eb="8">
      <t>カンキ</t>
    </rPh>
    <rPh sb="8" eb="10">
      <t>セツビ</t>
    </rPh>
    <rPh sb="11" eb="13">
      <t>ドウニュウ</t>
    </rPh>
    <rPh sb="16" eb="18">
      <t>コウジョウ</t>
    </rPh>
    <rPh sb="19" eb="21">
      <t>ソウコ</t>
    </rPh>
    <rPh sb="24" eb="26">
      <t>タイショウ</t>
    </rPh>
    <phoneticPr fontId="2"/>
  </si>
  <si>
    <t>６．空調設備又は換気・空調一体型設備を記入する場合は、次の①～③の各項目から該当する要件を「設備要件」欄に記入してください。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</si>
  <si>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７．中央熱源式空調機を更新する場合は、公社までご相談ください。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</si>
  <si>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t>導入の区分</t>
  </si>
  <si>
    <r>
      <t>　・入力する値は、提出するエネルギー使用量の</t>
    </r>
    <r>
      <rPr>
        <sz val="10"/>
        <color rgb="FFFF0000"/>
        <rFont val="メイリオ"/>
        <family val="3"/>
        <charset val="128"/>
      </rPr>
      <t>証憑等</t>
    </r>
    <r>
      <rPr>
        <sz val="10"/>
        <rFont val="メイリオ"/>
        <family val="3"/>
        <charset val="128"/>
      </rPr>
      <t>と一致すること。</t>
    </r>
    <rPh sb="2" eb="4">
      <t>ニュウリョク</t>
    </rPh>
    <rPh sb="6" eb="7">
      <t>アタイ</t>
    </rPh>
    <rPh sb="9" eb="11">
      <t>テイシュツ</t>
    </rPh>
    <rPh sb="18" eb="21">
      <t>シヨウリョウ</t>
    </rPh>
    <rPh sb="22" eb="24">
      <t>ショウヒョウ</t>
    </rPh>
    <rPh sb="24" eb="25">
      <t>トウ</t>
    </rPh>
    <rPh sb="26" eb="28">
      <t>イッチ</t>
    </rPh>
    <phoneticPr fontId="2"/>
  </si>
  <si>
    <r>
      <t>３．</t>
    </r>
    <r>
      <rPr>
        <sz val="10"/>
        <color rgb="FFFF0000"/>
        <rFont val="メイリオ"/>
        <family val="3"/>
        <charset val="128"/>
      </rPr>
      <t>新規開業等</t>
    </r>
    <r>
      <rPr>
        <sz val="10"/>
        <rFont val="メイリオ"/>
        <family val="3"/>
        <charset val="128"/>
      </rPr>
      <t>によりエネルギー使用量が全く無い場合は、「</t>
    </r>
    <r>
      <rPr>
        <sz val="10"/>
        <color rgb="FFFF0000"/>
        <rFont val="メイリオ"/>
        <family val="3"/>
        <charset val="128"/>
      </rPr>
      <t>５．年間エネルギー使用量（概算）</t>
    </r>
    <r>
      <rPr>
        <sz val="10"/>
        <rFont val="メイリオ"/>
        <family val="3"/>
        <charset val="128"/>
      </rPr>
      <t>」シートに記入してください。</t>
    </r>
    <rPh sb="2" eb="4">
      <t>シンキ</t>
    </rPh>
    <rPh sb="4" eb="6">
      <t>カイギョウ</t>
    </rPh>
    <rPh sb="6" eb="7">
      <t>トウ</t>
    </rPh>
    <rPh sb="15" eb="17">
      <t>シヨウ</t>
    </rPh>
    <rPh sb="17" eb="18">
      <t>リョウ</t>
    </rPh>
    <rPh sb="19" eb="20">
      <t>マッタ</t>
    </rPh>
    <rPh sb="21" eb="22">
      <t>ナ</t>
    </rPh>
    <rPh sb="23" eb="25">
      <t>バアイ</t>
    </rPh>
    <rPh sb="41" eb="43">
      <t>ガイサン</t>
    </rPh>
    <rPh sb="49" eb="51">
      <t>キニュウ</t>
    </rPh>
    <phoneticPr fontId="2"/>
  </si>
  <si>
    <r>
      <t>１．</t>
    </r>
    <r>
      <rPr>
        <sz val="10"/>
        <color rgb="FFFF0000"/>
        <rFont val="メイリオ"/>
        <family val="3"/>
        <charset val="128"/>
      </rPr>
      <t>新規開業等</t>
    </r>
    <r>
      <rPr>
        <sz val="10"/>
        <rFont val="メイリオ"/>
        <family val="3"/>
        <charset val="128"/>
      </rPr>
      <t>によりエネルギー使用量が全く無い場合は、本シートに記入してください。</t>
    </r>
    <rPh sb="2" eb="4">
      <t>シンキ</t>
    </rPh>
    <rPh sb="4" eb="6">
      <t>カイギョウ</t>
    </rPh>
    <rPh sb="6" eb="7">
      <t>トウ</t>
    </rPh>
    <rPh sb="15" eb="17">
      <t>シヨウ</t>
    </rPh>
    <rPh sb="17" eb="18">
      <t>リョウ</t>
    </rPh>
    <rPh sb="19" eb="20">
      <t>マッタ</t>
    </rPh>
    <rPh sb="21" eb="22">
      <t>ナ</t>
    </rPh>
    <rPh sb="23" eb="25">
      <t>バアイ</t>
    </rPh>
    <rPh sb="27" eb="28">
      <t>ホン</t>
    </rPh>
    <rPh sb="32" eb="34">
      <t>キニュウ</t>
    </rPh>
    <phoneticPr fontId="2"/>
  </si>
  <si>
    <r>
      <t>　</t>
    </r>
    <r>
      <rPr>
        <b/>
        <sz val="10"/>
        <color rgb="FFFF0000"/>
        <rFont val="メイリオ"/>
        <family val="3"/>
        <charset val="128"/>
      </rPr>
      <t>ア</t>
    </r>
    <r>
      <rPr>
        <sz val="10"/>
        <rFont val="メイリオ"/>
        <family val="3"/>
        <charset val="128"/>
      </rPr>
      <t>　事務所内の区画にサーバーを設置していない。</t>
    </r>
    <rPh sb="3" eb="5">
      <t>ジム</t>
    </rPh>
    <rPh sb="5" eb="6">
      <t>ショ</t>
    </rPh>
    <rPh sb="6" eb="7">
      <t>ナイ</t>
    </rPh>
    <rPh sb="8" eb="10">
      <t>クカク</t>
    </rPh>
    <rPh sb="16" eb="18">
      <t>セッチ</t>
    </rPh>
    <phoneticPr fontId="2"/>
  </si>
  <si>
    <r>
      <t>　</t>
    </r>
    <r>
      <rPr>
        <b/>
        <sz val="10"/>
        <color rgb="FFFF0000"/>
        <rFont val="メイリオ"/>
        <family val="3"/>
        <charset val="128"/>
      </rPr>
      <t>イ</t>
    </r>
    <r>
      <rPr>
        <sz val="10"/>
        <rFont val="メイリオ"/>
        <family val="3"/>
        <charset val="128"/>
      </rPr>
      <t>　事務所内の区画にサーバーを設置している。</t>
    </r>
    <rPh sb="3" eb="5">
      <t>ジム</t>
    </rPh>
    <rPh sb="5" eb="6">
      <t>ショ</t>
    </rPh>
    <rPh sb="6" eb="7">
      <t>ナイ</t>
    </rPh>
    <rPh sb="8" eb="10">
      <t>クカク</t>
    </rPh>
    <rPh sb="16" eb="18">
      <t>セッチ</t>
    </rPh>
    <phoneticPr fontId="2"/>
  </si>
  <si>
    <r>
      <t>２．確認事項を選択の上、＜</t>
    </r>
    <r>
      <rPr>
        <b/>
        <sz val="10"/>
        <color rgb="FFFF0000"/>
        <rFont val="メイリオ"/>
        <family val="3"/>
        <charset val="128"/>
      </rPr>
      <t>ア</t>
    </r>
    <r>
      <rPr>
        <sz val="10"/>
        <rFont val="メイリオ"/>
        <family val="3"/>
        <charset val="128"/>
      </rPr>
      <t>＞、＜</t>
    </r>
    <r>
      <rPr>
        <b/>
        <sz val="10"/>
        <color rgb="FFFF0000"/>
        <rFont val="メイリオ"/>
        <family val="3"/>
        <charset val="128"/>
      </rPr>
      <t>イ</t>
    </r>
    <r>
      <rPr>
        <sz val="10"/>
        <rFont val="メイリオ"/>
        <family val="3"/>
        <charset val="128"/>
      </rPr>
      <t>＞のいずれか該当する表を使用してください。</t>
    </r>
    <rPh sb="2" eb="4">
      <t>カクニン</t>
    </rPh>
    <rPh sb="4" eb="6">
      <t>ジコウ</t>
    </rPh>
    <rPh sb="7" eb="9">
      <t>センタク</t>
    </rPh>
    <rPh sb="10" eb="11">
      <t>ウエ</t>
    </rPh>
    <rPh sb="24" eb="26">
      <t>ガイトウ</t>
    </rPh>
    <rPh sb="28" eb="29">
      <t>ヒョウ</t>
    </rPh>
    <rPh sb="30" eb="32">
      <t>シヨウ</t>
    </rPh>
    <phoneticPr fontId="2"/>
  </si>
  <si>
    <r>
      <rPr>
        <b/>
        <sz val="11"/>
        <color rgb="FFFF0000"/>
        <rFont val="メイリオ"/>
        <family val="3"/>
        <charset val="128"/>
      </rPr>
      <t>ア　</t>
    </r>
    <r>
      <rPr>
        <sz val="11"/>
        <color theme="1"/>
        <rFont val="メイリオ"/>
        <family val="3"/>
        <charset val="128"/>
      </rPr>
      <t>事務所内の区画にサーバーを設置していない。</t>
    </r>
    <rPh sb="2" eb="4">
      <t>ジム</t>
    </rPh>
    <rPh sb="4" eb="5">
      <t>ショ</t>
    </rPh>
    <rPh sb="5" eb="6">
      <t>ナイ</t>
    </rPh>
    <rPh sb="7" eb="9">
      <t>クカク</t>
    </rPh>
    <rPh sb="15" eb="17">
      <t>セッチ</t>
    </rPh>
    <phoneticPr fontId="2"/>
  </si>
  <si>
    <r>
      <rPr>
        <b/>
        <sz val="11"/>
        <color rgb="FFFF0000"/>
        <rFont val="メイリオ"/>
        <family val="3"/>
        <charset val="128"/>
      </rPr>
      <t>イ</t>
    </r>
    <r>
      <rPr>
        <sz val="11"/>
        <color theme="1"/>
        <rFont val="メイリオ"/>
        <family val="3"/>
        <charset val="128"/>
      </rPr>
      <t>　事務所内の区画にサーバーを設置している。</t>
    </r>
    <rPh sb="2" eb="4">
      <t>ジム</t>
    </rPh>
    <rPh sb="4" eb="5">
      <t>ショ</t>
    </rPh>
    <rPh sb="5" eb="6">
      <t>ナイ</t>
    </rPh>
    <rPh sb="7" eb="9">
      <t>クカク</t>
    </rPh>
    <rPh sb="15" eb="17">
      <t>セッチ</t>
    </rPh>
    <phoneticPr fontId="2"/>
  </si>
  <si>
    <r>
      <t>※　サーバーを設置していない場合は、「</t>
    </r>
    <r>
      <rPr>
        <b/>
        <sz val="9"/>
        <color rgb="FFFF0000"/>
        <rFont val="メイリオ"/>
        <family val="3"/>
        <charset val="128"/>
      </rPr>
      <t>ア</t>
    </r>
    <r>
      <rPr>
        <sz val="9"/>
        <rFont val="メイリオ"/>
        <family val="3"/>
        <charset val="128"/>
      </rPr>
      <t>の表」に入力。
　　サーバーを設置している場合は、　「</t>
    </r>
    <r>
      <rPr>
        <b/>
        <sz val="9"/>
        <color rgb="FFFF0000"/>
        <rFont val="メイリオ"/>
        <family val="3"/>
        <charset val="128"/>
      </rPr>
      <t>イ</t>
    </r>
    <r>
      <rPr>
        <sz val="9"/>
        <rFont val="メイリオ"/>
        <family val="3"/>
        <charset val="128"/>
      </rPr>
      <t>の表」に入力。</t>
    </r>
    <rPh sb="7" eb="9">
      <t>セッチ</t>
    </rPh>
    <rPh sb="14" eb="16">
      <t>バアイ</t>
    </rPh>
    <rPh sb="21" eb="22">
      <t>ヒョウ</t>
    </rPh>
    <rPh sb="24" eb="26">
      <t>ニュウリョク</t>
    </rPh>
    <rPh sb="49" eb="50">
      <t>ヒョウ</t>
    </rPh>
    <phoneticPr fontId="12"/>
  </si>
  <si>
    <r>
      <t>　　また、</t>
    </r>
    <r>
      <rPr>
        <sz val="10"/>
        <color rgb="FFFF0000"/>
        <rFont val="メイリオ"/>
        <family val="3"/>
        <charset val="128"/>
      </rPr>
      <t>使用期間</t>
    </r>
    <r>
      <rPr>
        <sz val="10"/>
        <rFont val="メイリオ"/>
        <family val="3"/>
        <charset val="128"/>
      </rPr>
      <t>は、最も使用量の多いものについて記入すること。</t>
    </r>
    <rPh sb="5" eb="9">
      <t>シヨウキカン</t>
    </rPh>
    <rPh sb="11" eb="12">
      <t>モット</t>
    </rPh>
    <rPh sb="13" eb="16">
      <t>シヨウリョウ</t>
    </rPh>
    <rPh sb="17" eb="18">
      <t>オオ</t>
    </rPh>
    <rPh sb="25" eb="27">
      <t>キニュウ</t>
    </rPh>
    <phoneticPr fontId="2"/>
  </si>
  <si>
    <r>
      <t>　・同一のエネルギー種別で</t>
    </r>
    <r>
      <rPr>
        <sz val="10"/>
        <color rgb="FFFF0000"/>
        <rFont val="メイリオ"/>
        <family val="3"/>
        <charset val="128"/>
      </rPr>
      <t>複数の契約等</t>
    </r>
    <r>
      <rPr>
        <sz val="10"/>
        <rFont val="メイリオ"/>
        <family val="3"/>
        <charset val="128"/>
      </rPr>
      <t>が有る場合は、合算した値を入力すること。</t>
    </r>
    <rPh sb="2" eb="4">
      <t>ドウイツ</t>
    </rPh>
    <rPh sb="10" eb="12">
      <t>シュベツ</t>
    </rPh>
    <rPh sb="13" eb="15">
      <t>フクスウ</t>
    </rPh>
    <rPh sb="16" eb="18">
      <t>ケイヤク</t>
    </rPh>
    <rPh sb="18" eb="19">
      <t>トウ</t>
    </rPh>
    <rPh sb="20" eb="21">
      <t>ア</t>
    </rPh>
    <rPh sb="22" eb="24">
      <t>バアイ</t>
    </rPh>
    <rPh sb="26" eb="28">
      <t>ガッサン</t>
    </rPh>
    <rPh sb="30" eb="31">
      <t>アタイ</t>
    </rPh>
    <rPh sb="32" eb="34">
      <t>ニュウリョク</t>
    </rPh>
    <phoneticPr fontId="2"/>
  </si>
  <si>
    <r>
      <t>３．機械換気の換気量は、常時使用できる最大風量＜</t>
    </r>
    <r>
      <rPr>
        <sz val="12"/>
        <color rgb="FFFF0000"/>
        <rFont val="メイリオ"/>
        <family val="3"/>
        <charset val="128"/>
      </rPr>
      <t>強</t>
    </r>
    <r>
      <rPr>
        <sz val="12"/>
        <rFont val="メイリオ"/>
        <family val="3"/>
        <charset val="128"/>
      </rPr>
      <t>＞の有効換気量を入力してください。</t>
    </r>
    <rPh sb="2" eb="4">
      <t>キカイ</t>
    </rPh>
    <rPh sb="4" eb="6">
      <t>カンキ</t>
    </rPh>
    <rPh sb="7" eb="9">
      <t>カンキ</t>
    </rPh>
    <rPh sb="9" eb="10">
      <t>リョウ</t>
    </rPh>
    <rPh sb="12" eb="16">
      <t>ジョウジシヨウ</t>
    </rPh>
    <rPh sb="19" eb="21">
      <t>サイダイ</t>
    </rPh>
    <rPh sb="21" eb="23">
      <t>フウリョウ</t>
    </rPh>
    <rPh sb="24" eb="25">
      <t>キョウ</t>
    </rPh>
    <rPh sb="27" eb="29">
      <t>ユウコウ</t>
    </rPh>
    <rPh sb="29" eb="31">
      <t>カンキ</t>
    </rPh>
    <rPh sb="31" eb="32">
      <t>リョウ</t>
    </rPh>
    <rPh sb="33" eb="35">
      <t>ニュウリョク</t>
    </rPh>
    <phoneticPr fontId="2"/>
  </si>
  <si>
    <r>
      <t>　　有効換気量は、ダクトなどの</t>
    </r>
    <r>
      <rPr>
        <sz val="12"/>
        <color rgb="FFFF0000"/>
        <rFont val="メイリオ"/>
        <family val="3"/>
        <charset val="128"/>
      </rPr>
      <t>圧力損失</t>
    </r>
    <r>
      <rPr>
        <sz val="12"/>
        <rFont val="メイリオ"/>
        <family val="3"/>
        <charset val="128"/>
      </rPr>
      <t>・</t>
    </r>
    <r>
      <rPr>
        <sz val="12"/>
        <color rgb="FFFF0000"/>
        <rFont val="メイリオ"/>
        <family val="3"/>
        <charset val="128"/>
      </rPr>
      <t>静圧等</t>
    </r>
    <r>
      <rPr>
        <sz val="12"/>
        <rFont val="メイリオ"/>
        <family val="3"/>
        <charset val="128"/>
      </rPr>
      <t>を考慮した換気量になります。</t>
    </r>
    <rPh sb="20" eb="22">
      <t>セイアツ</t>
    </rPh>
    <rPh sb="22" eb="23">
      <t>トウ</t>
    </rPh>
    <phoneticPr fontId="2"/>
  </si>
  <si>
    <t>換気量要件</t>
    <rPh sb="0" eb="2">
      <t>カンキ</t>
    </rPh>
    <rPh sb="2" eb="3">
      <t>リョウ</t>
    </rPh>
    <rPh sb="3" eb="5">
      <t>ヨウケン</t>
    </rPh>
    <phoneticPr fontId="2"/>
  </si>
  <si>
    <t>換気量減少確認</t>
    <rPh sb="0" eb="2">
      <t>カンキ</t>
    </rPh>
    <rPh sb="2" eb="3">
      <t>リョウ</t>
    </rPh>
    <rPh sb="3" eb="5">
      <t>ゲンショウ</t>
    </rPh>
    <rPh sb="5" eb="7">
      <t>カクニン</t>
    </rPh>
    <phoneticPr fontId="2"/>
  </si>
  <si>
    <t>室用途入力確認</t>
    <rPh sb="0" eb="1">
      <t>シツ</t>
    </rPh>
    <rPh sb="1" eb="3">
      <t>ヨウト</t>
    </rPh>
    <rPh sb="3" eb="5">
      <t>ニュウリョク</t>
    </rPh>
    <rPh sb="5" eb="7">
      <t>カクニン</t>
    </rPh>
    <phoneticPr fontId="2"/>
  </si>
  <si>
    <t>空欄確認</t>
    <rPh sb="0" eb="2">
      <t>クウラン</t>
    </rPh>
    <rPh sb="2" eb="4">
      <t>カクニン</t>
    </rPh>
    <phoneticPr fontId="2"/>
  </si>
  <si>
    <t>結果</t>
    <rPh sb="0" eb="2">
      <t>ケッカ</t>
    </rPh>
    <phoneticPr fontId="2"/>
  </si>
  <si>
    <t>換気設備導入要件</t>
    <rPh sb="0" eb="2">
      <t>カンキ</t>
    </rPh>
    <rPh sb="2" eb="4">
      <t>セツビ</t>
    </rPh>
    <rPh sb="4" eb="6">
      <t>ドウニュウ</t>
    </rPh>
    <rPh sb="6" eb="8">
      <t>ヨウケン</t>
    </rPh>
    <phoneticPr fontId="2"/>
  </si>
  <si>
    <r>
      <t>１．旧設備として＜機械換気設備＞がない</t>
    </r>
    <r>
      <rPr>
        <sz val="12"/>
        <color rgb="FFFF0000"/>
        <rFont val="メイリオ"/>
        <family val="3"/>
        <charset val="128"/>
      </rPr>
      <t>自然換気のみの場合</t>
    </r>
    <r>
      <rPr>
        <sz val="12"/>
        <rFont val="メイリオ"/>
        <family val="3"/>
        <charset val="128"/>
      </rPr>
      <t>は、「旧設備」欄は</t>
    </r>
    <r>
      <rPr>
        <sz val="12"/>
        <color rgb="FFFF0000"/>
        <rFont val="メイリオ"/>
        <family val="3"/>
        <charset val="128"/>
      </rPr>
      <t>空欄</t>
    </r>
    <r>
      <rPr>
        <sz val="12"/>
        <rFont val="メイリオ"/>
        <family val="3"/>
        <charset val="128"/>
      </rPr>
      <t>とし、「新設備」欄のみ記入してください。</t>
    </r>
    <rPh sb="2" eb="3">
      <t>キュウ</t>
    </rPh>
    <rPh sb="3" eb="5">
      <t>セツビ</t>
    </rPh>
    <rPh sb="9" eb="11">
      <t>キカイ</t>
    </rPh>
    <rPh sb="11" eb="13">
      <t>カンキ</t>
    </rPh>
    <rPh sb="13" eb="15">
      <t>セツビ</t>
    </rPh>
    <rPh sb="19" eb="21">
      <t>シゼン</t>
    </rPh>
    <rPh sb="21" eb="23">
      <t>カンキ</t>
    </rPh>
    <rPh sb="26" eb="28">
      <t>バアイ</t>
    </rPh>
    <rPh sb="31" eb="34">
      <t>キュウセツビ</t>
    </rPh>
    <rPh sb="35" eb="36">
      <t>ラン</t>
    </rPh>
    <rPh sb="37" eb="39">
      <t>クウラン</t>
    </rPh>
    <rPh sb="43" eb="44">
      <t>シン</t>
    </rPh>
    <rPh sb="44" eb="46">
      <t>セツビ</t>
    </rPh>
    <rPh sb="47" eb="48">
      <t>ラン</t>
    </rPh>
    <rPh sb="50" eb="52">
      <t>キニュウ</t>
    </rPh>
    <phoneticPr fontId="2"/>
  </si>
  <si>
    <t>換気方法と換気量確認</t>
    <rPh sb="0" eb="2">
      <t>カンキ</t>
    </rPh>
    <rPh sb="2" eb="4">
      <t>ホウホウ</t>
    </rPh>
    <rPh sb="5" eb="8">
      <t>カンキリョウ</t>
    </rPh>
    <rPh sb="8" eb="10">
      <t>カクニン</t>
    </rPh>
    <phoneticPr fontId="2"/>
  </si>
  <si>
    <t>R4_Ver5.6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</si>
</sst>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
    <numFmt numFmtId="177" formatCode="#,##0_);[Red]\(#,##0\)"/>
    <numFmt numFmtId="178" formatCode="0.0%"/>
    <numFmt numFmtId="179" formatCode="0.00_);[Red]\(0.00\)"/>
    <numFmt numFmtId="180" formatCode="#,##0.00_ "/>
    <numFmt numFmtId="181" formatCode="#,##0_ ;[Red]\-#,##0\ "/>
    <numFmt numFmtId="182" formatCode="#,##0.000_);[Red]\(#,##0.000\)"/>
    <numFmt numFmtId="183" formatCode="#,##0.0000_);[Red]\(#,##0.0000\)"/>
    <numFmt numFmtId="184" formatCode="#,##0.00_);[Red]\(#,##0.00\)"/>
    <numFmt numFmtId="185" formatCode="#,##0.000000_);[Red]\(#,##0.000000\)"/>
    <numFmt numFmtId="186" formatCode="#,##0.0_);[Red]\(#,##0.0\)"/>
    <numFmt numFmtId="187" formatCode="#,##0_ "/>
    <numFmt numFmtId="188" formatCode="#,##0.0_ "/>
    <numFmt numFmtId="189" formatCode="#,##0.0_ ;[Red]\-#,##0.0\ "/>
    <numFmt numFmtId="190" formatCode="#,##0.00_ ;[Red]\-#,##0.00\ "/>
    <numFmt numFmtId="191" formatCode="0.00_ ;[Red]\-0.00\ "/>
  </numFmts>
  <fonts count="41"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6"/>
      <name val="メイリオ"/>
      <family val="3"/>
      <charset val="128"/>
    </font>
    <font>
      <sz val="12"/>
      <color indexed="10"/>
      <name val="メイリオ"/>
      <family val="3"/>
      <charset val="128"/>
    </font>
    <font>
      <sz val="11"/>
      <color theme="0"/>
      <name val="メイリオ"/>
      <family val="3"/>
      <charset val="128"/>
    </font>
    <font>
      <sz val="12"/>
      <color indexed="81"/>
      <name val="メイリオ"/>
      <family val="3"/>
      <charset val="128"/>
    </font>
    <font>
      <sz val="9"/>
      <name val="メイリオ"/>
      <family val="3"/>
      <charset val="128"/>
    </font>
    <font>
      <sz val="14"/>
      <color rgb="FFFF0000"/>
      <name val="メイリオ"/>
      <family val="3"/>
      <charset val="128"/>
    </font>
    <font>
      <sz val="16"/>
      <color indexed="10"/>
      <name val="メイリオ"/>
      <family val="3"/>
      <charset val="128"/>
    </font>
    <font>
      <sz val="12"/>
      <color indexed="32"/>
      <name val="メイリオ"/>
      <family val="3"/>
      <charset val="128"/>
    </font>
    <font>
      <sz val="11"/>
      <name val="ＭＳ 明朝"/>
      <family val="1"/>
      <charset val="128"/>
    </font>
    <font>
      <b/>
      <sz val="14"/>
      <color rgb="FFFF0000"/>
      <name val="メイリオ"/>
      <family val="3"/>
      <charset val="128"/>
    </font>
    <font>
      <sz val="10"/>
      <name val="メイリオ"/>
      <family val="3"/>
      <charset val="128"/>
    </font>
    <font>
      <sz val="9"/>
      <color theme="1"/>
      <name val="メイリオ"/>
      <family val="3"/>
      <charset val="128"/>
    </font>
    <font>
      <sz val="20"/>
      <color theme="1"/>
      <name val="メイリオ"/>
      <family val="3"/>
      <charset val="128"/>
    </font>
    <font>
      <sz val="11"/>
      <color rgb="FFFF0000"/>
      <name val="ＭＳ 明朝"/>
      <family val="1"/>
      <charset val="128"/>
    </font>
    <font>
      <sz val="11"/>
      <color rgb="FFFF0000"/>
      <name val="游ゴシック"/>
      <family val="2"/>
      <charset val="128"/>
      <scheme val="minor"/>
    </font>
    <font>
      <sz val="14"/>
      <name val="メイリオ"/>
      <family val="3"/>
      <charset val="128"/>
    </font>
    <font>
      <b/>
      <sz val="10"/>
      <color rgb="FFFF0000"/>
      <name val="メイリオ"/>
      <family val="3"/>
      <charset val="128"/>
    </font>
    <font>
      <b/>
      <sz val="11"/>
      <color rgb="FFFF0000"/>
      <name val="メイリオ"/>
      <family val="3"/>
      <charset val="128"/>
    </font>
    <font>
      <b/>
      <sz val="9"/>
      <color rgb="FFFF0000"/>
      <name val="メイリオ"/>
      <family val="3"/>
      <charset val="128"/>
    </font>
    <font>
      <sz val="11"/>
      <name val="メイリオ"/>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theme="0"/>
        <bgColor indexed="64"/>
      </patternFill>
    </fill>
    <fill>
      <patternFill patternType="solid">
        <fgColor theme="1" tint="0.499984740745262"/>
        <bgColor indexed="64"/>
      </patternFill>
    </fill>
    <fill>
      <patternFill patternType="solid">
        <fgColor rgb="FFCCFFCC"/>
        <bgColor indexed="64"/>
      </patternFill>
    </fill>
    <fill>
      <patternFill patternType="solid">
        <fgColor rgb="FFCCECFF"/>
        <bgColor indexed="64"/>
      </patternFill>
    </fill>
    <fill>
      <patternFill patternType="solid">
        <fgColor rgb="FF66FF33"/>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style="thin">
        <color indexed="64"/>
      </right>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28">
    <xf numFmtId="0" fontId="0" fillId="0" borderId="0" xfId="0">
      <alignment vertical="center"/>
    </xf>
    <xf numFmtId="0" fontId="0" fillId="2" borderId="5" xfId="0" applyFill="1" applyBorder="1" applyAlignment="1" applyProtection="1">
      <alignment horizontal="center" vertical="center" shrinkToFit="1"/>
      <protection locked="0"/>
    </xf>
    <xf numFmtId="0" fontId="4" fillId="2" borderId="5" xfId="0" applyFont="1" applyFill="1" applyBorder="1" applyAlignment="1" applyProtection="1">
      <alignment vertical="center" wrapText="1"/>
      <protection locked="0"/>
    </xf>
    <xf numFmtId="0" fontId="11" fillId="0" borderId="0" xfId="3" applyFont="1">
      <alignment vertical="center"/>
    </xf>
    <xf numFmtId="0" fontId="11" fillId="2" borderId="21" xfId="3" applyFont="1" applyFill="1" applyBorder="1" applyAlignment="1" applyProtection="1">
      <alignment horizontal="center" vertical="center"/>
      <protection locked="0"/>
    </xf>
    <xf numFmtId="182" fontId="11" fillId="0" borderId="0" xfId="3" applyNumberFormat="1" applyFont="1">
      <alignment vertical="center"/>
    </xf>
    <xf numFmtId="184" fontId="11" fillId="0" borderId="0" xfId="3" applyNumberFormat="1" applyFont="1">
      <alignment vertical="center"/>
    </xf>
    <xf numFmtId="177" fontId="11" fillId="0" borderId="0" xfId="3" applyNumberFormat="1" applyFont="1">
      <alignment vertical="center"/>
    </xf>
    <xf numFmtId="183" fontId="11" fillId="0" borderId="0" xfId="3" applyNumberFormat="1" applyFont="1">
      <alignment vertical="center"/>
    </xf>
    <xf numFmtId="185" fontId="11" fillId="0" borderId="0" xfId="3" applyNumberFormat="1" applyFont="1">
      <alignment vertical="center"/>
    </xf>
    <xf numFmtId="184" fontId="11" fillId="0" borderId="23" xfId="3" applyNumberFormat="1" applyFont="1" applyBorder="1">
      <alignment vertical="center"/>
    </xf>
    <xf numFmtId="184" fontId="11" fillId="0" borderId="24" xfId="3" applyNumberFormat="1" applyFont="1" applyBorder="1">
      <alignment vertical="center"/>
    </xf>
    <xf numFmtId="186" fontId="11" fillId="0" borderId="0" xfId="3" applyNumberFormat="1" applyFont="1">
      <alignment vertical="center"/>
    </xf>
    <xf numFmtId="184" fontId="11" fillId="0" borderId="25" xfId="3" applyNumberFormat="1" applyFont="1" applyBorder="1">
      <alignment vertical="center"/>
    </xf>
    <xf numFmtId="184" fontId="11" fillId="0" borderId="8" xfId="3" applyNumberFormat="1" applyFont="1" applyBorder="1">
      <alignment vertical="center"/>
    </xf>
    <xf numFmtId="184" fontId="11" fillId="3" borderId="26" xfId="3" applyNumberFormat="1" applyFont="1" applyFill="1" applyBorder="1" applyAlignment="1">
      <alignment horizontal="center" vertical="center"/>
    </xf>
    <xf numFmtId="184" fontId="11" fillId="2" borderId="27" xfId="3" applyNumberFormat="1" applyFont="1" applyFill="1" applyBorder="1" applyAlignment="1">
      <alignment horizontal="center" vertical="center"/>
    </xf>
    <xf numFmtId="182" fontId="11" fillId="3" borderId="26" xfId="3" applyNumberFormat="1" applyFont="1" applyFill="1" applyBorder="1" applyAlignment="1">
      <alignment horizontal="center" vertical="center"/>
    </xf>
    <xf numFmtId="182" fontId="11" fillId="2" borderId="27" xfId="3" applyNumberFormat="1" applyFont="1" applyFill="1" applyBorder="1" applyAlignment="1">
      <alignment horizontal="center" vertical="center"/>
    </xf>
    <xf numFmtId="182" fontId="11" fillId="0" borderId="8" xfId="3" applyNumberFormat="1" applyFont="1" applyBorder="1">
      <alignment vertical="center"/>
    </xf>
    <xf numFmtId="182" fontId="11" fillId="0" borderId="0" xfId="3" applyNumberFormat="1" applyFont="1" applyAlignment="1">
      <alignment vertical="center"/>
    </xf>
    <xf numFmtId="0" fontId="0" fillId="2" borderId="5" xfId="0" applyNumberFormat="1" applyFill="1" applyBorder="1" applyAlignment="1" applyProtection="1">
      <alignment horizontal="center" vertical="center" shrinkToFit="1"/>
      <protection locked="0"/>
    </xf>
    <xf numFmtId="178" fontId="8" fillId="2" borderId="5" xfId="2" applyNumberFormat="1" applyFont="1" applyFill="1" applyBorder="1" applyAlignment="1" applyProtection="1">
      <alignment horizontal="center" vertical="center"/>
      <protection locked="0"/>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1" xfId="0"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9" fontId="0" fillId="3" borderId="5" xfId="1" applyNumberFormat="1" applyFont="1" applyFill="1" applyBorder="1" applyAlignment="1" applyProtection="1">
      <alignment horizontal="center" vertical="center"/>
      <protection hidden="1"/>
    </xf>
    <xf numFmtId="179" fontId="0" fillId="3" borderId="1" xfId="1" applyNumberFormat="1" applyFont="1" applyFill="1" applyBorder="1" applyAlignment="1" applyProtection="1">
      <alignment horizontal="center" vertical="center"/>
      <protection hidden="1"/>
    </xf>
    <xf numFmtId="0" fontId="0" fillId="0" borderId="15" xfId="0" quotePrefix="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2" xfId="0" applyBorder="1" applyAlignment="1" applyProtection="1">
      <alignment horizontal="center" vertical="center"/>
      <protection hidden="1"/>
    </xf>
    <xf numFmtId="0" fontId="10" fillId="0" borderId="0" xfId="3" applyProtection="1">
      <alignment vertical="center"/>
      <protection hidden="1"/>
    </xf>
    <xf numFmtId="0" fontId="0" fillId="0" borderId="14" xfId="0" quotePrefix="1" applyBorder="1" applyAlignment="1" applyProtection="1">
      <alignment horizontal="center" vertical="center"/>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6"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3" applyFont="1" applyAlignment="1" applyProtection="1">
      <alignment vertical="center"/>
      <protection hidden="1"/>
    </xf>
    <xf numFmtId="0" fontId="18" fillId="0" borderId="0" xfId="0" applyFo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4"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2" xfId="3" applyFont="1" applyBorder="1" applyAlignment="1" applyProtection="1">
      <alignment vertical="center"/>
      <protection hidden="1"/>
    </xf>
    <xf numFmtId="55" fontId="11" fillId="0" borderId="17" xfId="3" applyNumberFormat="1" applyFont="1" applyBorder="1" applyAlignment="1" applyProtection="1">
      <alignment horizontal="center" vertical="center" wrapText="1"/>
      <protection hidden="1"/>
    </xf>
    <xf numFmtId="0" fontId="11" fillId="0" borderId="17" xfId="3" applyFont="1" applyBorder="1" applyAlignment="1" applyProtection="1">
      <alignment horizontal="center" vertical="center"/>
      <protection hidden="1"/>
    </xf>
    <xf numFmtId="0" fontId="11" fillId="0" borderId="13" xfId="3" applyFont="1" applyBorder="1" applyAlignment="1" applyProtection="1">
      <alignment horizontal="center" vertical="center" wrapText="1"/>
      <protection hidden="1"/>
    </xf>
    <xf numFmtId="0" fontId="11" fillId="0" borderId="19" xfId="3" applyFont="1" applyFill="1" applyBorder="1" applyAlignment="1" applyProtection="1">
      <alignment horizontal="center" vertical="center" wrapText="1"/>
      <protection hidden="1"/>
    </xf>
    <xf numFmtId="0" fontId="11" fillId="0" borderId="31" xfId="3" applyFont="1" applyBorder="1" applyAlignment="1" applyProtection="1">
      <alignment horizontal="center" vertical="center" wrapText="1"/>
      <protection hidden="1"/>
    </xf>
    <xf numFmtId="0" fontId="11" fillId="0" borderId="16"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181" fontId="11" fillId="3" borderId="30" xfId="4" applyNumberFormat="1" applyFont="1" applyFill="1" applyBorder="1" applyAlignment="1" applyProtection="1">
      <alignment vertical="center" shrinkToFit="1"/>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0" borderId="22" xfId="3" applyFont="1" applyFill="1" applyBorder="1" applyAlignment="1" applyProtection="1">
      <alignment vertical="center"/>
      <protection hidden="1"/>
    </xf>
    <xf numFmtId="0" fontId="11" fillId="2" borderId="22" xfId="3" applyFont="1" applyFill="1" applyBorder="1" applyAlignment="1" applyProtection="1">
      <alignment horizontal="center" vertical="center"/>
      <protection locked="0"/>
    </xf>
    <xf numFmtId="0" fontId="17" fillId="0" borderId="0" xfId="3" applyFont="1" applyProtection="1">
      <alignment vertical="center"/>
      <protection hidden="1"/>
    </xf>
    <xf numFmtId="0" fontId="0" fillId="0" borderId="42"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182" fontId="10" fillId="0" borderId="0" xfId="3" applyNumberFormat="1" applyProtection="1">
      <alignment vertical="center"/>
      <protection hidden="1"/>
    </xf>
    <xf numFmtId="182" fontId="10" fillId="0" borderId="0" xfId="3" applyNumberFormat="1" applyAlignment="1" applyProtection="1">
      <alignment horizontal="right" vertical="center"/>
      <protection hidden="1"/>
    </xf>
    <xf numFmtId="0" fontId="0" fillId="0" borderId="41" xfId="0" applyBorder="1" applyAlignment="1" applyProtection="1">
      <alignment horizontal="center" vertical="center"/>
      <protection hidden="1"/>
    </xf>
    <xf numFmtId="182" fontId="11" fillId="0" borderId="0" xfId="3" applyNumberFormat="1" applyFont="1" applyAlignment="1">
      <alignment horizontal="right" vertical="center"/>
    </xf>
    <xf numFmtId="0" fontId="11" fillId="4" borderId="15" xfId="3" applyNumberFormat="1" applyFont="1" applyFill="1" applyBorder="1" applyAlignment="1" applyProtection="1">
      <alignment horizontal="center" vertical="center" shrinkToFit="1"/>
      <protection locked="0"/>
    </xf>
    <xf numFmtId="0" fontId="11" fillId="4" borderId="36" xfId="3" applyNumberFormat="1"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20" fillId="0" borderId="28"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3" applyFont="1" applyAlignment="1" applyProtection="1">
      <alignment horizontal="center" vertical="center"/>
      <protection hidden="1"/>
    </xf>
    <xf numFmtId="0" fontId="7" fillId="2" borderId="1" xfId="3" applyFont="1" applyFill="1" applyBorder="1" applyAlignment="1" applyProtection="1">
      <alignment horizontal="center" vertical="center" wrapText="1" shrinkToFit="1"/>
      <protection locked="0"/>
    </xf>
    <xf numFmtId="188" fontId="7" fillId="4" borderId="1" xfId="3" applyNumberFormat="1" applyFont="1" applyFill="1" applyBorder="1" applyProtection="1">
      <alignment vertical="center"/>
      <protection locked="0"/>
    </xf>
    <xf numFmtId="0" fontId="7" fillId="2" borderId="1" xfId="3" applyFont="1" applyFill="1" applyBorder="1" applyAlignment="1" applyProtection="1">
      <alignment horizontal="center" vertical="center"/>
      <protection locked="0"/>
    </xf>
    <xf numFmtId="187" fontId="7" fillId="4" borderId="1" xfId="3" applyNumberFormat="1" applyFont="1" applyFill="1" applyBorder="1" applyAlignment="1" applyProtection="1">
      <alignment horizontal="right" vertical="center"/>
      <protection locked="0"/>
    </xf>
    <xf numFmtId="186" fontId="20" fillId="0" borderId="0" xfId="3" applyNumberFormat="1" applyFont="1">
      <alignment vertical="center"/>
    </xf>
    <xf numFmtId="0" fontId="11" fillId="0" borderId="1" xfId="3" applyFont="1" applyBorder="1" applyAlignment="1" applyProtection="1">
      <alignment vertical="center"/>
      <protection hidden="1"/>
    </xf>
    <xf numFmtId="0" fontId="16" fillId="0" borderId="0" xfId="0" applyFont="1" applyBorder="1" applyAlignment="1" applyProtection="1">
      <alignment vertical="center"/>
      <protection hidden="1"/>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0" borderId="0" xfId="0" applyBorder="1" applyAlignment="1" applyProtection="1">
      <alignment horizontal="center" vertical="center" shrinkToFit="1"/>
      <protection hidden="1"/>
    </xf>
    <xf numFmtId="0" fontId="11" fillId="0" borderId="0" xfId="3" applyFont="1" applyFill="1" applyProtection="1">
      <alignment vertical="center"/>
      <protection hidden="1"/>
    </xf>
    <xf numFmtId="0" fontId="23" fillId="0" borderId="40" xfId="3"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6" fillId="0" borderId="0" xfId="0" applyFont="1" applyBorder="1" applyAlignment="1" applyProtection="1">
      <alignment vertical="top" wrapText="1"/>
      <protection hidden="1"/>
    </xf>
    <xf numFmtId="0" fontId="23" fillId="0" borderId="0" xfId="3" applyFont="1" applyProtection="1">
      <alignment vertical="center"/>
      <protection hidden="1"/>
    </xf>
    <xf numFmtId="189" fontId="8" fillId="4" borderId="5" xfId="2" applyNumberFormat="1" applyFont="1" applyFill="1" applyBorder="1" applyProtection="1">
      <alignment vertical="center"/>
      <protection locked="0"/>
    </xf>
    <xf numFmtId="189" fontId="8" fillId="4" borderId="1" xfId="2" applyNumberFormat="1" applyFont="1" applyFill="1" applyBorder="1" applyProtection="1">
      <alignment vertical="center"/>
      <protection locked="0"/>
    </xf>
    <xf numFmtId="0" fontId="0" fillId="0" borderId="0" xfId="0" applyAlignment="1" applyProtection="1">
      <alignment horizontal="left" vertical="center"/>
      <protection hidden="1"/>
    </xf>
    <xf numFmtId="0" fontId="4" fillId="2" borderId="5" xfId="0" applyFont="1" applyFill="1" applyBorder="1" applyAlignment="1" applyProtection="1">
      <alignment horizontal="center" vertical="center" shrinkToFit="1"/>
      <protection locked="0"/>
    </xf>
    <xf numFmtId="182" fontId="11" fillId="8" borderId="0" xfId="3" applyNumberFormat="1" applyFont="1" applyFill="1">
      <alignment vertical="center"/>
    </xf>
    <xf numFmtId="0" fontId="11" fillId="0" borderId="1" xfId="3" applyFont="1" applyBorder="1" applyAlignment="1">
      <alignment vertical="center"/>
    </xf>
    <xf numFmtId="0" fontId="20" fillId="0" borderId="28" xfId="3" applyFont="1" applyBorder="1" applyAlignment="1" applyProtection="1">
      <alignment horizontal="right"/>
      <protection hidden="1"/>
    </xf>
    <xf numFmtId="0" fontId="0" fillId="0" borderId="0" xfId="0" applyAlignment="1" applyProtection="1">
      <alignment horizontal="right"/>
      <protection hidden="1"/>
    </xf>
    <xf numFmtId="0" fontId="18" fillId="0" borderId="0" xfId="0" applyFont="1" applyAlignment="1" applyProtection="1">
      <alignment horizontal="right" vertical="top"/>
      <protection hidden="1"/>
    </xf>
    <xf numFmtId="0" fontId="11" fillId="0" borderId="0" xfId="3" applyFont="1" applyBorder="1" applyAlignment="1" applyProtection="1">
      <alignment horizontal="right" vertical="top"/>
      <protection hidden="1"/>
    </xf>
    <xf numFmtId="0" fontId="18" fillId="0" borderId="0" xfId="0" applyFont="1" applyBorder="1" applyAlignment="1" applyProtection="1">
      <alignment horizontal="right" vertical="top"/>
      <protection hidden="1"/>
    </xf>
    <xf numFmtId="0" fontId="11" fillId="7" borderId="0" xfId="3" applyFont="1" applyFill="1" applyProtection="1">
      <alignment vertical="center"/>
      <protection hidden="1"/>
    </xf>
    <xf numFmtId="0" fontId="0" fillId="7" borderId="0" xfId="0" applyFill="1" applyProtection="1">
      <alignment vertical="center"/>
      <protection hidden="1"/>
    </xf>
    <xf numFmtId="0" fontId="5" fillId="0" borderId="0" xfId="3" applyFont="1" applyProtection="1">
      <alignment vertical="center"/>
      <protection hidden="1"/>
    </xf>
    <xf numFmtId="0" fontId="0" fillId="6" borderId="0" xfId="0"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shrinkToFit="1"/>
      <protection hidden="1"/>
    </xf>
    <xf numFmtId="0" fontId="7" fillId="0" borderId="0" xfId="0" applyFont="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7" fillId="6" borderId="0" xfId="0" applyFont="1" applyFill="1" applyBorder="1" applyAlignment="1" applyProtection="1">
      <alignment horizontal="left" vertical="center" wrapText="1" shrinkToFit="1"/>
      <protection hidden="1"/>
    </xf>
    <xf numFmtId="0" fontId="7" fillId="6" borderId="0" xfId="0" applyFont="1" applyFill="1" applyBorder="1" applyAlignment="1" applyProtection="1">
      <alignment horizontal="center" vertical="center" wrapText="1" shrinkToFit="1"/>
      <protection hidden="1"/>
    </xf>
    <xf numFmtId="0" fontId="29" fillId="0" borderId="0" xfId="0" applyFont="1" applyFill="1" applyProtection="1">
      <alignment vertical="center"/>
      <protection hidden="1"/>
    </xf>
    <xf numFmtId="0" fontId="30" fillId="0" borderId="0" xfId="0" applyFont="1" applyFill="1" applyAlignment="1" applyProtection="1">
      <alignment vertical="center"/>
      <protection hidden="1"/>
    </xf>
    <xf numFmtId="0" fontId="0" fillId="0" borderId="0" xfId="0" applyFill="1" applyProtection="1">
      <alignment vertical="center"/>
      <protection hidden="1"/>
    </xf>
    <xf numFmtId="0" fontId="7" fillId="0" borderId="0" xfId="0" quotePrefix="1" applyFont="1" applyProtection="1">
      <alignment vertical="center"/>
      <protection hidden="1"/>
    </xf>
    <xf numFmtId="0" fontId="0" fillId="0" borderId="28"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shrinkToFit="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7" fillId="0" borderId="1" xfId="3" quotePrefix="1" applyFont="1" applyBorder="1" applyAlignment="1" applyProtection="1">
      <alignment horizontal="center" vertical="center"/>
      <protection hidden="1"/>
    </xf>
    <xf numFmtId="0" fontId="20" fillId="0" borderId="0" xfId="3"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0" borderId="0" xfId="0" applyBorder="1" applyAlignment="1" applyProtection="1">
      <alignment horizontal="center" vertical="center"/>
      <protection hidden="1"/>
    </xf>
    <xf numFmtId="0" fontId="4" fillId="2" borderId="11" xfId="0" applyFont="1" applyFill="1" applyBorder="1" applyAlignment="1" applyProtection="1">
      <alignment vertical="center" wrapText="1"/>
      <protection locked="0"/>
    </xf>
    <xf numFmtId="0" fontId="0" fillId="2" borderId="51" xfId="0" applyNumberFormat="1" applyFill="1" applyBorder="1" applyAlignment="1" applyProtection="1">
      <alignment horizontal="center" vertical="center" shrinkToFit="1"/>
      <protection locked="0"/>
    </xf>
    <xf numFmtId="0" fontId="0" fillId="0" borderId="28" xfId="0" applyBorder="1" applyAlignment="1" applyProtection="1">
      <alignment horizontal="center" vertical="center" wrapText="1"/>
      <protection hidden="1"/>
    </xf>
    <xf numFmtId="0" fontId="0" fillId="0" borderId="28" xfId="0" applyFill="1" applyBorder="1" applyAlignment="1" applyProtection="1">
      <alignment horizontal="center" vertical="center" wrapText="1"/>
      <protection hidden="1"/>
    </xf>
    <xf numFmtId="0" fontId="0" fillId="0" borderId="36" xfId="0" applyFill="1" applyBorder="1" applyAlignment="1" applyProtection="1">
      <alignment vertical="center"/>
      <protection hidden="1"/>
    </xf>
    <xf numFmtId="0" fontId="0" fillId="0" borderId="36" xfId="0" applyFill="1" applyBorder="1" applyAlignment="1" applyProtection="1">
      <alignment horizontal="left" vertical="center" shrinkToFit="1"/>
      <protection locked="0"/>
    </xf>
    <xf numFmtId="0" fontId="0" fillId="0" borderId="0" xfId="0" applyFill="1" applyBorder="1" applyProtection="1">
      <alignment vertical="center"/>
      <protection hidden="1"/>
    </xf>
    <xf numFmtId="184" fontId="11" fillId="0" borderId="0" xfId="3" applyNumberFormat="1" applyFont="1" applyBorder="1">
      <alignment vertical="center"/>
    </xf>
    <xf numFmtId="186" fontId="0" fillId="0" borderId="50" xfId="4" applyNumberFormat="1" applyFont="1" applyBorder="1" applyProtection="1">
      <alignment vertical="center"/>
      <protection hidden="1"/>
    </xf>
    <xf numFmtId="0" fontId="11" fillId="0" borderId="18" xfId="3" applyFont="1" applyFill="1" applyBorder="1" applyAlignment="1" applyProtection="1">
      <alignment horizontal="center" vertical="center"/>
      <protection hidden="1"/>
    </xf>
    <xf numFmtId="0" fontId="5" fillId="0" borderId="0" xfId="3" applyFont="1" applyAlignment="1" applyProtection="1">
      <alignment vertical="center"/>
      <protection hidden="1"/>
    </xf>
    <xf numFmtId="0" fontId="5" fillId="7" borderId="0" xfId="3" applyFont="1" applyFill="1" applyProtection="1">
      <alignment vertical="center"/>
      <protection hidden="1"/>
    </xf>
    <xf numFmtId="0" fontId="31" fillId="0" borderId="0" xfId="3" applyFont="1" applyProtection="1">
      <alignment vertical="center"/>
      <protection hidden="1"/>
    </xf>
    <xf numFmtId="0" fontId="31" fillId="0" borderId="0" xfId="3" applyFont="1" applyFill="1" applyProtection="1">
      <alignment vertical="center"/>
      <protection hidden="1"/>
    </xf>
    <xf numFmtId="0" fontId="11" fillId="0" borderId="18" xfId="3" applyFont="1" applyBorder="1" applyAlignment="1" applyProtection="1">
      <alignment horizontal="center" vertical="center" wrapText="1"/>
      <protection hidden="1"/>
    </xf>
    <xf numFmtId="0" fontId="11" fillId="0" borderId="20" xfId="3" applyFont="1" applyFill="1" applyBorder="1" applyAlignment="1" applyProtection="1">
      <alignment vertical="center"/>
      <protection hidden="1"/>
    </xf>
    <xf numFmtId="181" fontId="11" fillId="4" borderId="32" xfId="4" applyNumberFormat="1" applyFont="1" applyFill="1" applyBorder="1" applyAlignment="1" applyProtection="1">
      <alignment horizontal="right" vertical="center" shrinkToFit="1"/>
      <protection locked="0"/>
    </xf>
    <xf numFmtId="181" fontId="11" fillId="4" borderId="34" xfId="4" applyNumberFormat="1" applyFont="1" applyFill="1" applyBorder="1" applyAlignment="1" applyProtection="1">
      <alignment horizontal="right" vertical="center" shrinkToFit="1"/>
      <protection locked="0"/>
    </xf>
    <xf numFmtId="181" fontId="11" fillId="4" borderId="38" xfId="4" applyNumberFormat="1" applyFont="1" applyFill="1" applyBorder="1" applyAlignment="1" applyProtection="1">
      <alignment horizontal="right" vertical="center" shrinkToFit="1"/>
      <protection locked="0"/>
    </xf>
    <xf numFmtId="181" fontId="11" fillId="3" borderId="30" xfId="4" applyNumberFormat="1" applyFont="1" applyFill="1" applyBorder="1" applyAlignment="1" applyProtection="1">
      <alignment horizontal="right" vertical="center" shrinkToFit="1"/>
      <protection hidden="1"/>
    </xf>
    <xf numFmtId="181" fontId="23" fillId="7" borderId="40" xfId="3" applyNumberFormat="1" applyFont="1" applyFill="1" applyBorder="1" applyAlignment="1" applyProtection="1">
      <alignment horizontal="right" vertical="center"/>
      <protection hidden="1"/>
    </xf>
    <xf numFmtId="189" fontId="0" fillId="4" borderId="5" xfId="0" applyNumberFormat="1" applyFill="1" applyBorder="1" applyProtection="1">
      <alignment vertical="center"/>
      <protection locked="0"/>
    </xf>
    <xf numFmtId="189" fontId="0" fillId="4" borderId="5" xfId="1" applyNumberFormat="1" applyFont="1" applyFill="1" applyBorder="1" applyProtection="1">
      <alignment vertical="center"/>
      <protection locked="0"/>
    </xf>
    <xf numFmtId="189" fontId="0" fillId="4" borderId="1" xfId="1" applyNumberFormat="1" applyFont="1" applyFill="1" applyBorder="1" applyProtection="1">
      <alignment vertical="center"/>
      <protection locked="0"/>
    </xf>
    <xf numFmtId="181" fontId="0" fillId="3" borderId="4" xfId="0" applyNumberFormat="1" applyFill="1" applyBorder="1" applyProtection="1">
      <alignment vertical="center"/>
      <protection hidden="1"/>
    </xf>
    <xf numFmtId="189" fontId="0" fillId="3" borderId="6" xfId="0" applyNumberFormat="1" applyFill="1" applyBorder="1" applyProtection="1">
      <alignment vertical="center"/>
      <protection hidden="1"/>
    </xf>
    <xf numFmtId="189" fontId="0" fillId="3" borderId="9" xfId="0" applyNumberFormat="1" applyFill="1" applyBorder="1" applyProtection="1">
      <alignment vertical="center"/>
      <protection hidden="1"/>
    </xf>
    <xf numFmtId="181" fontId="0" fillId="3" borderId="12" xfId="0" applyNumberFormat="1" applyFill="1" applyBorder="1" applyProtection="1">
      <alignment vertical="center"/>
      <protection hidden="1"/>
    </xf>
    <xf numFmtId="190" fontId="0" fillId="4" borderId="1" xfId="0" applyNumberFormat="1" applyFill="1" applyBorder="1" applyProtection="1">
      <alignment vertical="center"/>
      <protection locked="0"/>
    </xf>
    <xf numFmtId="190" fontId="8" fillId="4" borderId="1" xfId="2" applyNumberFormat="1" applyFont="1" applyFill="1" applyBorder="1" applyProtection="1">
      <alignment vertical="center"/>
      <protection locked="0"/>
    </xf>
    <xf numFmtId="189" fontId="0" fillId="4" borderId="1" xfId="0" applyNumberFormat="1" applyFill="1" applyBorder="1" applyProtection="1">
      <alignment vertical="center"/>
      <protection locked="0"/>
    </xf>
    <xf numFmtId="191" fontId="0" fillId="4" borderId="1" xfId="0" applyNumberFormat="1" applyFill="1" applyBorder="1" applyProtection="1">
      <alignment vertical="center"/>
      <protection locked="0"/>
    </xf>
    <xf numFmtId="190" fontId="0" fillId="4" borderId="2" xfId="0" applyNumberFormat="1" applyFill="1" applyBorder="1" applyProtection="1">
      <alignment vertical="center"/>
      <protection locked="0"/>
    </xf>
    <xf numFmtId="189" fontId="0" fillId="4" borderId="14" xfId="0" applyNumberFormat="1" applyFill="1" applyBorder="1" applyProtection="1">
      <alignment vertical="center"/>
      <protection locked="0"/>
    </xf>
    <xf numFmtId="0" fontId="0" fillId="6" borderId="0" xfId="0" applyFill="1" applyProtection="1">
      <alignment vertical="center"/>
      <protection hidden="1"/>
    </xf>
    <xf numFmtId="0" fontId="5" fillId="0" borderId="0" xfId="3" applyFont="1" applyFill="1" applyProtection="1">
      <alignment vertical="center"/>
      <protection hidden="1"/>
    </xf>
    <xf numFmtId="0" fontId="0" fillId="9" borderId="0" xfId="0" applyFill="1" applyAlignment="1" applyProtection="1">
      <alignment horizontal="center" vertical="center"/>
      <protection hidden="1"/>
    </xf>
    <xf numFmtId="0" fontId="7" fillId="0" borderId="0" xfId="0" applyFont="1" applyFill="1" applyBorder="1" applyAlignment="1" applyProtection="1">
      <alignment horizontal="left" vertical="center" wrapText="1" shrinkToFit="1"/>
      <protection hidden="1"/>
    </xf>
    <xf numFmtId="0" fontId="7" fillId="0" borderId="0" xfId="0" applyFont="1" applyFill="1" applyBorder="1" applyAlignment="1" applyProtection="1">
      <alignment horizontal="center" vertical="center" wrapText="1" shrinkToFit="1"/>
      <protection hidden="1"/>
    </xf>
    <xf numFmtId="190" fontId="0" fillId="3" borderId="1" xfId="4" applyNumberFormat="1" applyFont="1" applyFill="1" applyBorder="1" applyAlignment="1" applyProtection="1">
      <alignment horizontal="right" vertical="center" shrinkToFit="1"/>
      <protection hidden="1"/>
    </xf>
    <xf numFmtId="190" fontId="0" fillId="3" borderId="4" xfId="0" applyNumberFormat="1" applyFill="1" applyBorder="1" applyAlignment="1" applyProtection="1">
      <alignment vertical="center" shrinkToFit="1"/>
      <protection hidden="1"/>
    </xf>
    <xf numFmtId="190" fontId="8" fillId="3" borderId="5" xfId="2" applyNumberFormat="1" applyFont="1" applyFill="1" applyBorder="1" applyAlignment="1" applyProtection="1">
      <alignment horizontal="right" vertical="center" shrinkToFit="1"/>
      <protection hidden="1"/>
    </xf>
    <xf numFmtId="190" fontId="0" fillId="3" borderId="9" xfId="0" applyNumberFormat="1" applyFill="1" applyBorder="1" applyAlignment="1" applyProtection="1">
      <alignment vertical="center" shrinkToFit="1"/>
      <protection hidden="1"/>
    </xf>
    <xf numFmtId="190" fontId="0" fillId="3" borderId="5" xfId="4" applyNumberFormat="1" applyFont="1" applyFill="1" applyBorder="1" applyAlignment="1" applyProtection="1">
      <alignment horizontal="right" vertical="center" shrinkToFit="1"/>
      <protection hidden="1"/>
    </xf>
    <xf numFmtId="0" fontId="3" fillId="0" borderId="0" xfId="0" applyFont="1" applyProtection="1">
      <alignment vertical="center"/>
      <protection hidden="1"/>
    </xf>
    <xf numFmtId="0" fontId="34" fillId="0" borderId="0" xfId="0" applyFont="1" applyFill="1" applyAlignment="1" applyProtection="1">
      <alignment horizontal="center" vertical="center"/>
      <protection hidden="1"/>
    </xf>
    <xf numFmtId="0" fontId="34" fillId="0" borderId="0" xfId="0" applyFont="1" applyFill="1" applyProtection="1">
      <alignment vertical="center"/>
      <protection hidden="1"/>
    </xf>
    <xf numFmtId="0" fontId="16" fillId="0" borderId="0" xfId="0" applyFont="1" applyProtection="1">
      <alignment vertical="center"/>
      <protection hidden="1"/>
    </xf>
    <xf numFmtId="0" fontId="35" fillId="0" borderId="0" xfId="3" applyFont="1" applyProtection="1">
      <alignment vertical="center"/>
      <protection hidden="1"/>
    </xf>
    <xf numFmtId="0" fontId="16" fillId="0" borderId="0" xfId="0" applyFont="1" applyAlignment="1" applyProtection="1">
      <alignment horizontal="center" vertical="center"/>
      <protection hidden="1"/>
    </xf>
    <xf numFmtId="181" fontId="11" fillId="0" borderId="0" xfId="3" applyNumberFormat="1" applyFont="1" applyProtection="1">
      <alignment vertical="center"/>
      <protection hidden="1"/>
    </xf>
    <xf numFmtId="0" fontId="11" fillId="0" borderId="0" xfId="3" applyFont="1" applyBorder="1" applyAlignment="1" applyProtection="1">
      <alignment horizontal="center" vertical="center" wrapText="1"/>
      <protection hidden="1"/>
    </xf>
    <xf numFmtId="0" fontId="11" fillId="10" borderId="0" xfId="3" applyFont="1" applyFill="1" applyBorder="1" applyAlignment="1" applyProtection="1">
      <alignment horizontal="center" vertical="center" wrapText="1"/>
      <protection hidden="1"/>
    </xf>
    <xf numFmtId="181" fontId="11" fillId="0" borderId="0" xfId="3" applyNumberFormat="1" applyFont="1" applyBorder="1" applyAlignment="1" applyProtection="1">
      <alignment horizontal="center" vertical="center" wrapText="1"/>
      <protection hidden="1"/>
    </xf>
    <xf numFmtId="0" fontId="0" fillId="0" borderId="0" xfId="0" quotePrefix="1" applyProtection="1">
      <alignment vertical="center"/>
      <protection hidden="1"/>
    </xf>
    <xf numFmtId="182" fontId="11" fillId="5" borderId="0" xfId="3" applyNumberFormat="1" applyFont="1" applyFill="1">
      <alignment vertical="center"/>
    </xf>
    <xf numFmtId="182" fontId="11" fillId="6" borderId="0" xfId="3" applyNumberFormat="1" applyFont="1" applyFill="1">
      <alignment vertical="center"/>
    </xf>
    <xf numFmtId="0" fontId="0" fillId="9" borderId="0" xfId="0" applyFill="1" applyBorder="1" applyAlignment="1" applyProtection="1">
      <alignment horizontal="center" vertical="center" wrapText="1"/>
      <protection hidden="1"/>
    </xf>
    <xf numFmtId="0" fontId="40" fillId="0" borderId="0" xfId="3" applyFont="1" applyProtection="1">
      <alignment vertical="center"/>
      <protection hidden="1"/>
    </xf>
    <xf numFmtId="181" fontId="0" fillId="4" borderId="5" xfId="0" applyNumberFormat="1" applyFill="1" applyBorder="1" applyAlignment="1" applyProtection="1">
      <alignment horizontal="right" vertical="center" shrinkToFit="1"/>
      <protection locked="0"/>
    </xf>
    <xf numFmtId="181" fontId="0" fillId="4" borderId="5" xfId="0" applyNumberFormat="1" applyFill="1" applyBorder="1" applyAlignment="1" applyProtection="1">
      <alignment horizontal="right" vertical="center"/>
      <protection locked="0"/>
    </xf>
    <xf numFmtId="0" fontId="7" fillId="0" borderId="0" xfId="3" applyFont="1" applyAlignment="1" applyProtection="1">
      <alignment horizontal="center" vertical="center"/>
      <protection hidden="1"/>
    </xf>
    <xf numFmtId="0" fontId="7" fillId="12" borderId="0" xfId="3" applyFont="1" applyFill="1" applyAlignment="1" applyProtection="1">
      <alignment horizontal="center" vertical="center"/>
      <protection hidden="1"/>
    </xf>
    <xf numFmtId="188" fontId="7" fillId="3" borderId="1" xfId="3" applyNumberFormat="1" applyFont="1" applyFill="1" applyBorder="1" applyAlignment="1" applyProtection="1">
      <alignment horizontal="center" vertical="center"/>
      <protection hidden="1"/>
    </xf>
    <xf numFmtId="0" fontId="5" fillId="0" borderId="0" xfId="3" applyFont="1" applyAlignment="1" applyProtection="1">
      <alignment horizontal="center" vertical="center"/>
      <protection hidden="1"/>
    </xf>
    <xf numFmtId="177" fontId="10" fillId="0" borderId="3" xfId="3" applyNumberFormat="1" applyBorder="1" applyAlignment="1" applyProtection="1">
      <alignment horizontal="center" vertical="center"/>
      <protection hidden="1"/>
    </xf>
    <xf numFmtId="177" fontId="10" fillId="0" borderId="10"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182" fontId="11" fillId="5" borderId="22" xfId="3" applyNumberFormat="1" applyFont="1" applyFill="1" applyBorder="1" applyAlignment="1">
      <alignment horizontal="center" vertical="center"/>
    </xf>
    <xf numFmtId="0" fontId="33" fillId="3" borderId="3" xfId="3" applyFont="1" applyFill="1" applyBorder="1" applyAlignment="1" applyProtection="1">
      <alignment horizontal="center" vertical="center"/>
      <protection hidden="1"/>
    </xf>
    <xf numFmtId="0" fontId="33" fillId="3" borderId="10" xfId="3" applyFont="1" applyFill="1" applyBorder="1" applyAlignment="1" applyProtection="1">
      <alignment horizontal="center" vertical="center"/>
      <protection hidden="1"/>
    </xf>
    <xf numFmtId="0" fontId="33" fillId="3" borderId="5"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wrapText="1"/>
      <protection hidden="1"/>
    </xf>
    <xf numFmtId="0" fontId="7" fillId="0" borderId="3" xfId="3" applyFont="1" applyBorder="1" applyAlignment="1" applyProtection="1">
      <alignment horizontal="center" vertical="center" wrapText="1"/>
      <protection hidden="1"/>
    </xf>
    <xf numFmtId="0" fontId="7" fillId="0" borderId="10"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4"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7" fillId="11" borderId="0" xfId="3" applyFont="1" applyFill="1" applyBorder="1" applyAlignment="1" applyProtection="1">
      <alignment horizontal="right" vertical="center"/>
      <protection hidden="1"/>
    </xf>
    <xf numFmtId="0" fontId="7" fillId="10" borderId="0" xfId="3" applyFont="1" applyFill="1" applyBorder="1" applyAlignment="1" applyProtection="1">
      <alignment horizontal="right" vertical="center"/>
      <protection hidden="1"/>
    </xf>
    <xf numFmtId="0" fontId="7" fillId="10" borderId="50" xfId="3" applyFont="1" applyFill="1" applyBorder="1" applyAlignment="1" applyProtection="1">
      <alignment horizontal="right" vertical="center"/>
      <protection hidden="1"/>
    </xf>
    <xf numFmtId="0" fontId="7" fillId="12" borderId="0" xfId="3" applyFont="1" applyFill="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44"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0" borderId="2" xfId="0" applyFont="1" applyBorder="1" applyAlignment="1" applyProtection="1">
      <alignment horizontal="left" vertical="center" wrapText="1" shrinkToFit="1"/>
      <protection hidden="1"/>
    </xf>
    <xf numFmtId="0" fontId="0" fillId="0" borderId="14"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4" xfId="0" applyFont="1" applyBorder="1" applyAlignment="1" applyProtection="1">
      <alignment horizontal="left" vertical="center" wrapText="1" shrinkToFi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0" fontId="7" fillId="0" borderId="2"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4" borderId="48" xfId="0" applyFill="1" applyBorder="1" applyAlignment="1" applyProtection="1">
      <alignment horizontal="left" vertical="center" shrinkToFit="1"/>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4" borderId="47" xfId="0" applyFill="1" applyBorder="1" applyAlignment="1" applyProtection="1">
      <alignment horizontal="left" vertical="center" shrinkToFit="1"/>
      <protection locked="0"/>
    </xf>
    <xf numFmtId="0" fontId="0" fillId="4" borderId="49" xfId="0" applyFill="1" applyBorder="1" applyAlignment="1" applyProtection="1">
      <alignment horizontal="left" vertical="center" shrinkToFit="1"/>
      <protection locked="0"/>
    </xf>
    <xf numFmtId="0" fontId="0" fillId="5" borderId="52" xfId="0" applyFill="1" applyBorder="1" applyAlignment="1" applyProtection="1">
      <alignment horizontal="left" vertical="center" shrinkToFit="1"/>
      <protection locked="0"/>
    </xf>
    <xf numFmtId="0" fontId="0" fillId="5" borderId="53" xfId="0" applyFill="1" applyBorder="1" applyAlignment="1" applyProtection="1">
      <alignment horizontal="left" vertical="center" shrinkToFit="1"/>
      <protection locked="0"/>
    </xf>
    <xf numFmtId="0" fontId="0" fillId="5" borderId="54" xfId="0" applyFill="1" applyBorder="1" applyAlignment="1" applyProtection="1">
      <alignment horizontal="left" vertical="center" shrinkToFit="1"/>
      <protection locked="0"/>
    </xf>
    <xf numFmtId="0" fontId="0" fillId="5" borderId="55" xfId="0" applyFill="1" applyBorder="1" applyAlignment="1" applyProtection="1">
      <alignment horizontal="left" vertical="center" shrinkToFit="1"/>
      <protection locked="0"/>
    </xf>
    <xf numFmtId="0" fontId="0" fillId="5" borderId="56" xfId="0" applyFill="1" applyBorder="1" applyAlignment="1" applyProtection="1">
      <alignment horizontal="left" vertical="center" shrinkToFit="1"/>
      <protection locked="0"/>
    </xf>
    <xf numFmtId="0" fontId="0" fillId="5" borderId="57" xfId="0" applyFill="1" applyBorder="1" applyAlignment="1" applyProtection="1">
      <alignment horizontal="left" vertical="center" shrinkToFit="1"/>
      <protection locked="0"/>
    </xf>
    <xf numFmtId="0" fontId="7"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5" fillId="0" borderId="46" xfId="0" applyFont="1" applyBorder="1" applyAlignment="1" applyProtection="1">
      <alignment horizontal="center" vertical="center"/>
      <protection hidden="1"/>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15" xfId="0" applyFont="1" applyBorder="1" applyAlignment="1" applyProtection="1">
      <alignment horizontal="left" vertical="center" wrapText="1"/>
      <protection hidden="1"/>
    </xf>
    <xf numFmtId="187" fontId="6" fillId="0" borderId="3" xfId="3" applyNumberFormat="1" applyFont="1" applyFill="1" applyBorder="1" applyAlignment="1" applyProtection="1">
      <alignment horizontal="center" vertical="center" wrapText="1" shrinkToFit="1"/>
      <protection hidden="1"/>
    </xf>
    <xf numFmtId="187" fontId="6" fillId="0" borderId="5" xfId="3" applyNumberFormat="1" applyFont="1" applyFill="1" applyBorder="1" applyAlignment="1" applyProtection="1">
      <alignment horizontal="center" vertical="center" shrinkToFit="1"/>
      <protection hidden="1"/>
    </xf>
    <xf numFmtId="0" fontId="20" fillId="3" borderId="3" xfId="3" applyFont="1" applyFill="1" applyBorder="1" applyAlignment="1" applyProtection="1">
      <alignment horizontal="center" vertical="center"/>
      <protection hidden="1"/>
    </xf>
    <xf numFmtId="0" fontId="20" fillId="3" borderId="10" xfId="3" applyFont="1" applyFill="1" applyBorder="1" applyAlignment="1" applyProtection="1">
      <alignment horizontal="center" vertical="center"/>
      <protection hidden="1"/>
    </xf>
    <xf numFmtId="0" fontId="20" fillId="3" borderId="5" xfId="3" applyFont="1" applyFill="1" applyBorder="1" applyAlignment="1" applyProtection="1">
      <alignment horizontal="center" vertical="center"/>
      <protection hidden="1"/>
    </xf>
    <xf numFmtId="181" fontId="11" fillId="4" borderId="2" xfId="4" applyNumberFormat="1" applyFont="1" applyFill="1" applyBorder="1" applyAlignment="1" applyProtection="1">
      <alignment horizontal="right" vertical="center" shrinkToFit="1"/>
      <protection locked="0"/>
    </xf>
    <xf numFmtId="181" fontId="11" fillId="4" borderId="35" xfId="4" applyNumberFormat="1" applyFont="1" applyFill="1" applyBorder="1" applyAlignment="1" applyProtection="1">
      <alignment horizontal="right" vertical="center" shrinkToFit="1"/>
      <protection locked="0"/>
    </xf>
    <xf numFmtId="181" fontId="11" fillId="4" borderId="15" xfId="4" applyNumberFormat="1" applyFont="1" applyFill="1" applyBorder="1" applyAlignment="1" applyProtection="1">
      <alignment horizontal="right" vertical="center" shrinkToFit="1"/>
      <protection locked="0"/>
    </xf>
    <xf numFmtId="180" fontId="11" fillId="3" borderId="18" xfId="3" applyNumberFormat="1" applyFont="1" applyFill="1" applyBorder="1" applyAlignment="1" applyProtection="1">
      <alignment horizontal="center" vertical="center" wrapText="1"/>
      <protection hidden="1"/>
    </xf>
    <xf numFmtId="180" fontId="11" fillId="3" borderId="33" xfId="3" applyNumberFormat="1" applyFont="1" applyFill="1" applyBorder="1" applyAlignment="1" applyProtection="1">
      <alignment horizontal="center" vertical="center" wrapText="1"/>
      <protection hidden="1"/>
    </xf>
    <xf numFmtId="187" fontId="6" fillId="0" borderId="1" xfId="3" applyNumberFormat="1" applyFont="1" applyBorder="1" applyAlignment="1" applyProtection="1">
      <alignment horizontal="center" vertical="center" wrapText="1" shrinkToFit="1"/>
      <protection hidden="1"/>
    </xf>
    <xf numFmtId="1" fontId="36" fillId="3" borderId="3" xfId="3" applyNumberFormat="1" applyFont="1" applyFill="1" applyBorder="1" applyAlignment="1" applyProtection="1">
      <alignment horizontal="center" vertical="center" shrinkToFit="1"/>
      <protection hidden="1"/>
    </xf>
    <xf numFmtId="1" fontId="36" fillId="3" borderId="10" xfId="3" applyNumberFormat="1" applyFont="1" applyFill="1" applyBorder="1" applyAlignment="1" applyProtection="1">
      <alignment horizontal="center" vertical="center" shrinkToFit="1"/>
      <protection hidden="1"/>
    </xf>
    <xf numFmtId="1" fontId="36" fillId="3" borderId="5" xfId="3" applyNumberFormat="1" applyFont="1" applyFill="1" applyBorder="1" applyAlignment="1" applyProtection="1">
      <alignment horizontal="center" vertical="center" shrinkToFit="1"/>
      <protection hidden="1"/>
    </xf>
    <xf numFmtId="190" fontId="11" fillId="3" borderId="6" xfId="3" applyNumberFormat="1" applyFont="1" applyFill="1" applyBorder="1" applyAlignment="1" applyProtection="1">
      <alignment horizontal="center" vertical="center" wrapText="1"/>
      <protection hidden="1"/>
    </xf>
    <xf numFmtId="190" fontId="11" fillId="3" borderId="33" xfId="3" applyNumberFormat="1" applyFont="1" applyFill="1" applyBorder="1" applyAlignment="1" applyProtection="1">
      <alignment horizontal="center" vertical="center" wrapText="1"/>
      <protection hidden="1"/>
    </xf>
    <xf numFmtId="189" fontId="11" fillId="3" borderId="7" xfId="4" applyNumberFormat="1" applyFont="1" applyFill="1" applyBorder="1" applyAlignment="1" applyProtection="1">
      <alignment horizontal="right" vertical="center" shrinkToFit="1"/>
      <protection hidden="1"/>
    </xf>
    <xf numFmtId="189" fontId="11" fillId="3" borderId="39" xfId="4" applyNumberFormat="1" applyFont="1" applyFill="1" applyBorder="1" applyAlignment="1" applyProtection="1">
      <alignment horizontal="right" vertical="center" shrinkToFit="1"/>
      <protection hidden="1"/>
    </xf>
    <xf numFmtId="181" fontId="11" fillId="3" borderId="7" xfId="4" applyNumberFormat="1" applyFont="1" applyFill="1" applyBorder="1" applyAlignment="1" applyProtection="1">
      <alignment horizontal="right" vertical="center" shrinkToFit="1"/>
      <protection hidden="1"/>
    </xf>
    <xf numFmtId="181" fontId="11" fillId="3" borderId="39" xfId="4" applyNumberFormat="1" applyFont="1" applyFill="1" applyBorder="1" applyAlignment="1" applyProtection="1">
      <alignment horizontal="right" vertical="center" shrinkToFit="1"/>
      <protection hidden="1"/>
    </xf>
    <xf numFmtId="180" fontId="11" fillId="3" borderId="6" xfId="3" applyNumberFormat="1" applyFont="1" applyFill="1" applyBorder="1" applyAlignment="1" applyProtection="1">
      <alignment horizontal="center" vertical="center" wrapText="1"/>
      <protection hidden="1"/>
    </xf>
    <xf numFmtId="0" fontId="11" fillId="2" borderId="22" xfId="3" applyFont="1" applyFill="1" applyBorder="1" applyAlignment="1" applyProtection="1">
      <alignment horizontal="center" vertical="center" shrinkToFit="1"/>
      <protection locked="0"/>
    </xf>
    <xf numFmtId="181" fontId="11" fillId="4" borderId="29" xfId="4" applyNumberFormat="1" applyFont="1" applyFill="1" applyBorder="1" applyAlignment="1" applyProtection="1">
      <alignment horizontal="right" vertical="center" shrinkToFit="1"/>
      <protection locked="0"/>
    </xf>
    <xf numFmtId="181" fontId="11" fillId="4" borderId="37" xfId="4" applyNumberFormat="1" applyFont="1" applyFill="1" applyBorder="1" applyAlignment="1" applyProtection="1">
      <alignment horizontal="right" vertical="center" shrinkToFit="1"/>
      <protection locked="0"/>
    </xf>
    <xf numFmtId="1" fontId="21" fillId="3" borderId="1" xfId="3" applyNumberFormat="1"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11" fillId="0" borderId="1" xfId="3" applyFont="1" applyBorder="1" applyAlignment="1" applyProtection="1">
      <alignment horizontal="left" vertical="center" indent="1"/>
      <protection hidden="1"/>
    </xf>
    <xf numFmtId="188" fontId="11" fillId="3" borderId="1" xfId="3" applyNumberFormat="1" applyFont="1" applyFill="1" applyBorder="1" applyAlignment="1" applyProtection="1">
      <alignment horizontal="center" vertical="center"/>
      <protection hidden="1"/>
    </xf>
    <xf numFmtId="0" fontId="11" fillId="0" borderId="1" xfId="3" applyFont="1" applyBorder="1" applyAlignment="1" applyProtection="1">
      <alignment horizontal="left" vertical="center" wrapText="1" indent="1"/>
      <protection hidden="1"/>
    </xf>
    <xf numFmtId="188" fontId="11" fillId="4" borderId="1" xfId="3"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wrapText="1"/>
      <protection hidden="1"/>
    </xf>
    <xf numFmtId="0" fontId="16" fillId="0" borderId="43" xfId="0" applyFont="1" applyBorder="1" applyAlignment="1" applyProtection="1">
      <alignment horizontal="center" vertical="center" wrapText="1"/>
      <protection hidden="1"/>
    </xf>
    <xf numFmtId="0" fontId="25" fillId="0" borderId="0" xfId="0" applyFont="1" applyBorder="1" applyAlignment="1" applyProtection="1">
      <alignment vertical="top" wrapText="1"/>
      <protection hidden="1"/>
    </xf>
    <xf numFmtId="0" fontId="18" fillId="0" borderId="0" xfId="0" applyFont="1" applyAlignment="1" applyProtection="1">
      <alignment horizontal="center" vertical="center" shrinkToFit="1"/>
      <protection hidden="1"/>
    </xf>
    <xf numFmtId="0" fontId="18" fillId="0" borderId="43" xfId="0" applyFont="1" applyBorder="1" applyAlignment="1" applyProtection="1">
      <alignment horizontal="center" vertical="center" shrinkToFit="1"/>
      <protection hidden="1"/>
    </xf>
    <xf numFmtId="0" fontId="11" fillId="3" borderId="1" xfId="3" applyFont="1" applyFill="1" applyBorder="1" applyAlignment="1" applyProtection="1">
      <alignment horizontal="center" vertical="center"/>
      <protection hidden="1"/>
    </xf>
    <xf numFmtId="0" fontId="11" fillId="2" borderId="1" xfId="3" applyFont="1" applyFill="1" applyBorder="1" applyAlignment="1" applyProtection="1">
      <alignment horizontal="center" vertical="center"/>
      <protection locked="0"/>
    </xf>
  </cellXfs>
  <cellStyles count="5">
    <cellStyle name="パーセント" xfId="2" builtinId="5"/>
    <cellStyle name="桁区切り" xfId="1" builtinId="6"/>
    <cellStyle name="桁区切り 2" xfId="4"/>
    <cellStyle name="標準" xfId="0" builtinId="0"/>
    <cellStyle name="標準 2" xfId="3"/>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color rgb="FFFF0000"/>
      </font>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color rgb="FFFF0000"/>
      </font>
      <fill>
        <patternFill>
          <bgColor rgb="FFCCECFF"/>
        </patternFill>
      </fill>
    </dxf>
    <dxf>
      <font>
        <b val="0"/>
        <i val="0"/>
        <color rgb="FFFF0000"/>
      </font>
      <fill>
        <patternFill>
          <bgColor rgb="FFFFFF00"/>
        </patternFill>
      </fill>
    </dxf>
    <dxf>
      <font>
        <color rgb="FFFF0000"/>
      </font>
      <fill>
        <patternFill>
          <bgColor rgb="FFFFFF00"/>
        </patternFill>
      </fill>
    </dxf>
    <dxf>
      <font>
        <color rgb="FFFF0000"/>
      </font>
    </dxf>
    <dxf>
      <font>
        <color rgb="FFFF0000"/>
      </font>
    </dxf>
    <dxf>
      <font>
        <color rgb="FFFF0000"/>
      </font>
      <fill>
        <patternFill>
          <bgColor rgb="FFFFFF00"/>
        </patternFill>
      </fill>
    </dxf>
  </dxfs>
  <tableStyles count="0" defaultTableStyle="TableStyleMedium2" defaultPivotStyle="PivotStyleLight16"/>
  <colors>
    <mruColors>
      <color rgb="FF66FF33"/>
      <color rgb="FFCCECFF"/>
      <color rgb="FFFFFF99"/>
      <color rgb="FFCCFF99"/>
      <color rgb="FFCCFFCC"/>
      <color rgb="FFE2EFDA"/>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11906</xdr:colOff>
      <xdr:row>39</xdr:row>
      <xdr:rowOff>35718</xdr:rowOff>
    </xdr:from>
    <xdr:to>
      <xdr:col>25</xdr:col>
      <xdr:colOff>273843</xdr:colOff>
      <xdr:row>41</xdr:row>
      <xdr:rowOff>214312</xdr:rowOff>
    </xdr:to>
    <xdr:sp macro="" textlink="">
      <xdr:nvSpPr>
        <xdr:cNvPr id="2" name="右中かっこ 1"/>
        <xdr:cNvSpPr/>
      </xdr:nvSpPr>
      <xdr:spPr>
        <a:xfrm>
          <a:off x="19609594" y="10453687"/>
          <a:ext cx="261937" cy="702469"/>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D76"/>
  <sheetViews>
    <sheetView topLeftCell="K1" zoomScale="90" zoomScaleNormal="90" workbookViewId="0">
      <selection activeCell="N9" sqref="N9"/>
    </sheetView>
  </sheetViews>
  <sheetFormatPr defaultColWidth="8.796875" defaultRowHeight="18.75" x14ac:dyDescent="0.45"/>
  <cols>
    <col min="1" max="1" width="8.796875" style="5"/>
    <col min="2" max="2" width="22.19921875" style="5" customWidth="1"/>
    <col min="3" max="3" width="10.296875" style="5" customWidth="1"/>
    <col min="4" max="4" width="8.59765625" style="5" bestFit="1" customWidth="1"/>
    <col min="5" max="5" width="10.5" style="8" bestFit="1" customWidth="1"/>
    <col min="6" max="6" width="11.3984375" style="5" bestFit="1" customWidth="1"/>
    <col min="7" max="7" width="7" style="5" customWidth="1"/>
    <col min="8" max="9" width="5.296875" style="5" customWidth="1"/>
    <col min="10" max="10" width="7.8984375" style="5" customWidth="1"/>
    <col min="11" max="11" width="9.3984375" style="5" bestFit="1" customWidth="1"/>
    <col min="12" max="13" width="8.796875" style="5"/>
    <col min="14" max="14" width="13.8984375" style="5" customWidth="1"/>
    <col min="15" max="15" width="11.8984375" style="5" customWidth="1"/>
    <col min="16" max="16" width="19.09765625" style="5" customWidth="1"/>
    <col min="17" max="17" width="8.796875" style="5"/>
    <col min="18" max="19" width="19.3984375" style="5" customWidth="1"/>
    <col min="20" max="20" width="14.296875" style="5" customWidth="1"/>
    <col min="21" max="21" width="23" style="5" customWidth="1"/>
    <col min="22" max="22" width="11.19921875" style="5" customWidth="1"/>
    <col min="23" max="23" width="8.796875" style="5"/>
    <col min="24" max="24" width="13.796875" style="5" customWidth="1"/>
    <col min="25" max="25" width="15.19921875" style="5" customWidth="1"/>
    <col min="26" max="26" width="16.8984375" style="5" customWidth="1"/>
    <col min="27" max="27" width="12.19921875" style="5" customWidth="1"/>
    <col min="28" max="28" width="12.296875" style="5" customWidth="1"/>
    <col min="29" max="16384" width="8.796875" style="5"/>
  </cols>
  <sheetData>
    <row r="1" spans="2:29" ht="19.5" thickBot="1" x14ac:dyDescent="0.5">
      <c r="J1" s="225" t="s">
        <v>175</v>
      </c>
      <c r="K1" s="225"/>
    </row>
    <row r="2" spans="2:29" x14ac:dyDescent="0.45">
      <c r="B2" s="5" t="s">
        <v>93</v>
      </c>
      <c r="C2" s="5" t="s">
        <v>92</v>
      </c>
      <c r="I2" s="92" t="s">
        <v>480</v>
      </c>
      <c r="J2" s="18" t="s">
        <v>20</v>
      </c>
      <c r="K2" s="17" t="s">
        <v>19</v>
      </c>
      <c r="N2" s="5" t="s">
        <v>91</v>
      </c>
      <c r="Y2" s="126" t="s">
        <v>285</v>
      </c>
      <c r="Z2" s="5" t="s">
        <v>292</v>
      </c>
    </row>
    <row r="3" spans="2:29" x14ac:dyDescent="0.45">
      <c r="B3" s="5" t="s">
        <v>90</v>
      </c>
      <c r="C3" s="6">
        <v>9.76</v>
      </c>
      <c r="D3" s="5" t="s">
        <v>89</v>
      </c>
      <c r="E3" s="5">
        <v>0.48899999999999999</v>
      </c>
      <c r="F3" s="5" t="s">
        <v>88</v>
      </c>
      <c r="I3" s="92" t="s">
        <v>482</v>
      </c>
      <c r="J3" s="19" t="str">
        <f>IF(ISERROR('4.エネルギー使用量'!$O$24/1000*$C$3*$C$7),"",ROUND('4.エネルギー使用量'!$O$24/1000*$C$3*$C$7,2))</f>
        <v/>
      </c>
      <c r="K3" s="13" t="str">
        <f>IF(ISERROR('4.エネルギー使用量'!$O$24/1000*$C$3*$E$3),"",ROUND('4.エネルギー使用量'!$O$24/1000*$C$3*$E$3,2))</f>
        <v/>
      </c>
      <c r="N3" s="5" t="s">
        <v>87</v>
      </c>
      <c r="O3" s="5" t="s">
        <v>191</v>
      </c>
      <c r="P3" s="5" t="s">
        <v>281</v>
      </c>
      <c r="R3" s="5" t="s">
        <v>115</v>
      </c>
      <c r="S3" s="5" t="s">
        <v>115</v>
      </c>
      <c r="T3" s="5" t="s">
        <v>116</v>
      </c>
      <c r="U3" s="3" t="s">
        <v>115</v>
      </c>
      <c r="V3" s="3" t="s">
        <v>231</v>
      </c>
      <c r="X3" s="5" t="s">
        <v>117</v>
      </c>
      <c r="Y3" s="126" t="s">
        <v>118</v>
      </c>
      <c r="Z3" s="5" t="s">
        <v>118</v>
      </c>
      <c r="AA3" s="5" t="s">
        <v>87</v>
      </c>
      <c r="AB3" s="5" t="s">
        <v>247</v>
      </c>
      <c r="AC3" s="5" t="s">
        <v>262</v>
      </c>
    </row>
    <row r="4" spans="2:29" ht="23.25" thickBot="1" x14ac:dyDescent="0.5">
      <c r="B4" s="5" t="s">
        <v>86</v>
      </c>
      <c r="C4" s="6">
        <v>1.36</v>
      </c>
      <c r="D4" s="5" t="s">
        <v>85</v>
      </c>
      <c r="E4" s="5">
        <v>0.06</v>
      </c>
      <c r="F4" s="5" t="s">
        <v>84</v>
      </c>
      <c r="N4" s="5" t="s">
        <v>82</v>
      </c>
      <c r="O4" s="5" t="s">
        <v>189</v>
      </c>
      <c r="P4" s="5" t="s">
        <v>81</v>
      </c>
      <c r="R4" s="5" t="s">
        <v>210</v>
      </c>
      <c r="S4" s="5" t="s">
        <v>210</v>
      </c>
      <c r="T4" s="5" t="s">
        <v>94</v>
      </c>
      <c r="U4" s="3" t="s">
        <v>14</v>
      </c>
      <c r="V4" s="5" t="s">
        <v>265</v>
      </c>
      <c r="X4" s="5" t="s">
        <v>177</v>
      </c>
      <c r="Y4" s="126" t="s">
        <v>101</v>
      </c>
      <c r="Z4" s="5" t="s">
        <v>101</v>
      </c>
      <c r="AA4" s="5" t="s">
        <v>100</v>
      </c>
      <c r="AB4" s="5" t="s">
        <v>248</v>
      </c>
      <c r="AC4" s="111">
        <v>0.9</v>
      </c>
    </row>
    <row r="5" spans="2:29" ht="22.5" x14ac:dyDescent="0.45">
      <c r="B5" s="20" t="s">
        <v>83</v>
      </c>
      <c r="C5" s="6">
        <v>1.02</v>
      </c>
      <c r="D5" s="5" t="s">
        <v>79</v>
      </c>
      <c r="E5" s="5">
        <v>0.06</v>
      </c>
      <c r="F5" s="5" t="s">
        <v>78</v>
      </c>
      <c r="I5" s="92" t="s">
        <v>481</v>
      </c>
      <c r="J5" s="18" t="s">
        <v>20</v>
      </c>
      <c r="K5" s="17" t="s">
        <v>19</v>
      </c>
      <c r="N5" s="5" t="s">
        <v>77</v>
      </c>
      <c r="O5" s="5" t="s">
        <v>190</v>
      </c>
      <c r="P5" s="5" t="s">
        <v>76</v>
      </c>
      <c r="R5" s="5" t="s">
        <v>6</v>
      </c>
      <c r="S5" s="5" t="s">
        <v>6</v>
      </c>
      <c r="T5" s="5" t="s">
        <v>95</v>
      </c>
      <c r="U5" s="3" t="s">
        <v>15</v>
      </c>
      <c r="V5" s="5" t="s">
        <v>266</v>
      </c>
      <c r="X5" s="5" t="s">
        <v>185</v>
      </c>
      <c r="Y5" s="126" t="s">
        <v>112</v>
      </c>
      <c r="Z5" s="5" t="s">
        <v>112</v>
      </c>
      <c r="AA5" s="5" t="s">
        <v>82</v>
      </c>
      <c r="AB5" s="5" t="s">
        <v>249</v>
      </c>
      <c r="AC5" s="111">
        <v>2.6</v>
      </c>
    </row>
    <row r="6" spans="2:29" ht="22.5" x14ac:dyDescent="0.45">
      <c r="B6" s="20" t="s">
        <v>80</v>
      </c>
      <c r="C6" s="6">
        <v>1.36</v>
      </c>
      <c r="D6" s="5" t="s">
        <v>79</v>
      </c>
      <c r="E6" s="5">
        <v>0.06</v>
      </c>
      <c r="F6" s="5" t="s">
        <v>78</v>
      </c>
      <c r="I6" s="92" t="s">
        <v>486</v>
      </c>
      <c r="J6" s="14" t="str">
        <f>IF(ISERROR('4.エネルギー使用量'!$O$36/1000*$C$10*$C$7*$C$15),"",ROUND('4.エネルギー使用量'!$O$36/1000*$C$10*$C$7*$C$15,2))</f>
        <v/>
      </c>
      <c r="K6" s="13" t="str">
        <f>IF(ISERROR('4.エネルギー使用量'!$O$36/1000*$C$10*$E$10*$E$7),"",ROUND('4.エネルギー使用量'!$O$36/1000*$C$10*$E$10*$E$7,2))</f>
        <v/>
      </c>
      <c r="L6" s="5" t="s">
        <v>487</v>
      </c>
      <c r="N6" s="5" t="s">
        <v>43</v>
      </c>
      <c r="O6" s="211" t="s">
        <v>474</v>
      </c>
      <c r="P6" s="5" t="s">
        <v>136</v>
      </c>
      <c r="R6" s="5" t="s">
        <v>211</v>
      </c>
      <c r="S6" s="5" t="s">
        <v>212</v>
      </c>
      <c r="T6" s="5" t="s">
        <v>96</v>
      </c>
      <c r="U6" s="3" t="s">
        <v>17</v>
      </c>
      <c r="V6" s="5" t="s">
        <v>267</v>
      </c>
      <c r="X6" s="5" t="s">
        <v>105</v>
      </c>
      <c r="Y6" s="126" t="s">
        <v>111</v>
      </c>
      <c r="Z6" s="5" t="s">
        <v>111</v>
      </c>
      <c r="AA6" s="5" t="s">
        <v>77</v>
      </c>
      <c r="AB6" s="5" t="s">
        <v>250</v>
      </c>
      <c r="AC6" s="111">
        <v>1.5</v>
      </c>
    </row>
    <row r="7" spans="2:29" ht="22.5" x14ac:dyDescent="0.45">
      <c r="B7" s="5" t="s">
        <v>75</v>
      </c>
      <c r="C7" s="8">
        <v>2.58E-2</v>
      </c>
      <c r="D7" s="5" t="s">
        <v>74</v>
      </c>
      <c r="E7" s="5">
        <f>44/12</f>
        <v>3.6666666666666665</v>
      </c>
      <c r="F7" s="5" t="s">
        <v>73</v>
      </c>
      <c r="I7" s="92" t="s">
        <v>484</v>
      </c>
      <c r="J7" s="14" t="str">
        <f>IF(ISERROR('4.エネルギー使用量'!$O$36/$G$11*$C$11*$C$7),"",ROUND('4.エネルギー使用量'!$O$36/$G$11*$C$11*$C$7,2))</f>
        <v/>
      </c>
      <c r="K7" s="13" t="str">
        <f>IF(ISERROR('4.エネルギー使用量'!$O$36/$G$11*$C$11*$E$11*$E$7),"",ROUND('4.エネルギー使用量'!$O$36/$G$11*$C$11*$E$11*$E$7,2))</f>
        <v/>
      </c>
      <c r="L7" s="65" t="str">
        <f>IF(ISERROR('4.エネルギー使用量'!$O$36/1000*$C$11*$C$7),"",'4.エネルギー使用量'!$O$36/1000*$C$11*$C$7)</f>
        <v/>
      </c>
      <c r="M7" s="5" t="s">
        <v>277</v>
      </c>
      <c r="N7" s="5" t="s">
        <v>72</v>
      </c>
      <c r="O7" s="5" t="s">
        <v>191</v>
      </c>
      <c r="P7" s="5" t="s">
        <v>71</v>
      </c>
      <c r="R7" s="5" t="s">
        <v>212</v>
      </c>
      <c r="S7" s="5" t="s">
        <v>213</v>
      </c>
      <c r="T7" s="3" t="s">
        <v>97</v>
      </c>
      <c r="Y7" s="126" t="s">
        <v>110</v>
      </c>
      <c r="Z7" s="5" t="s">
        <v>110</v>
      </c>
      <c r="AA7" s="5" t="s">
        <v>43</v>
      </c>
      <c r="AB7" s="5" t="s">
        <v>251</v>
      </c>
      <c r="AC7" s="111">
        <v>1</v>
      </c>
    </row>
    <row r="8" spans="2:29" ht="22.5" x14ac:dyDescent="0.45">
      <c r="I8" s="92" t="s">
        <v>485</v>
      </c>
      <c r="J8" s="14" t="str">
        <f>IF(ISERROR('4.エネルギー使用量'!$O$36*$C$28*$C$12*$C$7),"",ROUND('4.エネルギー使用量'!$O$36*$C$28*$C$12*$C$7,2))</f>
        <v/>
      </c>
      <c r="K8" s="13" t="str">
        <f>IF(ISERROR('4.エネルギー使用量'!$O$36*$C$28*$C$12*$E$12*$E$7),"",ROUND('4.エネルギー使用量'!$O$36*$C$28*$C$12*$E$12*$E$7,2))</f>
        <v/>
      </c>
      <c r="N8" s="5" t="s">
        <v>44</v>
      </c>
      <c r="O8" s="5" t="s">
        <v>475</v>
      </c>
      <c r="P8" s="5" t="s">
        <v>69</v>
      </c>
      <c r="R8" s="5" t="s">
        <v>213</v>
      </c>
      <c r="S8" s="5" t="s">
        <v>11</v>
      </c>
      <c r="Y8" s="126" t="s">
        <v>109</v>
      </c>
      <c r="Z8" s="5" t="s">
        <v>286</v>
      </c>
      <c r="AA8" s="5" t="s">
        <v>72</v>
      </c>
      <c r="AB8" s="5" t="s">
        <v>11</v>
      </c>
      <c r="AC8" s="111">
        <v>1.2</v>
      </c>
    </row>
    <row r="9" spans="2:29" x14ac:dyDescent="0.45">
      <c r="C9" s="5" t="s">
        <v>70</v>
      </c>
      <c r="I9" s="92" t="s">
        <v>488</v>
      </c>
      <c r="J9" s="14" t="str">
        <f>IF(ISERROR('4.エネルギー使用量'!$O$36/1000*$C$13*$C$7),"",ROUND('4.エネルギー使用量'!$O$36/1000*$C$13*$C$7,2))</f>
        <v/>
      </c>
      <c r="K9" s="13" t="str">
        <f>IF(ISERROR('4.エネルギー使用量'!$O$36/1000*$C$12*$E$12*$E$7),"",ROUND('4.エネルギー使用量'!$O$36/1000*$C$12*$E$12*$E$7,2))</f>
        <v/>
      </c>
      <c r="O9" s="212" t="s">
        <v>483</v>
      </c>
      <c r="P9" s="5" t="s">
        <v>67</v>
      </c>
      <c r="R9" s="5" t="s">
        <v>11</v>
      </c>
      <c r="Y9" s="126" t="s">
        <v>108</v>
      </c>
      <c r="Z9" s="5" t="s">
        <v>289</v>
      </c>
      <c r="AA9" s="5" t="s">
        <v>44</v>
      </c>
    </row>
    <row r="10" spans="2:29" ht="19.5" thickBot="1" x14ac:dyDescent="0.5">
      <c r="B10" s="5" t="s">
        <v>68</v>
      </c>
      <c r="C10" s="12">
        <v>45</v>
      </c>
      <c r="D10" s="5" t="s">
        <v>59</v>
      </c>
      <c r="E10" s="8">
        <v>1.3599999999999999E-2</v>
      </c>
      <c r="F10" s="5" t="s">
        <v>56</v>
      </c>
      <c r="I10" s="92" t="s">
        <v>489</v>
      </c>
      <c r="J10" s="11" t="str">
        <f>IF(ISERROR('4.エネルギー使用量'!$O$36/1000*$C$14*$C$7),"",ROUND('4.エネルギー使用量'!$O$36/1000*$C$14*$C$7,2))</f>
        <v/>
      </c>
      <c r="K10" s="10" t="str">
        <f>IF(ISERROR('4.エネルギー使用量'!$O$36/1000*$C$14*$E$14*$E$7),"",ROUND('4.エネルギー使用量'!$O$36/1000*$C$14*$E$14*$E$7,2))</f>
        <v/>
      </c>
      <c r="O10" s="5" t="s">
        <v>191</v>
      </c>
      <c r="P10" s="5" t="s">
        <v>64</v>
      </c>
      <c r="Y10" s="126" t="s">
        <v>107</v>
      </c>
      <c r="Z10" s="5" t="s">
        <v>108</v>
      </c>
    </row>
    <row r="11" spans="2:29" x14ac:dyDescent="0.45">
      <c r="B11" s="5" t="s">
        <v>66</v>
      </c>
      <c r="C11" s="12">
        <v>50.8</v>
      </c>
      <c r="D11" s="5" t="s">
        <v>62</v>
      </c>
      <c r="E11" s="8">
        <v>1.61E-2</v>
      </c>
      <c r="F11" s="5" t="s">
        <v>56</v>
      </c>
      <c r="G11" s="7">
        <v>482</v>
      </c>
      <c r="H11" s="5" t="s">
        <v>65</v>
      </c>
      <c r="O11" s="5" t="s">
        <v>475</v>
      </c>
      <c r="Y11" s="126" t="s">
        <v>106</v>
      </c>
      <c r="Z11" s="5" t="s">
        <v>107</v>
      </c>
    </row>
    <row r="12" spans="2:29" x14ac:dyDescent="0.45">
      <c r="B12" s="5" t="s">
        <v>63</v>
      </c>
      <c r="C12" s="12">
        <v>54.6</v>
      </c>
      <c r="D12" s="5" t="s">
        <v>62</v>
      </c>
      <c r="E12" s="8">
        <v>1.35E-2</v>
      </c>
      <c r="F12" s="5" t="s">
        <v>56</v>
      </c>
      <c r="G12" s="5">
        <f>1000/G11</f>
        <v>2.0746887966804981</v>
      </c>
      <c r="O12" s="5" t="s">
        <v>494</v>
      </c>
      <c r="Z12" s="5" t="s">
        <v>287</v>
      </c>
    </row>
    <row r="13" spans="2:29" ht="19.5" x14ac:dyDescent="0.45">
      <c r="B13" s="5" t="s">
        <v>61</v>
      </c>
      <c r="C13" s="12">
        <v>44.9</v>
      </c>
      <c r="D13" s="5" t="s">
        <v>59</v>
      </c>
      <c r="E13" s="8">
        <v>1.4200000000000001E-2</v>
      </c>
      <c r="F13" s="5" t="s">
        <v>56</v>
      </c>
      <c r="G13" s="47" t="s">
        <v>183</v>
      </c>
      <c r="N13" s="3" t="s">
        <v>114</v>
      </c>
      <c r="O13" s="3"/>
      <c r="P13" s="3"/>
      <c r="Z13" s="5" t="s">
        <v>288</v>
      </c>
    </row>
    <row r="14" spans="2:29" ht="19.5" x14ac:dyDescent="0.45">
      <c r="B14" s="5" t="s">
        <v>60</v>
      </c>
      <c r="C14" s="12">
        <v>43.5</v>
      </c>
      <c r="D14" s="5" t="s">
        <v>59</v>
      </c>
      <c r="E14" s="8">
        <v>1.3899999999999999E-2</v>
      </c>
      <c r="F14" s="5" t="s">
        <v>56</v>
      </c>
      <c r="G14" s="47" t="s">
        <v>184</v>
      </c>
      <c r="N14" s="127" t="s">
        <v>113</v>
      </c>
      <c r="O14" s="127"/>
      <c r="P14" s="127"/>
      <c r="Z14" s="5" t="s">
        <v>106</v>
      </c>
    </row>
    <row r="15" spans="2:29" ht="20.25" thickBot="1" x14ac:dyDescent="0.5">
      <c r="B15" s="5" t="s">
        <v>269</v>
      </c>
      <c r="C15" s="5">
        <v>0.9666547347078589</v>
      </c>
      <c r="J15" s="6"/>
      <c r="K15" s="6"/>
      <c r="N15" s="57"/>
      <c r="O15" s="57" t="s">
        <v>104</v>
      </c>
      <c r="P15" s="57" t="s">
        <v>103</v>
      </c>
      <c r="Q15" s="3"/>
      <c r="R15" s="53" t="s">
        <v>186</v>
      </c>
      <c r="U15" s="46"/>
    </row>
    <row r="16" spans="2:29" ht="19.5" x14ac:dyDescent="0.45">
      <c r="I16" s="92" t="s">
        <v>490</v>
      </c>
      <c r="J16" s="16" t="s">
        <v>20</v>
      </c>
      <c r="K16" s="15" t="s">
        <v>19</v>
      </c>
      <c r="N16" s="57" t="s">
        <v>101</v>
      </c>
      <c r="O16" s="57">
        <v>800</v>
      </c>
      <c r="P16" s="57">
        <v>400</v>
      </c>
      <c r="Q16" s="3"/>
      <c r="U16" s="46"/>
    </row>
    <row r="17" spans="2:30" ht="19.5" x14ac:dyDescent="0.45">
      <c r="B17" s="5" t="s">
        <v>58</v>
      </c>
      <c r="C17" s="12">
        <v>38.200000000000003</v>
      </c>
      <c r="D17" s="5" t="s">
        <v>57</v>
      </c>
      <c r="E17" s="8">
        <v>1.8700000000000001E-2</v>
      </c>
      <c r="F17" s="5" t="s">
        <v>56</v>
      </c>
      <c r="I17" s="92" t="s">
        <v>200</v>
      </c>
      <c r="J17" s="19" t="str">
        <f>IF(ISERROR('4.エネルギー使用量'!$O$47/1000*$C$4*$C$7),"",ROUND('4.エネルギー使用量'!$O$47/1000*$C$4*$C$7,2))</f>
        <v/>
      </c>
      <c r="K17" s="13" t="str">
        <f>IF(ISERROR('4.エネルギー使用量'!$O$47/1000*$C$4*$E$4),"",ROUND('4.エネルギー使用量'!$O$47/1000*$C$4*$E$4,2))</f>
        <v/>
      </c>
      <c r="L17" s="92"/>
      <c r="N17" s="57" t="s">
        <v>112</v>
      </c>
      <c r="O17" s="57">
        <v>900</v>
      </c>
      <c r="P17" s="57">
        <v>400</v>
      </c>
      <c r="Q17" s="3"/>
      <c r="R17" s="53" t="s">
        <v>142</v>
      </c>
      <c r="S17" s="46"/>
      <c r="T17" s="46" t="s">
        <v>143</v>
      </c>
      <c r="U17" s="46"/>
    </row>
    <row r="18" spans="2:30" ht="19.5" x14ac:dyDescent="0.45">
      <c r="B18" s="5" t="s">
        <v>55</v>
      </c>
      <c r="C18" s="12">
        <v>36.700000000000003</v>
      </c>
      <c r="D18" s="5" t="s">
        <v>51</v>
      </c>
      <c r="E18" s="8">
        <v>1.8499999999999999E-2</v>
      </c>
      <c r="F18" s="5" t="s">
        <v>50</v>
      </c>
      <c r="I18" s="92" t="s">
        <v>201</v>
      </c>
      <c r="J18" s="19" t="str">
        <f>IF(ISERROR('4.エネルギー使用量'!$O$47/1000*$C$5*$C$7),"",ROUND('4.エネルギー使用量'!$O$47/1000*$C$5*$C$7,2))</f>
        <v/>
      </c>
      <c r="K18" s="13" t="str">
        <f>IF(ISERROR('4.エネルギー使用量'!$O$47/1000*$C$5*$E$5),"",ROUND('4.エネルギー使用量'!$O$47/1000*$C$5*$E$5,2))</f>
        <v/>
      </c>
      <c r="N18" s="57" t="s">
        <v>111</v>
      </c>
      <c r="O18" s="57">
        <v>1000</v>
      </c>
      <c r="P18" s="57">
        <v>500</v>
      </c>
      <c r="Q18" s="3"/>
      <c r="R18" s="53" t="s">
        <v>145</v>
      </c>
      <c r="S18" s="46"/>
      <c r="T18" s="46" t="s">
        <v>146</v>
      </c>
      <c r="U18" s="46"/>
    </row>
    <row r="19" spans="2:30" ht="19.5" x14ac:dyDescent="0.45">
      <c r="B19" s="5" t="s">
        <v>54</v>
      </c>
      <c r="C19" s="12">
        <v>37.700000000000003</v>
      </c>
      <c r="D19" s="5" t="s">
        <v>51</v>
      </c>
      <c r="E19" s="8">
        <v>1.8700000000000001E-2</v>
      </c>
      <c r="F19" s="5" t="s">
        <v>50</v>
      </c>
      <c r="I19" s="92" t="s">
        <v>202</v>
      </c>
      <c r="J19" s="19" t="str">
        <f>IF(ISERROR('4.エネルギー使用量'!$O$47/1000*$C$6*$C$7),"",ROUND('4.エネルギー使用量'!$O$47/1000*$C$6*$C$7,2))</f>
        <v/>
      </c>
      <c r="K19" s="13" t="str">
        <f>IF(ISERROR('4.エネルギー使用量'!$O$47/1000*$C$6*$E$6),"",'4.エネルギー使用量'!$O$47/1000*$C$6*$E$6)</f>
        <v/>
      </c>
      <c r="N19" s="57" t="s">
        <v>110</v>
      </c>
      <c r="O19" s="57">
        <v>1000</v>
      </c>
      <c r="P19" s="57">
        <v>1200</v>
      </c>
      <c r="Q19" s="3"/>
      <c r="R19" s="53" t="s">
        <v>148</v>
      </c>
      <c r="S19" s="46"/>
      <c r="T19" s="46"/>
      <c r="U19" s="46"/>
    </row>
    <row r="20" spans="2:30" ht="19.5" x14ac:dyDescent="0.45">
      <c r="B20" s="5" t="s">
        <v>53</v>
      </c>
      <c r="C20" s="12">
        <v>39.1</v>
      </c>
      <c r="D20" s="5" t="s">
        <v>51</v>
      </c>
      <c r="E20" s="8">
        <v>1.89E-2</v>
      </c>
      <c r="F20" s="5" t="s">
        <v>50</v>
      </c>
      <c r="I20" s="92" t="s">
        <v>196</v>
      </c>
      <c r="J20" s="14" t="str">
        <f>IF(ISERROR('4.エネルギー使用量'!$O$47/1000*$C$18*$C$7),"",ROUND('4.エネルギー使用量'!$O$47/1000*$C$18*$C$7,2))</f>
        <v/>
      </c>
      <c r="K20" s="13" t="str">
        <f>IF(ISERROR('4.エネルギー使用量'!$O$47/1000*$C$18*$E$18*$E$7),"",ROUND('4.エネルギー使用量'!$O$47/1000*$C$18*$E$18*$E$7,2))</f>
        <v/>
      </c>
      <c r="N20" s="57" t="s">
        <v>286</v>
      </c>
      <c r="O20" s="57">
        <v>400</v>
      </c>
      <c r="P20" s="57">
        <v>500</v>
      </c>
      <c r="Q20" s="3"/>
      <c r="R20" s="53" t="s">
        <v>149</v>
      </c>
      <c r="S20" s="46"/>
      <c r="T20" s="46"/>
      <c r="U20" s="46"/>
    </row>
    <row r="21" spans="2:30" ht="19.5" x14ac:dyDescent="0.45">
      <c r="B21" s="5" t="s">
        <v>52</v>
      </c>
      <c r="C21" s="12">
        <v>41.9</v>
      </c>
      <c r="D21" s="5" t="s">
        <v>51</v>
      </c>
      <c r="E21" s="8">
        <v>1.95E-2</v>
      </c>
      <c r="F21" s="5" t="s">
        <v>50</v>
      </c>
      <c r="I21" s="92" t="s">
        <v>197</v>
      </c>
      <c r="J21" s="14" t="str">
        <f>IF(ISERROR('4.エネルギー使用量'!$O$47/1000*$C$19*$C$7),"",ROUND('4.エネルギー使用量'!$O$47/1000*$C$19*$C$7,2))</f>
        <v/>
      </c>
      <c r="K21" s="13" t="str">
        <f>IF(ISERROR('4.エネルギー使用量'!$O$47/1000*$C$19*$E$19*$E$7),"",ROUND('4.エネルギー使用量'!$O$47/1000*$C$19*$E$19*$E$7,2))</f>
        <v/>
      </c>
      <c r="N21" s="57" t="s">
        <v>289</v>
      </c>
      <c r="O21" s="57">
        <v>400</v>
      </c>
      <c r="P21" s="57">
        <v>500</v>
      </c>
      <c r="Q21" s="3"/>
      <c r="R21" s="53" t="s">
        <v>151</v>
      </c>
      <c r="S21" s="46"/>
      <c r="T21" s="46"/>
      <c r="U21" s="46"/>
    </row>
    <row r="22" spans="2:30" ht="19.5" x14ac:dyDescent="0.45">
      <c r="I22" s="92" t="s">
        <v>198</v>
      </c>
      <c r="J22" s="14" t="str">
        <f>IF(ISERROR('4.エネルギー使用量'!$O$47/1000*$C$20*$C$7),"",ROUND('4.エネルギー使用量'!$O$47/1000*$C$20*$C$7,2))</f>
        <v/>
      </c>
      <c r="K22" s="13" t="str">
        <f>IF(ISERROR('4.エネルギー使用量'!$O$47/1000*$C$20*$E$20*$E$7),"",ROUND('4.エネルギー使用量'!$O$47/1000*$C$20*$E$20*$E$7,2))</f>
        <v/>
      </c>
      <c r="N22" s="57" t="s">
        <v>108</v>
      </c>
      <c r="O22" s="57">
        <v>1000</v>
      </c>
      <c r="P22" s="57">
        <v>900</v>
      </c>
      <c r="Q22" s="3"/>
      <c r="R22" s="53" t="s">
        <v>152</v>
      </c>
      <c r="S22" s="46"/>
      <c r="T22" s="46"/>
      <c r="U22" s="46"/>
    </row>
    <row r="23" spans="2:30" ht="20.25" thickBot="1" x14ac:dyDescent="0.5">
      <c r="B23" s="5" t="s">
        <v>49</v>
      </c>
      <c r="C23" s="5" t="s">
        <v>48</v>
      </c>
      <c r="I23" s="92" t="s">
        <v>199</v>
      </c>
      <c r="J23" s="11" t="str">
        <f>IF(ISERROR('4.エネルギー使用量'!$O$47/1000*$C$21*$C$7),"",ROUND('4.エネルギー使用量'!$O$47/1000*$C$21*$C$7,2))</f>
        <v/>
      </c>
      <c r="K23" s="10" t="str">
        <f>IF(ISERROR('4.エネルギー使用量'!$O$47/1000*$C$21*$E$21*$E$7),"",ROUND('4.エネルギー使用量'!$O$47/1000*$C$21*$E$21*$E$7,2))</f>
        <v/>
      </c>
      <c r="N23" s="57" t="s">
        <v>107</v>
      </c>
      <c r="O23" s="57">
        <v>1000</v>
      </c>
      <c r="P23" s="57">
        <v>500</v>
      </c>
      <c r="Q23" s="3"/>
      <c r="R23" s="53" t="s">
        <v>153</v>
      </c>
      <c r="S23" s="46"/>
      <c r="T23" s="46"/>
      <c r="U23" s="46" t="s">
        <v>227</v>
      </c>
    </row>
    <row r="24" spans="2:30" ht="20.25" thickBot="1" x14ac:dyDescent="0.5">
      <c r="B24" s="5" t="s">
        <v>47</v>
      </c>
      <c r="C24" s="9">
        <f>1/502</f>
        <v>1.9920318725099601E-3</v>
      </c>
      <c r="D24" s="5" t="s">
        <v>41</v>
      </c>
      <c r="N24" s="57" t="s">
        <v>293</v>
      </c>
      <c r="O24" s="57">
        <v>800</v>
      </c>
      <c r="P24" s="57">
        <v>400</v>
      </c>
      <c r="Q24" s="3"/>
      <c r="R24" s="53" t="s">
        <v>141</v>
      </c>
      <c r="S24" s="46"/>
      <c r="T24" s="46"/>
    </row>
    <row r="25" spans="2:30" x14ac:dyDescent="0.45">
      <c r="B25" s="5" t="s">
        <v>46</v>
      </c>
      <c r="C25" s="9">
        <f>1/355</f>
        <v>2.8169014084507044E-3</v>
      </c>
      <c r="D25" s="5" t="s">
        <v>41</v>
      </c>
      <c r="I25" s="92" t="s">
        <v>491</v>
      </c>
      <c r="J25" s="16" t="s">
        <v>20</v>
      </c>
      <c r="K25" s="15" t="s">
        <v>19</v>
      </c>
      <c r="N25" s="57" t="s">
        <v>288</v>
      </c>
      <c r="O25" s="57">
        <v>800</v>
      </c>
      <c r="P25" s="57">
        <v>400</v>
      </c>
      <c r="Q25" s="3"/>
      <c r="R25" s="3"/>
    </row>
    <row r="26" spans="2:30" x14ac:dyDescent="0.45">
      <c r="B26" s="5" t="s">
        <v>45</v>
      </c>
      <c r="C26" s="9">
        <f>1/458</f>
        <v>2.1834061135371178E-3</v>
      </c>
      <c r="D26" s="5" t="s">
        <v>41</v>
      </c>
      <c r="I26" s="92" t="s">
        <v>200</v>
      </c>
      <c r="J26" s="19" t="str">
        <f>IF(ISERROR('4.エネルギー使用量'!$O$58/1000*$C$4*$C$7),"",ROUND('4.エネルギー使用量'!$O$58/1000*$C$4*$C$7,2))</f>
        <v/>
      </c>
      <c r="K26" s="13" t="str">
        <f>IF(ISERROR('4.エネルギー使用量'!$O$58/1000*$C$4*$E$4),"",ROUND('4.エネルギー使用量'!$O$58/1000*$C$4*$E$4,2))</f>
        <v/>
      </c>
      <c r="N26" s="57" t="s">
        <v>106</v>
      </c>
      <c r="O26" s="57">
        <v>800</v>
      </c>
      <c r="P26" s="57">
        <v>400</v>
      </c>
      <c r="Q26" s="3"/>
    </row>
    <row r="27" spans="2:30" x14ac:dyDescent="0.45">
      <c r="B27" s="5" t="s">
        <v>44</v>
      </c>
      <c r="C27" s="9">
        <f>1/1220</f>
        <v>8.1967213114754098E-4</v>
      </c>
      <c r="D27" s="5" t="s">
        <v>41</v>
      </c>
      <c r="E27" s="6">
        <f>C33/C32</f>
        <v>1208.955223880597</v>
      </c>
      <c r="F27" s="5" t="s">
        <v>40</v>
      </c>
      <c r="I27" s="92" t="s">
        <v>201</v>
      </c>
      <c r="J27" s="19" t="str">
        <f>IF(ISERROR('4.エネルギー使用量'!$O$58/1000*$C$5*$C$7),"",ROUND('4.エネルギー使用量'!$O$58/1000*$C$5*$C$7,2))</f>
        <v/>
      </c>
      <c r="K27" s="13" t="str">
        <f>IF(ISERROR('4.エネルギー使用量'!$O$58/1000*$C$5*$E$5),"",ROUND('4.エネルギー使用量'!$O$58/1000*$C$5*$E$5,2))</f>
        <v/>
      </c>
      <c r="N27" s="3"/>
      <c r="O27" s="3"/>
      <c r="P27" s="3"/>
      <c r="Q27" s="3"/>
    </row>
    <row r="28" spans="2:30" ht="19.5" x14ac:dyDescent="0.45">
      <c r="B28" s="5" t="s">
        <v>43</v>
      </c>
      <c r="C28" s="9">
        <f>1/E28</f>
        <v>4.557823129251701E-4</v>
      </c>
      <c r="D28" s="5" t="s">
        <v>41</v>
      </c>
      <c r="E28" s="6">
        <f>C31/C32*1000</f>
        <v>2194.0298507462685</v>
      </c>
      <c r="F28" s="5" t="s">
        <v>40</v>
      </c>
      <c r="I28" s="92" t="s">
        <v>202</v>
      </c>
      <c r="J28" s="19" t="str">
        <f>IF(ISERROR('4.エネルギー使用量'!$O$58/1000*$C$6*$C$7),"",ROUND('4.エネルギー使用量'!$O$58/1000*$C$6*$C$7,2))</f>
        <v/>
      </c>
      <c r="K28" s="13" t="str">
        <f>IF(ISERROR('4.エネルギー使用量'!$O$58/1000*$C$6*$E$6),"",ROUND('4.エネルギー使用量'!$O$58/1000*$C$6*$E$6,2))</f>
        <v/>
      </c>
      <c r="N28" s="23"/>
      <c r="O28" s="23"/>
      <c r="P28" s="221" t="s">
        <v>176</v>
      </c>
      <c r="Q28" s="222"/>
      <c r="R28" s="222"/>
      <c r="S28" s="222"/>
      <c r="T28" s="222"/>
      <c r="U28" s="222"/>
      <c r="V28" s="222"/>
      <c r="W28" s="222"/>
      <c r="X28" s="222"/>
      <c r="Y28" s="222"/>
      <c r="Z28" s="222"/>
      <c r="AA28" s="222"/>
      <c r="AB28" s="222"/>
      <c r="AC28" s="222"/>
      <c r="AD28" s="223"/>
    </row>
    <row r="29" spans="2:30" ht="19.5" x14ac:dyDescent="0.45">
      <c r="I29" s="92" t="s">
        <v>196</v>
      </c>
      <c r="J29" s="14" t="str">
        <f>IF(ISERROR('4.エネルギー使用量'!$O$58/1000*$C$18*$C$7),"",ROUND('4.エネルギー使用量'!$O$58/1000*$C$18*$C$7,2))</f>
        <v/>
      </c>
      <c r="K29" s="13" t="str">
        <f>IF(ISERROR('4.エネルギー使用量'!$O$58/1000*$C$18*$E$18*$E$7),"",ROUND('4.エネルギー使用量'!$O$58/1000*$C$18*$E$18*$E$7,2))</f>
        <v/>
      </c>
      <c r="N29" s="23"/>
      <c r="O29" s="23"/>
      <c r="P29" s="224" t="s">
        <v>179</v>
      </c>
      <c r="Q29" s="224"/>
      <c r="R29" s="224"/>
      <c r="S29" s="224" t="s">
        <v>178</v>
      </c>
      <c r="T29" s="224"/>
      <c r="U29" s="224"/>
      <c r="V29" s="224" t="s">
        <v>120</v>
      </c>
      <c r="W29" s="224"/>
      <c r="X29" s="224"/>
      <c r="Y29" s="224" t="s">
        <v>121</v>
      </c>
      <c r="Z29" s="224"/>
      <c r="AA29" s="224"/>
      <c r="AB29" s="224" t="s">
        <v>122</v>
      </c>
      <c r="AC29" s="224"/>
      <c r="AD29" s="224"/>
    </row>
    <row r="30" spans="2:30" ht="19.5" x14ac:dyDescent="0.45">
      <c r="B30" s="5" t="s">
        <v>42</v>
      </c>
      <c r="I30" s="92" t="s">
        <v>197</v>
      </c>
      <c r="J30" s="14" t="str">
        <f>IF(ISERROR('4.エネルギー使用量'!$O$58/1000*$C$19*$C$7),"",ROUND('4.エネルギー使用量'!$O$58/1000*$C$19*$C$7,2))</f>
        <v/>
      </c>
      <c r="K30" s="13" t="str">
        <f>IF(ISERROR('4.エネルギー使用量'!$O$58/1000*$C$19*$E$19*$E$7),"",ROUND('4.エネルギー使用量'!$O$58/1000*$C$19*$E$19*$E$7,2))</f>
        <v/>
      </c>
      <c r="N30" s="23"/>
      <c r="O30" s="23"/>
      <c r="P30" s="51" t="s">
        <v>104</v>
      </c>
      <c r="Q30" s="51" t="s">
        <v>103</v>
      </c>
      <c r="R30" s="51" t="s">
        <v>102</v>
      </c>
      <c r="S30" s="51" t="s">
        <v>104</v>
      </c>
      <c r="T30" s="51" t="s">
        <v>103</v>
      </c>
      <c r="U30" s="51" t="s">
        <v>102</v>
      </c>
      <c r="V30" s="51" t="s">
        <v>104</v>
      </c>
      <c r="W30" s="51" t="s">
        <v>103</v>
      </c>
      <c r="X30" s="51" t="s">
        <v>102</v>
      </c>
      <c r="Y30" s="51" t="s">
        <v>104</v>
      </c>
      <c r="Z30" s="51" t="s">
        <v>103</v>
      </c>
      <c r="AA30" s="51" t="s">
        <v>102</v>
      </c>
      <c r="AB30" s="51" t="s">
        <v>104</v>
      </c>
      <c r="AC30" s="51" t="s">
        <v>103</v>
      </c>
      <c r="AD30" s="51" t="s">
        <v>102</v>
      </c>
    </row>
    <row r="31" spans="2:30" ht="19.5" x14ac:dyDescent="0.45">
      <c r="C31" s="7">
        <f>147000</f>
        <v>147000</v>
      </c>
      <c r="D31" s="5" t="s">
        <v>40</v>
      </c>
      <c r="I31" s="92" t="s">
        <v>198</v>
      </c>
      <c r="J31" s="14" t="str">
        <f>IF(ISERROR('4.エネルギー使用量'!$O$58/1000*$C$20*$C$7),"",ROUND('4.エネルギー使用量'!$O$58/1000*$C$20*$C$7,2))</f>
        <v/>
      </c>
      <c r="K31" s="13" t="str">
        <f>IF(ISERROR('4.エネルギー使用量'!$O$58/1000*$C$20*$E$20*$E$7),"",ROUND('4.エネルギー使用量'!$O$58/1000*$C$20*$E$20*$E$7,2))</f>
        <v/>
      </c>
      <c r="N31" s="90" t="s">
        <v>155</v>
      </c>
      <c r="O31" s="41" t="str">
        <f>IF(AND('2-3.設備仕様入力'!D$112="電気",'2-3.設備仕様入力'!D$118="kW"),1,IF(AND('2-3.設備仕様入力'!D$112="都市ガス",'2-3.設備仕様入力'!D$118="kW"),2,IF(AND('2-3.設備仕様入力'!D$112="都市ガス",'2-3.設備仕様入力'!D$118="ｍ3N/h"),3,IF(AND('2-3.設備仕様入力'!D$112="LPG",'2-3.設備仕様入力'!D$118="kW"),4,IF(AND('2-3.設備仕様入力'!D$112="LPG",'2-3.設備仕様入力'!D$118="kg/h"),5,"")))))</f>
        <v/>
      </c>
      <c r="P31" s="48" t="str">
        <f>IF(OR('2-3.設備仕様入力'!$D$110="電気式パッケージ形空調機",'2-3.設備仕様入力'!$D$110="ルームエアコン"),ROUND('2-3.設備仕様入力'!$D$116*'2-3.設備仕様入力'!$D$111*計算!$C$3*VLOOKUP('2-3.設備仕様入力'!$D$113,計算!$N$16:$P$26,2,FALSE)/1000,1),"")</f>
        <v/>
      </c>
      <c r="Q31" s="48" t="str">
        <f>IF(OR('2-3.設備仕様入力'!$D$110="電気式パッケージ形空調機",'2-3.設備仕様入力'!$D$110="ルームエアコン"),ROUND('2-3.設備仕様入力'!$D$117*'2-3.設備仕様入力'!$D$111*計算!$C$3*VLOOKUP('2-3.設備仕様入力'!$D$113,計算!$N$16:$P$26,3,FALSE)/1000,1),"")</f>
        <v/>
      </c>
      <c r="R31" s="48" t="str">
        <f t="shared" ref="R31:R40" si="0">IF(AND(P31="",Q31=""),"",P31+Q31)</f>
        <v/>
      </c>
      <c r="S31" s="48" t="str">
        <f>IF('2-3.設備仕様入力'!$D$110="ガスヒートポンプ式空調機",IF('2-3.設備仕様入力'!$D$112="都市ガス",IF('2-3.設備仕様入力'!$D$118="kW",ROUND('2-3.設備仕様入力'!$D$111*'2-3.設備仕様入力'!$D$116*3.6/1000*VLOOKUP('2-3.設備仕様入力'!$D$113,計算!$N$16:$P$26,2,FALSE),1),""),""),"")</f>
        <v/>
      </c>
      <c r="T31" s="48" t="str">
        <f>IF('2-3.設備仕様入力'!$D$110="ガスヒートポンプ式空調機",IF('2-3.設備仕様入力'!$D$112="都市ガス",IF('2-3.設備仕様入力'!$D$118="kW",ROUND('2-3.設備仕様入力'!$D$111*'2-3.設備仕様入力'!$D$117*3.6/1000*VLOOKUP('2-3.設備仕様入力'!$D$113,計算!$N$16:$P$26,3,FALSE),1),""),""),"")</f>
        <v/>
      </c>
      <c r="U31" s="48" t="str">
        <f t="shared" ref="U31:U40" si="1">IF(AND(S31="",T31=""),"",S31+T31)</f>
        <v/>
      </c>
      <c r="V31" s="48" t="str">
        <f>IF('2-3.設備仕様入力'!$D$110="ガスヒートポンプ式空調機",IF('2-3.設備仕様入力'!$D$118="ｍ3N/h",ROUND('2-3.設備仕様入力'!$D$111*'2-3.設備仕様入力'!$D$116*計算!$C$10/1000*VLOOKUP('2-3.設備仕様入力'!$D$113,計算!$N$16:$P$26,2,FALSE),1),""),"")</f>
        <v/>
      </c>
      <c r="W31" s="48" t="str">
        <f>IF('2-3.設備仕様入力'!$D$110="ガスヒートポンプ式空調機",IF('2-3.設備仕様入力'!$D$118="ｍ3N/h",ROUND('2-3.設備仕様入力'!$D$111*'2-3.設備仕様入力'!$D$117*計算!$C$10/1000*VLOOKUP('2-3.設備仕様入力'!$D$113,計算!$N$16:$P$26,3,FALSE),1),""),"")</f>
        <v/>
      </c>
      <c r="X31" s="48" t="str">
        <f t="shared" ref="X31:X40" si="2">IF(AND(V31="",W31=""),"",V31+W31)</f>
        <v/>
      </c>
      <c r="Y31" s="48" t="str">
        <f>IF('2-3.設備仕様入力'!$D$110="ガスヒートポンプ式空調機",IF('2-3.設備仕様入力'!$D$112="LPG",IF('2-3.設備仕様入力'!$D$118="kW",ROUND('2-3.設備仕様入力'!$D$111*'2-3.設備仕様入力'!$D$116*3.6/1000*VLOOKUP('2-3.設備仕様入力'!$D$113,計算!$N$16:$P$26,2,FALSE),1),""),""),"")</f>
        <v/>
      </c>
      <c r="Z31" s="48" t="str">
        <f>IF('2-3.設備仕様入力'!$D$110="ガスヒートポンプ式空調機",IF('2-3.設備仕様入力'!$D$112="LPG",IF('2-3.設備仕様入力'!$D$118="kW",ROUND('2-3.設備仕様入力'!$D$111*'2-3.設備仕様入力'!$D$117*3.6/1000*VLOOKUP('2-3.設備仕様入力'!$D$113,計算!$N$16:$P$26,3,FALSE),1),""),""),"")</f>
        <v/>
      </c>
      <c r="AA31" s="48" t="str">
        <f t="shared" ref="AA31:AA40" si="3">IF(AND(Y31="",Z31=""),"",Y31+Z31)</f>
        <v/>
      </c>
      <c r="AB31" s="48" t="str">
        <f>IF('2-3.設備仕様入力'!$D$110="ガスヒートポンプ式空調機",IF('2-3.設備仕様入力'!$D$112="LPG",IF('2-3.設備仕様入力'!$D$118="kg/h",ROUND('2-3.設備仕様入力'!$D$111*'2-3.設備仕様入力'!$D$116*計算!$C$11/1000*VLOOKUP('2-3.設備仕様入力'!$D$113,計算!$N$16:$P$26,2,FALSE),1),""),""),"")</f>
        <v/>
      </c>
      <c r="AC31" s="48" t="str">
        <f>IF('2-3.設備仕様入力'!$D$110="ガスヒートポンプ式空調機",IF('2-3.設備仕様入力'!$D$112="LPG",IF('2-3.設備仕様入力'!$D$118="kg/h",ROUND('2-3.設備仕様入力'!$D$111*'2-3.設備仕様入力'!$D$117*計算!$C$11/1000*VLOOKUP('2-3.設備仕様入力'!$D$113,計算!$N$16:$P$26,3,FALSE),1),""),""),"")</f>
        <v/>
      </c>
      <c r="AD31" s="48" t="str">
        <f t="shared" ref="AD31:AD40" si="4">IF(AND(AB31="",AC31=""),"",AB31+AC31)</f>
        <v/>
      </c>
    </row>
    <row r="32" spans="2:30" ht="20.25" thickBot="1" x14ac:dyDescent="0.5">
      <c r="C32" s="7">
        <f>67000</f>
        <v>67000</v>
      </c>
      <c r="D32" s="5" t="s">
        <v>41</v>
      </c>
      <c r="I32" s="92" t="s">
        <v>199</v>
      </c>
      <c r="J32" s="11" t="str">
        <f>IF(ISERROR('4.エネルギー使用量'!$O$58/1000*$C$21*$C$7),"",ROUND('4.エネルギー使用量'!$O$58/1000*$C$21*$C$7,2))</f>
        <v/>
      </c>
      <c r="K32" s="10" t="str">
        <f>IF(ISERROR('4.エネルギー使用量'!$O$58/1000*$C$21*$E$21*$E$7),"",ROUND('4.エネルギー使用量'!$O$58/1000*$C$21*$E$21*$E$7,2))</f>
        <v/>
      </c>
      <c r="N32" s="90" t="s">
        <v>123</v>
      </c>
      <c r="O32" s="41" t="str">
        <f>IF(AND('2-3.設備仕様入力'!E$112="電気",'2-3.設備仕様入力'!E$118="kW"),1,IF(AND('2-3.設備仕様入力'!E$112="都市ガス",'2-3.設備仕様入力'!E$118="kW"),2,IF(AND('2-3.設備仕様入力'!E$112="都市ガス",'2-3.設備仕様入力'!E$118="ｍ3N/h"),3,IF(AND('2-3.設備仕様入力'!E$112="LPG",'2-3.設備仕様入力'!E$118="kW"),4,IF(AND('2-3.設備仕様入力'!E$112="LPG",'2-3.設備仕様入力'!E$118="kg/h"),5,"")))))</f>
        <v/>
      </c>
      <c r="P32" s="48" t="str">
        <f>IF(OR('2-3.設備仕様入力'!$E$110="電気式パッケージ形空調機",'2-3.設備仕様入力'!$E$110="ルームエアコン"),ROUND('2-3.設備仕様入力'!$E$116*'2-3.設備仕様入力'!$E$111*計算!$C$3*VLOOKUP('2-3.設備仕様入力'!$E$113,計算!$N$16:$P$26,2,FALSE)/1000,1),"")</f>
        <v/>
      </c>
      <c r="Q32" s="48" t="str">
        <f>IF(OR('2-3.設備仕様入力'!$E$110="電気式パッケージ形空調機",'2-3.設備仕様入力'!$E$110="ルームエアコン"),ROUND('2-3.設備仕様入力'!$E$117*'2-3.設備仕様入力'!$E$111*計算!$C$3*VLOOKUP('2-3.設備仕様入力'!$E$113,計算!$N$16:$P$26,3,FALSE)/1000,1),"")</f>
        <v/>
      </c>
      <c r="R32" s="48" t="str">
        <f t="shared" si="0"/>
        <v/>
      </c>
      <c r="S32" s="48" t="str">
        <f>IF('2-3.設備仕様入力'!$E$110="ガスヒートポンプ式空調機",IF('2-3.設備仕様入力'!$E$112="都市ガス",IF('2-3.設備仕様入力'!$E$118="kW",ROUND('2-3.設備仕様入力'!$E$111*'2-3.設備仕様入力'!$E$116*3.6/1000*VLOOKUP('2-3.設備仕様入力'!$E$113,計算!$N$16:$P$26,2,FALSE),1),""),""),"")</f>
        <v/>
      </c>
      <c r="T32" s="48" t="str">
        <f>IF('2-3.設備仕様入力'!$E$110="ガスヒートポンプ式空調機",IF('2-3.設備仕様入力'!$E$112="都市ガス",IF('2-3.設備仕様入力'!$E$118="kW",ROUND('2-3.設備仕様入力'!$E$111*'2-3.設備仕様入力'!$E$117*3.6/1000*VLOOKUP('2-3.設備仕様入力'!$E$113,計算!$N$16:$P$26,3,FALSE),1),""),""),"")</f>
        <v/>
      </c>
      <c r="U32" s="48" t="str">
        <f t="shared" si="1"/>
        <v/>
      </c>
      <c r="V32" s="48" t="str">
        <f>IF('2-3.設備仕様入力'!$E$110="ガスヒートポンプ式空調機",IF('2-3.設備仕様入力'!$E$118="ｍ3N/h",ROUND('2-3.設備仕様入力'!$E$111*'2-3.設備仕様入力'!$E$116*計算!$C$10/1000*VLOOKUP('2-3.設備仕様入力'!$E$113,計算!$N$16:$P$26,2,FALSE),1),""),"")</f>
        <v/>
      </c>
      <c r="W32" s="48" t="str">
        <f>IF('2-3.設備仕様入力'!$E$110="ガスヒートポンプ式空調機",IF('2-3.設備仕様入力'!$E$118="ｍ3N/h",ROUND('2-3.設備仕様入力'!$E$111*'2-3.設備仕様入力'!$E$117*計算!$C$10/1000*VLOOKUP('2-3.設備仕様入力'!$E$113,計算!$N$16:$P$26,3,FALSE),1),""),"")</f>
        <v/>
      </c>
      <c r="X32" s="48" t="str">
        <f t="shared" si="2"/>
        <v/>
      </c>
      <c r="Y32" s="48" t="str">
        <f>IF('2-3.設備仕様入力'!$E$110="ガスヒートポンプ式空調機",IF('2-3.設備仕様入力'!$E$112="LPG",IF('2-3.設備仕様入力'!$E$118="kW",ROUND('2-3.設備仕様入力'!$E$111*'2-3.設備仕様入力'!$E$116*3.6/1000*VLOOKUP('2-3.設備仕様入力'!$E$113,計算!$N$16:$P$26,2,FALSE),1),""),""),"")</f>
        <v/>
      </c>
      <c r="Z32" s="48" t="str">
        <f>IF('2-3.設備仕様入力'!$E$110="ガスヒートポンプ式空調機",IF('2-3.設備仕様入力'!$E$112="LPG",IF('2-3.設備仕様入力'!$E$118="kW",ROUND('2-3.設備仕様入力'!$E$111*'2-3.設備仕様入力'!$E$117*3.6/1000*VLOOKUP('2-3.設備仕様入力'!$E$113,計算!$N$16:$P$26,3,FALSE),1),""),""),"")</f>
        <v/>
      </c>
      <c r="AA32" s="48" t="str">
        <f t="shared" si="3"/>
        <v/>
      </c>
      <c r="AB32" s="48" t="str">
        <f>IF('2-3.設備仕様入力'!$E$110="ガスヒートポンプ式空調機",IF('2-3.設備仕様入力'!$E$112="LPG",IF('2-3.設備仕様入力'!$E$118="kg/h",ROUND('2-3.設備仕様入力'!$E$111*'2-3.設備仕様入力'!$E$116*計算!$C$11/1000*VLOOKUP('2-3.設備仕様入力'!$E$113,計算!$N$16:$P$26,2,FALSE),1),""),""),"")</f>
        <v/>
      </c>
      <c r="AC32" s="48" t="str">
        <f>IF('2-3.設備仕様入力'!$E$110="ガスヒートポンプ式空調機",IF('2-3.設備仕様入力'!$E$112="LPG",IF('2-3.設備仕様入力'!$E$118="kg/h",ROUND('2-3.設備仕様入力'!$E$111*'2-3.設備仕様入力'!$E$117*計算!$C$11/1000*VLOOKUP('2-3.設備仕様入力'!$E$113,計算!$N$16:$P$26,3,FALSE),1),""),""),"")</f>
        <v/>
      </c>
      <c r="AD32" s="48" t="str">
        <f t="shared" si="4"/>
        <v/>
      </c>
    </row>
    <row r="33" spans="3:30" ht="20.25" thickBot="1" x14ac:dyDescent="0.5">
      <c r="C33" s="7">
        <f>81000000</f>
        <v>81000000</v>
      </c>
      <c r="D33" s="5" t="s">
        <v>40</v>
      </c>
      <c r="E33" s="6">
        <f>C33/C31</f>
        <v>551.0204081632653</v>
      </c>
      <c r="F33" s="5" t="s">
        <v>39</v>
      </c>
      <c r="N33" s="90" t="s">
        <v>124</v>
      </c>
      <c r="O33" s="41" t="str">
        <f>IF(AND('2-3.設備仕様入力'!F$112="電気",'2-3.設備仕様入力'!F$118="kW"),1,IF(AND('2-3.設備仕様入力'!F$112="都市ガス",'2-3.設備仕様入力'!F$118="kW"),2,IF(AND('2-3.設備仕様入力'!F$112="都市ガス",'2-3.設備仕様入力'!F$118="ｍ3N/h"),3,IF(AND('2-3.設備仕様入力'!F$112="LPG",'2-3.設備仕様入力'!F$118="kW"),4,IF(AND('2-3.設備仕様入力'!F$112="LPG",'2-3.設備仕様入力'!F$118="kg/h"),5,"")))))</f>
        <v/>
      </c>
      <c r="P33" s="48" t="str">
        <f>IF(OR('2-3.設備仕様入力'!$F$110="電気式パッケージ形空調機",'2-3.設備仕様入力'!$F$110="ルームエアコン"),ROUND('2-3.設備仕様入力'!$F$116*'2-3.設備仕様入力'!$F$111*計算!$C$3*VLOOKUP('2-3.設備仕様入力'!$F$113,計算!$N$16:$P$26,2,FALSE)/1000,1),"")</f>
        <v/>
      </c>
      <c r="Q33" s="48" t="str">
        <f>IF(OR('2-3.設備仕様入力'!$F$110="電気式パッケージ形空調機",'2-3.設備仕様入力'!$F$110="ルームエアコン"),ROUND('2-3.設備仕様入力'!$F$117*'2-3.設備仕様入力'!$F$111*計算!$C$3*VLOOKUP('2-3.設備仕様入力'!$F$113,計算!$N$16:$P$26,3,FALSE)/1000,1),"")</f>
        <v/>
      </c>
      <c r="R33" s="48" t="str">
        <f t="shared" si="0"/>
        <v/>
      </c>
      <c r="S33" s="48" t="str">
        <f>IF('2-3.設備仕様入力'!$F$110="ガスヒートポンプ式空調機",IF('2-3.設備仕様入力'!$F$112="都市ガス",IF('2-3.設備仕様入力'!$F$118="kW",ROUND('2-3.設備仕様入力'!$F$111*'2-3.設備仕様入力'!$F$116*3.6/1000*VLOOKUP('2-3.設備仕様入力'!$F$113,計算!$N$16:$P$26,2,FALSE),1),""),""),"")</f>
        <v/>
      </c>
      <c r="T33" s="48" t="str">
        <f>IF('2-3.設備仕様入力'!$F$110="ガスヒートポンプ式空調機",IF('2-3.設備仕様入力'!$F$112="都市ガス",IF('2-3.設備仕様入力'!$F$118="kW",ROUND('2-3.設備仕様入力'!$F$111*'2-3.設備仕様入力'!$F$117*3.6/1000*VLOOKUP('2-3.設備仕様入力'!$F$113,計算!$N$16:$P$26,3,FALSE),1),""),""),"")</f>
        <v/>
      </c>
      <c r="U33" s="48" t="str">
        <f t="shared" si="1"/>
        <v/>
      </c>
      <c r="V33" s="48" t="str">
        <f>IF('2-3.設備仕様入力'!$F$110="ガスヒートポンプ式空調機",IF('2-3.設備仕様入力'!$F$118="ｍ3N/h",ROUND('2-3.設備仕様入力'!$F$111*'2-3.設備仕様入力'!$F$116*計算!$C$10/1000*VLOOKUP('2-3.設備仕様入力'!$F$113,計算!$N$16:$P$26,2,FALSE),1),""),"")</f>
        <v/>
      </c>
      <c r="W33" s="48" t="str">
        <f>IF('2-3.設備仕様入力'!$F$110="ガスヒートポンプ式空調機",IF('2-3.設備仕様入力'!$F$118="ｍ3N/h",ROUND('2-3.設備仕様入力'!$F$111*'2-3.設備仕様入力'!$F$117*計算!$C$10/1000*VLOOKUP('2-3.設備仕様入力'!$F$113,計算!$N$16:$P$26,3,FALSE),1),""),"")</f>
        <v/>
      </c>
      <c r="X33" s="48" t="str">
        <f t="shared" si="2"/>
        <v/>
      </c>
      <c r="Y33" s="48" t="str">
        <f>IF('2-3.設備仕様入力'!$F$110="ガスヒートポンプ式空調機",IF('2-3.設備仕様入力'!$F$112="LPG",IF('2-3.設備仕様入力'!$F$118="kW",ROUND('2-3.設備仕様入力'!$F$111*'2-3.設備仕様入力'!$F$116*3.6/1000*VLOOKUP('2-3.設備仕様入力'!$F$113,計算!$N$16:$P$26,2,FALSE),1),""),""),"")</f>
        <v/>
      </c>
      <c r="Z33" s="48" t="str">
        <f>IF('2-3.設備仕様入力'!$F$110="ガスヒートポンプ式空調機",IF('2-3.設備仕様入力'!$F$112="LPG",IF('2-3.設備仕様入力'!$F$118="kW",ROUND('2-3.設備仕様入力'!$F$111*'2-3.設備仕様入力'!$F$117*3.6/1000*VLOOKUP('2-3.設備仕様入力'!$F$113,計算!$N$16:$P$26,3,FALSE),1),""),""),"")</f>
        <v/>
      </c>
      <c r="AA33" s="48" t="str">
        <f t="shared" si="3"/>
        <v/>
      </c>
      <c r="AB33" s="48" t="str">
        <f>IF('2-3.設備仕様入力'!$F$110="ガスヒートポンプ式空調機",IF('2-3.設備仕様入力'!$F$112="LPG",IF('2-3.設備仕様入力'!$F$118="kg/h",ROUND('2-3.設備仕様入力'!$F$111*'2-3.設備仕様入力'!$F$116*計算!$C$11/1000*VLOOKUP('2-3.設備仕様入力'!$F$113,計算!$N$16:$P$26,2,FALSE),1),""),""),"")</f>
        <v/>
      </c>
      <c r="AC33" s="48" t="str">
        <f>IF('2-3.設備仕様入力'!$F$110="ガスヒートポンプ式空調機",IF('2-3.設備仕様入力'!$F$112="LPG",IF('2-3.設備仕様入力'!$F$118="kg/h",ROUND('2-3.設備仕様入力'!$F$111*'2-3.設備仕様入力'!$F$117*計算!$C$11/1000*VLOOKUP('2-3.設備仕様入力'!$F$113,計算!$N$16:$P$26,3,FALSE),1),""),""),"")</f>
        <v/>
      </c>
      <c r="AD33" s="48" t="str">
        <f t="shared" si="4"/>
        <v/>
      </c>
    </row>
    <row r="34" spans="3:30" ht="19.5" x14ac:dyDescent="0.45">
      <c r="I34" s="92" t="s">
        <v>492</v>
      </c>
      <c r="J34" s="16" t="s">
        <v>20</v>
      </c>
      <c r="K34" s="15" t="s">
        <v>19</v>
      </c>
      <c r="N34" s="90" t="s">
        <v>125</v>
      </c>
      <c r="O34" s="41" t="str">
        <f>IF(AND('2-3.設備仕様入力'!G$112="電気",'2-3.設備仕様入力'!G$118="kW"),1,IF(AND('2-3.設備仕様入力'!G$112="都市ガス",'2-3.設備仕様入力'!G$118="kW"),2,IF(AND('2-3.設備仕様入力'!G$112="都市ガス",'2-3.設備仕様入力'!G$118="ｍ3N/h"),3,IF(AND('2-3.設備仕様入力'!G$112="LPG",'2-3.設備仕様入力'!G$118="kW"),4,IF(AND('2-3.設備仕様入力'!G$112="LPG",'2-3.設備仕様入力'!G$118="kg/h"),5,"")))))</f>
        <v/>
      </c>
      <c r="P34" s="48" t="str">
        <f>IF(OR('2-3.設備仕様入力'!$G$110="電気式パッケージ形空調機",'2-3.設備仕様入力'!$G$110="ルームエアコン"),ROUND('2-3.設備仕様入力'!$G$116*'2-3.設備仕様入力'!$G$111*計算!$C$3*VLOOKUP('2-3.設備仕様入力'!$G$113,計算!$N$16:$P$26,2,FALSE)/1000,1),"")</f>
        <v/>
      </c>
      <c r="Q34" s="48" t="str">
        <f>IF(OR('2-3.設備仕様入力'!$G$110="電気式パッケージ形空調機",'2-3.設備仕様入力'!$G$110="ルームエアコン"),ROUND('2-3.設備仕様入力'!$G$117*'2-3.設備仕様入力'!$G$111*計算!$C$3*VLOOKUP('2-3.設備仕様入力'!$G$113,計算!$N$16:$P$26,3,FALSE)/1000,1),"")</f>
        <v/>
      </c>
      <c r="R34" s="48" t="str">
        <f t="shared" si="0"/>
        <v/>
      </c>
      <c r="S34" s="48" t="str">
        <f>IF('2-3.設備仕様入力'!$G$110="ガスヒートポンプ式空調機",IF('2-3.設備仕様入力'!$G$112="都市ガス",IF('2-3.設備仕様入力'!$G$118="kW",ROUND('2-3.設備仕様入力'!$G$111*'2-3.設備仕様入力'!$G$116*3.6/1000*VLOOKUP('2-3.設備仕様入力'!$G$113,計算!$N$16:$P$26,2,FALSE),1),""),""),"")</f>
        <v/>
      </c>
      <c r="T34" s="48" t="str">
        <f>IF('2-3.設備仕様入力'!$G$110="ガスヒートポンプ式空調機",IF('2-3.設備仕様入力'!$G$112="都市ガス",IF('2-3.設備仕様入力'!$G$118="kW",ROUND('2-3.設備仕様入力'!$G$111*'2-3.設備仕様入力'!$G$117*3.6/1000*VLOOKUP('2-3.設備仕様入力'!$G$113,計算!$N$16:$P$26,3,FALSE),1),""),""),"")</f>
        <v/>
      </c>
      <c r="U34" s="48" t="str">
        <f t="shared" si="1"/>
        <v/>
      </c>
      <c r="V34" s="48" t="str">
        <f>IF('2-3.設備仕様入力'!$G$110="ガスヒートポンプ式空調機",IF('2-3.設備仕様入力'!$G$118="ｍ3N/h",ROUND('2-3.設備仕様入力'!$G$111*'2-3.設備仕様入力'!$G$116*計算!$C$10/1000*VLOOKUP('2-3.設備仕様入力'!$G$113,計算!$N$16:$P$26,2,FALSE),1),""),"")</f>
        <v/>
      </c>
      <c r="W34" s="48" t="str">
        <f>IF('2-3.設備仕様入力'!$G$110="ガスヒートポンプ式空調機",IF('2-3.設備仕様入力'!$G$118="ｍ3N/h",ROUND('2-3.設備仕様入力'!$G$111*'2-3.設備仕様入力'!$G$117*計算!$C$10/1000*VLOOKUP('2-3.設備仕様入力'!$G$113,計算!$N$16:$P$26,3,FALSE),1),""),"")</f>
        <v/>
      </c>
      <c r="X34" s="48" t="str">
        <f t="shared" si="2"/>
        <v/>
      </c>
      <c r="Y34" s="48" t="str">
        <f>IF('2-3.設備仕様入力'!$G$110="ガスヒートポンプ式空調機",IF('2-3.設備仕様入力'!$G$112="LPG",IF('2-3.設備仕様入力'!$G$118="kW",ROUND('2-3.設備仕様入力'!$G$111*'2-3.設備仕様入力'!$G$116*3.6/1000*VLOOKUP('2-3.設備仕様入力'!$G$113,計算!$N$16:$P$26,2,FALSE),1),""),""),"")</f>
        <v/>
      </c>
      <c r="Z34" s="48" t="str">
        <f>IF('2-3.設備仕様入力'!$G$110="ガスヒートポンプ式空調機",IF('2-3.設備仕様入力'!$G$112="LPG",IF('2-3.設備仕様入力'!$G$118="kW",ROUND('2-3.設備仕様入力'!$G$111*'2-3.設備仕様入力'!$G$117*3.6/1000*VLOOKUP('2-3.設備仕様入力'!$G$113,計算!$N$16:$P$26,3,FALSE),1),""),""),"")</f>
        <v/>
      </c>
      <c r="AA34" s="48" t="str">
        <f t="shared" si="3"/>
        <v/>
      </c>
      <c r="AB34" s="48" t="str">
        <f>IF('2-3.設備仕様入力'!$G$110="ガスヒートポンプ式空調機",IF('2-3.設備仕様入力'!$G$112="LPG",IF('2-3.設備仕様入力'!$G$118="kg/h",ROUND('2-3.設備仕様入力'!$G$111*'2-3.設備仕様入力'!$G$116*計算!$C$11/1000*VLOOKUP('2-3.設備仕様入力'!$G$113,計算!$N$16:$P$26,2,FALSE),1),""),""),"")</f>
        <v/>
      </c>
      <c r="AC34" s="48" t="str">
        <f>IF('2-3.設備仕様入力'!$G$110="ガスヒートポンプ式空調機",IF('2-3.設備仕様入力'!$G$112="LPG",IF('2-3.設備仕様入力'!$G$118="kg/h",ROUND('2-3.設備仕様入力'!$G$111*'2-3.設備仕様入力'!$G$117*計算!$C$11/1000*VLOOKUP('2-3.設備仕様入力'!$G$113,計算!$N$16:$P$26,3,FALSE),1),""),""),"")</f>
        <v/>
      </c>
      <c r="AD34" s="48" t="str">
        <f t="shared" si="4"/>
        <v/>
      </c>
    </row>
    <row r="35" spans="3:30" ht="19.5" x14ac:dyDescent="0.45">
      <c r="I35" s="92" t="s">
        <v>200</v>
      </c>
      <c r="J35" s="19" t="str">
        <f>IF(ISERROR('4.エネルギー使用量'!$O$69/1000*$C$4*$C$7),"",ROUND('4.エネルギー使用量'!$O$69/1000*$C$4*$C$7,2))</f>
        <v/>
      </c>
      <c r="K35" s="13" t="str">
        <f>IF(ISERROR('4.エネルギー使用量'!$O$69/1000*$C$4*$E$4),"",ROUND('4.エネルギー使用量'!$O$69/1000*$C$4*$E$4,2))</f>
        <v/>
      </c>
      <c r="N35" s="90" t="s">
        <v>126</v>
      </c>
      <c r="O35" s="41" t="str">
        <f>IF(AND('2-3.設備仕様入力'!H$112="電気",'2-3.設備仕様入力'!H$118="kW"),1,IF(AND('2-3.設備仕様入力'!H$112="都市ガス",'2-3.設備仕様入力'!H$118="kW"),2,IF(AND('2-3.設備仕様入力'!H$112="都市ガス",'2-3.設備仕様入力'!H$118="ｍ3N/h"),3,IF(AND('2-3.設備仕様入力'!H$112="LPG",'2-3.設備仕様入力'!H$118="kW"),4,IF(AND('2-3.設備仕様入力'!H$112="LPG",'2-3.設備仕様入力'!H$118="kg/h"),5,"")))))</f>
        <v/>
      </c>
      <c r="P35" s="48" t="str">
        <f>IF(OR('2-3.設備仕様入力'!$H$110="電気式パッケージ形空調機",'2-3.設備仕様入力'!$H$110="ルームエアコン"),ROUND('2-3.設備仕様入力'!$H$116*'2-3.設備仕様入力'!$H$111*計算!$C$3*VLOOKUP('2-3.設備仕様入力'!$H$113,計算!$N$16:$P$26,2,FALSE)/1000,1),"")</f>
        <v/>
      </c>
      <c r="Q35" s="48" t="str">
        <f>IF(OR('2-3.設備仕様入力'!$H$110="電気式パッケージ形空調機",'2-3.設備仕様入力'!$H$110="ルームエアコン"),ROUND('2-3.設備仕様入力'!$H$117*'2-3.設備仕様入力'!$H$111*計算!$C$3*VLOOKUP('2-3.設備仕様入力'!$H$113,計算!$N$16:$P$26,3,FALSE)/1000,1),"")</f>
        <v/>
      </c>
      <c r="R35" s="48" t="str">
        <f t="shared" si="0"/>
        <v/>
      </c>
      <c r="S35" s="48" t="str">
        <f>IF('2-3.設備仕様入力'!$H$110="ガスヒートポンプ式空調機",IF('2-3.設備仕様入力'!$H$112="都市ガス",IF('2-3.設備仕様入力'!$H$118="kW",ROUND('2-3.設備仕様入力'!$H$111*'2-3.設備仕様入力'!$H$116*3.6/1000*VLOOKUP('2-3.設備仕様入力'!$H$113,計算!$N$16:$P$26,2,FALSE),1),""),""),"")</f>
        <v/>
      </c>
      <c r="T35" s="48" t="str">
        <f>IF('2-3.設備仕様入力'!$H$110="ガスヒートポンプ式空調機",IF('2-3.設備仕様入力'!$H$112="都市ガス",IF('2-3.設備仕様入力'!$H$118="kW",ROUND('2-3.設備仕様入力'!$H$111*'2-3.設備仕様入力'!$H$117*3.6/1000*VLOOKUP('2-3.設備仕様入力'!$H$113,計算!$N$16:$P$26,3,FALSE),1),""),""),"")</f>
        <v/>
      </c>
      <c r="U35" s="48" t="str">
        <f t="shared" si="1"/>
        <v/>
      </c>
      <c r="V35" s="48" t="str">
        <f>IF('2-3.設備仕様入力'!$H$110="ガスヒートポンプ式空調機",IF('2-3.設備仕様入力'!$H$118="ｍ3N/h",ROUND('2-3.設備仕様入力'!$H$111*'2-3.設備仕様入力'!$H$116*計算!$C$10/1000*VLOOKUP('2-3.設備仕様入力'!$H$113,計算!$N$16:$P$26,2,FALSE),1),""),"")</f>
        <v/>
      </c>
      <c r="W35" s="48" t="str">
        <f>IF('2-3.設備仕様入力'!$H$110="ガスヒートポンプ式空調機",IF('2-3.設備仕様入力'!$H$118="ｍ3N/h",ROUND('2-3.設備仕様入力'!$H$111*'2-3.設備仕様入力'!$H$117*計算!$C$10/1000*VLOOKUP('2-3.設備仕様入力'!$H$113,計算!$N$16:$P$26,3,FALSE),1),""),"")</f>
        <v/>
      </c>
      <c r="X35" s="48" t="str">
        <f t="shared" si="2"/>
        <v/>
      </c>
      <c r="Y35" s="48" t="str">
        <f>IF('2-3.設備仕様入力'!$H$110="ガスヒートポンプ式空調機",IF('2-3.設備仕様入力'!$H$112="LPG",IF('2-3.設備仕様入力'!$H$118="kW",ROUND('2-3.設備仕様入力'!$H$111*'2-3.設備仕様入力'!$H$116*3.6/1000*VLOOKUP('2-3.設備仕様入力'!$H$113,計算!$N$16:$P$26,2,FALSE),1),""),""),"")</f>
        <v/>
      </c>
      <c r="Z35" s="48" t="str">
        <f>IF('2-3.設備仕様入力'!$H$110="ガスヒートポンプ式空調機",IF('2-3.設備仕様入力'!$H$112="LPG",IF('2-3.設備仕様入力'!$H$118="kW",ROUND('2-3.設備仕様入力'!$H$111*'2-3.設備仕様入力'!$H$117*3.6/1000*VLOOKUP('2-3.設備仕様入力'!$H$113,計算!$N$16:$P$26,3,FALSE),1),""),""),"")</f>
        <v/>
      </c>
      <c r="AA35" s="48" t="str">
        <f t="shared" si="3"/>
        <v/>
      </c>
      <c r="AB35" s="48" t="str">
        <f>IF('2-3.設備仕様入力'!$H$110="ガスヒートポンプ式空調機",IF('2-3.設備仕様入力'!$H$112="LPG",IF('2-3.設備仕様入力'!$H$118="kg/h",ROUND('2-3.設備仕様入力'!$H$111*'2-3.設備仕様入力'!$H$116*計算!$C$11/1000*VLOOKUP('2-3.設備仕様入力'!$H$113,計算!$N$16:$P$26,2,FALSE),1),""),""),"")</f>
        <v/>
      </c>
      <c r="AC35" s="48" t="str">
        <f>IF('2-3.設備仕様入力'!$H$110="ガスヒートポンプ式空調機",IF('2-3.設備仕様入力'!$H$112="LPG",IF('2-3.設備仕様入力'!$H$118="kg/h",ROUND('2-3.設備仕様入力'!$H$111*'2-3.設備仕様入力'!$H$117*計算!$C$11/1000*VLOOKUP('2-3.設備仕様入力'!$H$113,計算!$N$16:$P$26,3,FALSE),1),""),""),"")</f>
        <v/>
      </c>
      <c r="AD35" s="48" t="str">
        <f t="shared" si="4"/>
        <v/>
      </c>
    </row>
    <row r="36" spans="3:30" ht="19.5" x14ac:dyDescent="0.45">
      <c r="I36" s="92" t="s">
        <v>201</v>
      </c>
      <c r="J36" s="19" t="str">
        <f>IF(ISERROR('4.エネルギー使用量'!$O$69/1000*$C$5*$C$7),"",ROUND('4.エネルギー使用量'!$O$69/1000*$C$5*$C$7,2))</f>
        <v/>
      </c>
      <c r="K36" s="13" t="str">
        <f>IF(ISERROR('4.エネルギー使用量'!$O$69/1000*$C$5*$E$5),"",ROUND('4.エネルギー使用量'!$O$69/1000*$C$5*$E$5,2))</f>
        <v/>
      </c>
      <c r="N36" s="90" t="s">
        <v>127</v>
      </c>
      <c r="O36" s="41" t="str">
        <f>IF(AND('2-3.設備仕様入力'!I$112="電気",'2-3.設備仕様入力'!I$118="kW"),1,IF(AND('2-3.設備仕様入力'!I$112="都市ガス",'2-3.設備仕様入力'!I$118="kW"),2,IF(AND('2-3.設備仕様入力'!I$112="都市ガス",'2-3.設備仕様入力'!I$118="ｍ3N/h"),3,IF(AND('2-3.設備仕様入力'!I$112="LPG",'2-3.設備仕様入力'!I$118="kW"),4,IF(AND('2-3.設備仕様入力'!I$112="LPG",'2-3.設備仕様入力'!I$118="kg/h"),5,"")))))</f>
        <v/>
      </c>
      <c r="P36" s="48" t="str">
        <f>IF(OR('2-3.設備仕様入力'!$I$110="電気式パッケージ形空調機",'2-3.設備仕様入力'!$I$110="ルームエアコン"),ROUND('2-3.設備仕様入力'!$I$116*'2-3.設備仕様入力'!$I$111*計算!$C$3*VLOOKUP('2-3.設備仕様入力'!$I$113,計算!$N$16:$P$26,2,FALSE)/1000,1),"")</f>
        <v/>
      </c>
      <c r="Q36" s="48" t="str">
        <f>IF(OR('2-3.設備仕様入力'!$I$110="電気式パッケージ形空調機",'2-3.設備仕様入力'!$I$110="ルームエアコン"),ROUND('2-3.設備仕様入力'!$I$117*'2-3.設備仕様入力'!$I$111*計算!$C$3*VLOOKUP('2-3.設備仕様入力'!$I$113,計算!$N$16:$P$26,3,FALSE)/1000,1),"")</f>
        <v/>
      </c>
      <c r="R36" s="48" t="str">
        <f t="shared" si="0"/>
        <v/>
      </c>
      <c r="S36" s="48" t="str">
        <f>IF('2-3.設備仕様入力'!$I$110="ガスヒートポンプ式空調機",IF('2-3.設備仕様入力'!$I$112="都市ガス",IF('2-3.設備仕様入力'!$I$118="kW",ROUND('2-3.設備仕様入力'!$I$111*'2-3.設備仕様入力'!$I$116*3.6/1000*VLOOKUP('2-3.設備仕様入力'!$I$113,計算!$N$16:$P$26,2,FALSE),1),""),""),"")</f>
        <v/>
      </c>
      <c r="T36" s="48" t="str">
        <f>IF('2-3.設備仕様入力'!$I$110="ガスヒートポンプ式空調機",IF('2-3.設備仕様入力'!$I$112="都市ガス",IF('2-3.設備仕様入力'!$I$118="kW",ROUND('2-3.設備仕様入力'!$I$111*'2-3.設備仕様入力'!$I$117*3.6/1000*VLOOKUP('2-3.設備仕様入力'!$I$113,計算!$N$16:$P$26,3,FALSE),1),""),""),"")</f>
        <v/>
      </c>
      <c r="U36" s="48" t="str">
        <f t="shared" si="1"/>
        <v/>
      </c>
      <c r="V36" s="48" t="str">
        <f>IF('2-3.設備仕様入力'!$I$110="ガスヒートポンプ式空調機",IF('2-3.設備仕様入力'!$I$118="ｍ3N/h",ROUND('2-3.設備仕様入力'!$I$111*'2-3.設備仕様入力'!$I$116*計算!$C$10/1000*VLOOKUP('2-3.設備仕様入力'!$I$113,計算!$N$16:$P$26,2,FALSE),1),""),"")</f>
        <v/>
      </c>
      <c r="W36" s="48" t="str">
        <f>IF('2-3.設備仕様入力'!$I$110="ガスヒートポンプ式空調機",IF('2-3.設備仕様入力'!$I$118="ｍ3N/h",ROUND('2-3.設備仕様入力'!$I$111*'2-3.設備仕様入力'!$I$117*計算!$C$10/1000*VLOOKUP('2-3.設備仕様入力'!$I$113,計算!$N$16:$P$26,3,FALSE),1),""),"")</f>
        <v/>
      </c>
      <c r="X36" s="48" t="str">
        <f t="shared" si="2"/>
        <v/>
      </c>
      <c r="Y36" s="48" t="str">
        <f>IF('2-3.設備仕様入力'!$I$110="ガスヒートポンプ式空調機",IF('2-3.設備仕様入力'!$I$112="LPG",IF('2-3.設備仕様入力'!$I$118="kW",ROUND('2-3.設備仕様入力'!$I$111*'2-3.設備仕様入力'!$I$116*3.6/1000*VLOOKUP('2-3.設備仕様入力'!$I$113,計算!$N$16:$P$26,2,FALSE),1),""),""),"")</f>
        <v/>
      </c>
      <c r="Z36" s="48" t="str">
        <f>IF('2-3.設備仕様入力'!$I$110="ガスヒートポンプ式空調機",IF('2-3.設備仕様入力'!$I$112="LPG",IF('2-3.設備仕様入力'!$I$118="kW",ROUND('2-3.設備仕様入力'!$I$111*'2-3.設備仕様入力'!$I$117*3.6/1000*VLOOKUP('2-3.設備仕様入力'!$I$113,計算!$N$16:$P$26,3,FALSE),1),""),""),"")</f>
        <v/>
      </c>
      <c r="AA36" s="48" t="str">
        <f t="shared" si="3"/>
        <v/>
      </c>
      <c r="AB36" s="48" t="str">
        <f>IF('2-3.設備仕様入力'!$I$110="ガスヒートポンプ式空調機",IF('2-3.設備仕様入力'!$I$112="LPG",IF('2-3.設備仕様入力'!$I$118="kg/h",ROUND('2-3.設備仕様入力'!$I$111*'2-3.設備仕様入力'!$I$116*計算!$C$11/1000*VLOOKUP('2-3.設備仕様入力'!$I$113,計算!$N$16:$P$26,2,FALSE),1),""),""),"")</f>
        <v/>
      </c>
      <c r="AC36" s="48" t="str">
        <f>IF('2-3.設備仕様入力'!$I$110="ガスヒートポンプ式空調機",IF('2-3.設備仕様入力'!$I$112="LPG",IF('2-3.設備仕様入力'!$I$118="kg/h",ROUND('2-3.設備仕様入力'!$I$111*'2-3.設備仕様入力'!$I$117*計算!$C$11/1000*VLOOKUP('2-3.設備仕様入力'!$I$113,計算!$N$16:$P$26,3,FALSE),1),""),""),"")</f>
        <v/>
      </c>
      <c r="AD36" s="48" t="str">
        <f t="shared" si="4"/>
        <v/>
      </c>
    </row>
    <row r="37" spans="3:30" ht="19.5" x14ac:dyDescent="0.45">
      <c r="F37" s="7"/>
      <c r="I37" s="92" t="s">
        <v>202</v>
      </c>
      <c r="J37" s="19" t="str">
        <f>IF(ISERROR('4.エネルギー使用量'!$O$69/1000*$C$6*$C$7),"",ROUND('4.エネルギー使用量'!$O$69/1000*$C$6*$C$7,2))</f>
        <v/>
      </c>
      <c r="K37" s="13" t="str">
        <f>IF(ISERROR('4.エネルギー使用量'!$O$69/1000*$C$6*$E$6),"",ROUND('4.エネルギー使用量'!$O$69/1000*$C$6*$E$6,2))</f>
        <v/>
      </c>
      <c r="N37" s="90" t="s">
        <v>128</v>
      </c>
      <c r="O37" s="41" t="str">
        <f>IF(AND('2-3.設備仕様入力'!J$112="電気",'2-3.設備仕様入力'!J$118="kW"),1,IF(AND('2-3.設備仕様入力'!J$112="都市ガス",'2-3.設備仕様入力'!J$118="kW"),2,IF(AND('2-3.設備仕様入力'!J$112="都市ガス",'2-3.設備仕様入力'!J$118="ｍ3N/h"),3,IF(AND('2-3.設備仕様入力'!J$112="LPG",'2-3.設備仕様入力'!J$118="kW"),4,IF(AND('2-3.設備仕様入力'!J$112="LPG",'2-3.設備仕様入力'!J$118="kg/h"),5,"")))))</f>
        <v/>
      </c>
      <c r="P37" s="48" t="str">
        <f>IF(OR('2-3.設備仕様入力'!$J$110="電気式パッケージ形空調機",'2-3.設備仕様入力'!$J$110="ルームエアコン"),ROUND('2-3.設備仕様入力'!$J$116*'2-3.設備仕様入力'!$J$111*計算!$C$3*VLOOKUP('2-3.設備仕様入力'!$J$113,計算!$N$16:$P$26,2,FALSE)/1000,1),"")</f>
        <v/>
      </c>
      <c r="Q37" s="48" t="str">
        <f>IF(OR('2-3.設備仕様入力'!$J$110="電気式パッケージ形空調機",'2-3.設備仕様入力'!$J$110="ルームエアコン"),ROUND('2-3.設備仕様入力'!$J$117*'2-3.設備仕様入力'!$J$111*計算!$C$3*VLOOKUP('2-3.設備仕様入力'!$J$113,計算!$N$16:$P$26,3,FALSE)/1000,1),"")</f>
        <v/>
      </c>
      <c r="R37" s="48" t="str">
        <f t="shared" si="0"/>
        <v/>
      </c>
      <c r="S37" s="48" t="str">
        <f>IF('2-3.設備仕様入力'!$J$110="ガスヒートポンプ式空調機",IF('2-3.設備仕様入力'!$J$112="都市ガス",IF('2-3.設備仕様入力'!$J$118="kW",ROUND('2-3.設備仕様入力'!$J$111*'2-3.設備仕様入力'!$J$116*3.6/1000*VLOOKUP('2-3.設備仕様入力'!$J$113,計算!$N$16:$P$26,2,FALSE),1),""),""),"")</f>
        <v/>
      </c>
      <c r="T37" s="48" t="str">
        <f>IF('2-3.設備仕様入力'!$J$110="ガスヒートポンプ式空調機",IF('2-3.設備仕様入力'!$J$112="都市ガス",IF('2-3.設備仕様入力'!$J$118="kW",ROUND('2-3.設備仕様入力'!$J$111*'2-3.設備仕様入力'!$J$117*3.6/1000*VLOOKUP('2-3.設備仕様入力'!$J$113,計算!$N$16:$P$26,3,FALSE),1),""),""),"")</f>
        <v/>
      </c>
      <c r="U37" s="48" t="str">
        <f t="shared" si="1"/>
        <v/>
      </c>
      <c r="V37" s="48" t="str">
        <f>IF('2-3.設備仕様入力'!$J$110="ガスヒートポンプ式空調機",IF('2-3.設備仕様入力'!$J$118="ｍ3N/h",ROUND('2-3.設備仕様入力'!$J$111*'2-3.設備仕様入力'!$J$116*計算!$C$10/1000*VLOOKUP('2-3.設備仕様入力'!$J$113,計算!$N$16:$P$26,2,FALSE),1),""),"")</f>
        <v/>
      </c>
      <c r="W37" s="48" t="str">
        <f>IF('2-3.設備仕様入力'!$J$110="ガスヒートポンプ式空調機",IF('2-3.設備仕様入力'!$J$118="ｍ3N/h",ROUND('2-3.設備仕様入力'!$J$111*'2-3.設備仕様入力'!$J$117*計算!$C$10/1000*VLOOKUP('2-3.設備仕様入力'!$J$113,計算!$N$16:$P$26,3,FALSE),1),""),"")</f>
        <v/>
      </c>
      <c r="X37" s="48" t="str">
        <f t="shared" si="2"/>
        <v/>
      </c>
      <c r="Y37" s="48" t="str">
        <f>IF('2-3.設備仕様入力'!$J$110="ガスヒートポンプ式空調機",IF('2-3.設備仕様入力'!$J$112="LPG",IF('2-3.設備仕様入力'!$J$118="kW",ROUND('2-3.設備仕様入力'!$J$111*'2-3.設備仕様入力'!$J$116*3.6/1000*VLOOKUP('2-3.設備仕様入力'!$J$113,計算!$N$16:$P$26,2,FALSE),1),""),""),"")</f>
        <v/>
      </c>
      <c r="Z37" s="48" t="str">
        <f>IF('2-3.設備仕様入力'!$J$110="ガスヒートポンプ式空調機",IF('2-3.設備仕様入力'!$J$112="LPG",IF('2-3.設備仕様入力'!$J$118="kW",ROUND('2-3.設備仕様入力'!$J$111*'2-3.設備仕様入力'!$J$117*3.6/1000*VLOOKUP('2-3.設備仕様入力'!$J$113,計算!$N$16:$P$26,3,FALSE),1),""),""),"")</f>
        <v/>
      </c>
      <c r="AA37" s="48" t="str">
        <f t="shared" si="3"/>
        <v/>
      </c>
      <c r="AB37" s="48" t="str">
        <f>IF('2-3.設備仕様入力'!$J$110="ガスヒートポンプ式空調機",IF('2-3.設備仕様入力'!$J$112="LPG",IF('2-3.設備仕様入力'!$J$118="kg/h",ROUND('2-3.設備仕様入力'!$J$111*'2-3.設備仕様入力'!$J$116*計算!$C$11/1000*VLOOKUP('2-3.設備仕様入力'!$J$113,計算!$N$16:$P$26,2,FALSE),1),""),""),"")</f>
        <v/>
      </c>
      <c r="AC37" s="48" t="str">
        <f>IF('2-3.設備仕様入力'!$J$110="ガスヒートポンプ式空調機",IF('2-3.設備仕様入力'!$J$112="LPG",IF('2-3.設備仕様入力'!$J$118="kg/h",ROUND('2-3.設備仕様入力'!$J$111*'2-3.設備仕様入力'!$J$117*計算!$C$11/1000*VLOOKUP('2-3.設備仕様入力'!$J$113,計算!$N$16:$P$26,3,FALSE),1),""),""),"")</f>
        <v/>
      </c>
      <c r="AD37" s="48" t="str">
        <f t="shared" si="4"/>
        <v/>
      </c>
    </row>
    <row r="38" spans="3:30" ht="19.5" x14ac:dyDescent="0.45">
      <c r="F38" s="7"/>
      <c r="I38" s="92" t="s">
        <v>196</v>
      </c>
      <c r="J38" s="14" t="str">
        <f>IF(ISERROR('4.エネルギー使用量'!$O$69/1000*$C$18*$C$7),"",ROUND('4.エネルギー使用量'!$O$69/1000*$C$18*$C$7,2))</f>
        <v/>
      </c>
      <c r="K38" s="13" t="str">
        <f>IF(ISERROR('4.エネルギー使用量'!$O$69/1000*$C$18*$E$18*$E$7),"",ROUND('4.エネルギー使用量'!$O$69/1000*$C$18*$E$18*$E$7,2))</f>
        <v/>
      </c>
      <c r="N38" s="90" t="s">
        <v>129</v>
      </c>
      <c r="O38" s="41" t="str">
        <f>IF(AND('2-3.設備仕様入力'!K$112="電気",'2-3.設備仕様入力'!K$118="kW"),1,IF(AND('2-3.設備仕様入力'!K$112="都市ガス",'2-3.設備仕様入力'!K$118="kW"),2,IF(AND('2-3.設備仕様入力'!K$112="都市ガス",'2-3.設備仕様入力'!K$118="ｍ3N/h"),3,IF(AND('2-3.設備仕様入力'!K$112="LPG",'2-3.設備仕様入力'!K$118="kW"),4,IF(AND('2-3.設備仕様入力'!K$112="LPG",'2-3.設備仕様入力'!K$118="kg/h"),5,"")))))</f>
        <v/>
      </c>
      <c r="P38" s="48" t="str">
        <f>IF(OR('2-3.設備仕様入力'!$K$110="電気式パッケージ形空調機",'2-3.設備仕様入力'!$K$110="ルームエアコン"),ROUND('2-3.設備仕様入力'!$K$116*'2-3.設備仕様入力'!$K$111*計算!$C$3*VLOOKUP('2-3.設備仕様入力'!$K$113,計算!$N$16:$P$26,2,FALSE)/1000,1),"")</f>
        <v/>
      </c>
      <c r="Q38" s="48" t="str">
        <f>IF(OR('2-3.設備仕様入力'!$K$110="電気式パッケージ形空調機",'2-3.設備仕様入力'!$K$110="ルームエアコン"),ROUND('2-3.設備仕様入力'!$K$117*'2-3.設備仕様入力'!$K$111*計算!$C$3*VLOOKUP('2-3.設備仕様入力'!$K$113,計算!$N$16:$P$26,3,FALSE)/1000,1),"")</f>
        <v/>
      </c>
      <c r="R38" s="48" t="str">
        <f t="shared" si="0"/>
        <v/>
      </c>
      <c r="S38" s="48" t="str">
        <f>IF('2-3.設備仕様入力'!$K$110="ガスヒートポンプ式空調機",IF('2-3.設備仕様入力'!$K$112="都市ガス",IF('2-3.設備仕様入力'!$K$118="kW",ROUND('2-3.設備仕様入力'!$K$111*'2-3.設備仕様入力'!$K$116*3.6/1000*VLOOKUP('2-3.設備仕様入力'!$K$113,計算!$N$16:$P$26,2,FALSE),1),""),""),"")</f>
        <v/>
      </c>
      <c r="T38" s="48" t="str">
        <f>IF('2-3.設備仕様入力'!$K$110="ガスヒートポンプ式空調機",IF('2-3.設備仕様入力'!$K$112="都市ガス",IF('2-3.設備仕様入力'!$K$118="kW",ROUND('2-3.設備仕様入力'!$K$111*'2-3.設備仕様入力'!$K$117*3.6/1000*VLOOKUP('2-3.設備仕様入力'!$K$113,計算!$N$16:$P$26,3,FALSE),1),""),""),"")</f>
        <v/>
      </c>
      <c r="U38" s="48" t="str">
        <f t="shared" si="1"/>
        <v/>
      </c>
      <c r="V38" s="48" t="str">
        <f>IF('2-3.設備仕様入力'!$K$110="ガスヒートポンプ式空調機",IF('2-3.設備仕様入力'!$K$118="ｍ3N/h",ROUND('2-3.設備仕様入力'!$K$111*'2-3.設備仕様入力'!$K$116*計算!$C$10/1000*VLOOKUP('2-3.設備仕様入力'!$K$113,計算!$N$16:$P$26,2,FALSE),1),""),"")</f>
        <v/>
      </c>
      <c r="W38" s="48" t="str">
        <f>IF('2-3.設備仕様入力'!$K$110="ガスヒートポンプ式空調機",IF('2-3.設備仕様入力'!$K$118="ｍ3N/h",ROUND('2-3.設備仕様入力'!$K$111*'2-3.設備仕様入力'!$K$117*計算!$C$10/1000*VLOOKUP('2-3.設備仕様入力'!$K$113,計算!$N$16:$P$26,3,FALSE),1),""),"")</f>
        <v/>
      </c>
      <c r="X38" s="48" t="str">
        <f t="shared" si="2"/>
        <v/>
      </c>
      <c r="Y38" s="48" t="str">
        <f>IF('2-3.設備仕様入力'!$K$110="ガスヒートポンプ式空調機",IF('2-3.設備仕様入力'!$K$112="LPG",IF('2-3.設備仕様入力'!$K$118="kW",ROUND('2-3.設備仕様入力'!$K$111*'2-3.設備仕様入力'!$K$116*3.6/1000*VLOOKUP('2-3.設備仕様入力'!$K$113,計算!$N$16:$P$26,2,FALSE),1),""),""),"")</f>
        <v/>
      </c>
      <c r="Z38" s="48" t="str">
        <f>IF('2-3.設備仕様入力'!$K$110="ガスヒートポンプ式空調機",IF('2-3.設備仕様入力'!$K$112="LPG",IF('2-3.設備仕様入力'!$K$118="kW",ROUND('2-3.設備仕様入力'!$K$111*'2-3.設備仕様入力'!$K$117*3.6/1000*VLOOKUP('2-3.設備仕様入力'!$K$113,計算!$N$16:$P$26,3,FALSE),1),""),""),"")</f>
        <v/>
      </c>
      <c r="AA38" s="48" t="str">
        <f t="shared" si="3"/>
        <v/>
      </c>
      <c r="AB38" s="48" t="str">
        <f>IF('2-3.設備仕様入力'!$K$110="ガスヒートポンプ式空調機",IF('2-3.設備仕様入力'!$K$112="LPG",IF('2-3.設備仕様入力'!$K$118="kg/h",ROUND('2-3.設備仕様入力'!$K$111*'2-3.設備仕様入力'!$K$116*計算!$C$11/1000*VLOOKUP('2-3.設備仕様入力'!$K$113,計算!$N$16:$P$26,2,FALSE),1),""),""),"")</f>
        <v/>
      </c>
      <c r="AC38" s="48" t="str">
        <f>IF('2-3.設備仕様入力'!$K$110="ガスヒートポンプ式空調機",IF('2-3.設備仕様入力'!$K$112="LPG",IF('2-3.設備仕様入力'!$K$118="kg/h",ROUND('2-3.設備仕様入力'!$K$111*'2-3.設備仕様入力'!$K$117*計算!$C$11/1000*VLOOKUP('2-3.設備仕様入力'!$K$113,計算!$N$16:$P$26,3,FALSE),1),""),""),"")</f>
        <v/>
      </c>
      <c r="AD38" s="48" t="str">
        <f t="shared" si="4"/>
        <v/>
      </c>
    </row>
    <row r="39" spans="3:30" ht="19.5" x14ac:dyDescent="0.45">
      <c r="F39" s="7"/>
      <c r="I39" s="92" t="s">
        <v>197</v>
      </c>
      <c r="J39" s="14" t="str">
        <f>IF(ISERROR('4.エネルギー使用量'!$O$69/1000*$C$19*$C$7),"",ROUND('4.エネルギー使用量'!$O$69/1000*$C$19*$C$7,2))</f>
        <v/>
      </c>
      <c r="K39" s="13" t="str">
        <f>IF(ISERROR('4.エネルギー使用量'!$O$69/1000*$C$19*$E$19*$E$7),"",ROUND('4.エネルギー使用量'!$O$69/1000*$C$19*$E$19*$E$7,2))</f>
        <v/>
      </c>
      <c r="N39" s="90" t="s">
        <v>130</v>
      </c>
      <c r="O39" s="41" t="str">
        <f>IF(AND('2-3.設備仕様入力'!L$112="電気",'2-3.設備仕様入力'!L$118="kW"),1,IF(AND('2-3.設備仕様入力'!L$112="都市ガス",'2-3.設備仕様入力'!L$118="kW"),2,IF(AND('2-3.設備仕様入力'!L$112="都市ガス",'2-3.設備仕様入力'!L$118="ｍ3N/h"),3,IF(AND('2-3.設備仕様入力'!L$112="LPG",'2-3.設備仕様入力'!L$118="kW"),4,IF(AND('2-3.設備仕様入力'!L$112="LPG",'2-3.設備仕様入力'!L$118="kg/h"),5,"")))))</f>
        <v/>
      </c>
      <c r="P39" s="48" t="str">
        <f>IF(OR('2-3.設備仕様入力'!$L$110="電気式パッケージ形空調機",'2-3.設備仕様入力'!$L$110="ルームエアコン"),ROUND('2-3.設備仕様入力'!$L$116*'2-3.設備仕様入力'!$L$111*計算!$C$3*VLOOKUP('2-3.設備仕様入力'!$L$113,計算!$N$16:$P$26,2,FALSE)/1000,1),"")</f>
        <v/>
      </c>
      <c r="Q39" s="48" t="str">
        <f>IF(OR('2-3.設備仕様入力'!$L$110="電気式パッケージ形空調機",'2-3.設備仕様入力'!$L$110="ルームエアコン"),ROUND('2-3.設備仕様入力'!$L$117*'2-3.設備仕様入力'!$L$111*計算!$C$3*VLOOKUP('2-3.設備仕様入力'!$L$113,計算!$N$16:$P$26,3,FALSE)/1000,1),"")</f>
        <v/>
      </c>
      <c r="R39" s="48" t="str">
        <f t="shared" si="0"/>
        <v/>
      </c>
      <c r="S39" s="48" t="str">
        <f>IF('2-3.設備仕様入力'!$L$110="ガスヒートポンプ式空調機",IF('2-3.設備仕様入力'!$L$112="都市ガス",IF('2-3.設備仕様入力'!$L$118="kW",ROUND('2-3.設備仕様入力'!$L$111*'2-3.設備仕様入力'!$L$116*3.6/1000*VLOOKUP('2-3.設備仕様入力'!$L$113,計算!$N$16:$P$26,2,FALSE),1),""),""),"")</f>
        <v/>
      </c>
      <c r="T39" s="48" t="str">
        <f>IF('2-3.設備仕様入力'!$L$110="ガスヒートポンプ式空調機",IF('2-3.設備仕様入力'!$L$112="都市ガス",IF('2-3.設備仕様入力'!$L$118="kW",ROUND('2-3.設備仕様入力'!$L$111*'2-3.設備仕様入力'!$L$117*3.6/1000*VLOOKUP('2-3.設備仕様入力'!$L$113,計算!$N$16:$P$26,3,FALSE),1),""),""),"")</f>
        <v/>
      </c>
      <c r="U39" s="48" t="str">
        <f t="shared" si="1"/>
        <v/>
      </c>
      <c r="V39" s="48" t="str">
        <f>IF('2-3.設備仕様入力'!$L$110="ガスヒートポンプ式空調機",IF('2-3.設備仕様入力'!$L$118="ｍ3N/h",ROUND('2-3.設備仕様入力'!$L$111*'2-3.設備仕様入力'!$L$116*計算!$C$10/1000*VLOOKUP('2-3.設備仕様入力'!$L$113,計算!$N$16:$P$26,2,FALSE),1),""),"")</f>
        <v/>
      </c>
      <c r="W39" s="48" t="str">
        <f>IF('2-3.設備仕様入力'!$L$110="ガスヒートポンプ式空調機",IF('2-3.設備仕様入力'!$L$118="ｍ3N/h",ROUND('2-3.設備仕様入力'!$L$111*'2-3.設備仕様入力'!$L$117*計算!$C$10/1000*VLOOKUP('2-3.設備仕様入力'!$L$113,計算!$N$16:$P$26,3,FALSE),1),""),"")</f>
        <v/>
      </c>
      <c r="X39" s="48" t="str">
        <f t="shared" si="2"/>
        <v/>
      </c>
      <c r="Y39" s="48" t="str">
        <f>IF('2-3.設備仕様入力'!$L$110="ガスヒートポンプ式空調機",IF('2-3.設備仕様入力'!$L$112="LPG",IF('2-3.設備仕様入力'!$L$118="kW",ROUND('2-3.設備仕様入力'!$L$111*'2-3.設備仕様入力'!$L$116*3.6/1000*VLOOKUP('2-3.設備仕様入力'!$L$113,計算!$N$16:$P$26,2,FALSE),1),""),""),"")</f>
        <v/>
      </c>
      <c r="Z39" s="48" t="str">
        <f>IF('2-3.設備仕様入力'!$L$110="ガスヒートポンプ式空調機",IF('2-3.設備仕様入力'!$L$112="LPG",IF('2-3.設備仕様入力'!$L$118="kW",ROUND('2-3.設備仕様入力'!$L$111*'2-3.設備仕様入力'!$L$117*3.6/1000*VLOOKUP('2-3.設備仕様入力'!$L$113,計算!$N$16:$P$26,3,FALSE),1),""),""),"")</f>
        <v/>
      </c>
      <c r="AA39" s="48" t="str">
        <f t="shared" si="3"/>
        <v/>
      </c>
      <c r="AB39" s="48" t="str">
        <f>IF('2-3.設備仕様入力'!$L$110="ガスヒートポンプ式空調機",IF('2-3.設備仕様入力'!$L$112="LPG",IF('2-3.設備仕様入力'!$L$118="kg/h",ROUND('2-3.設備仕様入力'!$L$111*'2-3.設備仕様入力'!$L$116*計算!$C$11/1000*VLOOKUP('2-3.設備仕様入力'!$L$113,計算!$N$16:$P$26,2,FALSE),1),""),""),"")</f>
        <v/>
      </c>
      <c r="AC39" s="48" t="str">
        <f>IF('2-3.設備仕様入力'!$L$110="ガスヒートポンプ式空調機",IF('2-3.設備仕様入力'!$L$112="LPG",IF('2-3.設備仕様入力'!$L$118="kg/h",ROUND('2-3.設備仕様入力'!$L$111*'2-3.設備仕様入力'!$L$117*計算!$C$11/1000*VLOOKUP('2-3.設備仕様入力'!$L$113,計算!$N$16:$P$26,3,FALSE),1),""),""),"")</f>
        <v/>
      </c>
      <c r="AD39" s="48" t="str">
        <f t="shared" si="4"/>
        <v/>
      </c>
    </row>
    <row r="40" spans="3:30" ht="19.5" x14ac:dyDescent="0.45">
      <c r="F40" s="7"/>
      <c r="I40" s="92" t="s">
        <v>198</v>
      </c>
      <c r="J40" s="14" t="str">
        <f>IF(ISERROR('4.エネルギー使用量'!$O$69/1000*$C$20*$C$7),"",ROUND('4.エネルギー使用量'!$O$69/1000*$C$20*$C$7,2))</f>
        <v/>
      </c>
      <c r="K40" s="13" t="str">
        <f>IF(ISERROR('4.エネルギー使用量'!$O$69/1000*$C$20*$E$20*$E$7),"",ROUND('4.エネルギー使用量'!$O$69/1000*$C$20*$E$20*$E$7,2))</f>
        <v/>
      </c>
      <c r="N40" s="90" t="s">
        <v>131</v>
      </c>
      <c r="O40" s="41" t="str">
        <f>IF(AND('2-3.設備仕様入力'!M$112="電気",'2-3.設備仕様入力'!M$118="kW"),1,IF(AND('2-3.設備仕様入力'!M$112="都市ガス",'2-3.設備仕様入力'!M$118="kW"),2,IF(AND('2-3.設備仕様入力'!M$112="都市ガス",'2-3.設備仕様入力'!M$118="ｍ3N/h"),3,IF(AND('2-3.設備仕様入力'!M$112="LPG",'2-3.設備仕様入力'!M$118="kW"),4,IF(AND('2-3.設備仕様入力'!M$112="LPG",'2-3.設備仕様入力'!M$118="kg/h"),5,"")))))</f>
        <v/>
      </c>
      <c r="P40" s="48" t="str">
        <f>IF(OR('2-3.設備仕様入力'!$M$110="電気式パッケージ形空調機",'2-3.設備仕様入力'!$M$110="ルームエアコン"),ROUND('2-3.設備仕様入力'!$M$116*'2-3.設備仕様入力'!$M$111*計算!$C$3*VLOOKUP('2-3.設備仕様入力'!$M$113,計算!$N$16:$P$26,2,FALSE)/1000,1),"")</f>
        <v/>
      </c>
      <c r="Q40" s="48" t="str">
        <f>IF(OR('2-3.設備仕様入力'!$M$110="電気式パッケージ形空調機",'2-3.設備仕様入力'!$M$110="ルームエアコン"),ROUND('2-3.設備仕様入力'!$M$117*'2-3.設備仕様入力'!$M$111*計算!$C$3*VLOOKUP('2-3.設備仕様入力'!$M$113,計算!$N$16:$P$26,3,FALSE)/1000,1),"")</f>
        <v/>
      </c>
      <c r="R40" s="48" t="str">
        <f t="shared" si="0"/>
        <v/>
      </c>
      <c r="S40" s="48" t="str">
        <f>IF('2-3.設備仕様入力'!$M$110="ガスヒートポンプ式空調機",IF('2-3.設備仕様入力'!$M$112="都市ガス",IF('2-3.設備仕様入力'!$M$118="kW",ROUND('2-3.設備仕様入力'!$M$111*'2-3.設備仕様入力'!$M$116*3.6/1000*VLOOKUP('2-3.設備仕様入力'!$M$113,計算!$N$16:$P$26,2,FALSE),1),""),""),"")</f>
        <v/>
      </c>
      <c r="T40" s="48" t="str">
        <f>IF('2-3.設備仕様入力'!$M$110="ガスヒートポンプ式空調機",IF('2-3.設備仕様入力'!$M$112="都市ガス",IF('2-3.設備仕様入力'!$M$118="kW",ROUND('2-3.設備仕様入力'!$M$111*'2-3.設備仕様入力'!$M$117*3.6/1000*VLOOKUP('2-3.設備仕様入力'!$M$113,計算!$N$16:$P$26,3,FALSE),1),""),""),"")</f>
        <v/>
      </c>
      <c r="U40" s="48" t="str">
        <f t="shared" si="1"/>
        <v/>
      </c>
      <c r="V40" s="48" t="str">
        <f>IF('2-3.設備仕様入力'!$M$110="ガスヒートポンプ式空調機",IF('2-3.設備仕様入力'!$M$118="ｍ3N/h",ROUND('2-3.設備仕様入力'!$M$111*'2-3.設備仕様入力'!$M$116*計算!$C$10/1000*VLOOKUP('2-3.設備仕様入力'!$M$113,計算!$N$16:$P$26,2,FALSE),1),""),"")</f>
        <v/>
      </c>
      <c r="W40" s="48" t="str">
        <f>IF('2-3.設備仕様入力'!$M$110="ガスヒートポンプ式空調機",IF('2-3.設備仕様入力'!$M$118="ｍ3N/h",ROUND('2-3.設備仕様入力'!$M$111*'2-3.設備仕様入力'!$M$117*計算!$C$10/1000*VLOOKUP('2-3.設備仕様入力'!$M$113,計算!$N$16:$P$26,3,FALSE),1),""),"")</f>
        <v/>
      </c>
      <c r="X40" s="48" t="str">
        <f t="shared" si="2"/>
        <v/>
      </c>
      <c r="Y40" s="48" t="str">
        <f>IF('2-3.設備仕様入力'!$M$110="ガスヒートポンプ式空調機",IF('2-3.設備仕様入力'!$M$112="LPG",IF('2-3.設備仕様入力'!$M$118="kW",ROUND('2-3.設備仕様入力'!$M$111*'2-3.設備仕様入力'!$M$116*3.6/1000*VLOOKUP('2-3.設備仕様入力'!$M$113,計算!$N$16:$P$26,2,FALSE),1),""),""),"")</f>
        <v/>
      </c>
      <c r="Z40" s="48" t="str">
        <f>IF('2-3.設備仕様入力'!$M$110="ガスヒートポンプ式空調機",IF('2-3.設備仕様入力'!$M$112="LPG",IF('2-3.設備仕様入力'!$M$118="kW",ROUND('2-3.設備仕様入力'!$M$111*'2-3.設備仕様入力'!$M$117*3.6/1000*VLOOKUP('2-3.設備仕様入力'!$M$113,計算!$N$16:$P$26,3,FALSE),1),""),""),"")</f>
        <v/>
      </c>
      <c r="AA40" s="48" t="str">
        <f t="shared" si="3"/>
        <v/>
      </c>
      <c r="AB40" s="48" t="str">
        <f>IF('2-3.設備仕様入力'!$M$110="ガスヒートポンプ式空調機",IF('2-3.設備仕様入力'!$M$112="LPG",IF('2-3.設備仕様入力'!$M$118="kg/h",ROUND('2-3.設備仕様入力'!$M$111*'2-3.設備仕様入力'!$M$116*計算!$C$11/1000*VLOOKUP('2-3.設備仕様入力'!$M$113,計算!$N$16:$P$26,2,FALSE),1),""),""),"")</f>
        <v/>
      </c>
      <c r="AC40" s="48" t="str">
        <f>IF('2-3.設備仕様入力'!$M$110="ガスヒートポンプ式空調機",IF('2-3.設備仕様入力'!$M$112="LPG",IF('2-3.設備仕様入力'!$M$118="kg/h",ROUND('2-3.設備仕様入力'!$M$111*'2-3.設備仕様入力'!$M$117*計算!$C$11/1000*VLOOKUP('2-3.設備仕様入力'!$M$113,計算!$N$16:$P$26,3,FALSE),1),""),""),"")</f>
        <v/>
      </c>
      <c r="AD40" s="48" t="str">
        <f t="shared" si="4"/>
        <v/>
      </c>
    </row>
    <row r="41" spans="3:30" ht="20.25" thickBot="1" x14ac:dyDescent="0.5">
      <c r="F41" s="7"/>
      <c r="I41" s="92" t="s">
        <v>199</v>
      </c>
      <c r="J41" s="11" t="str">
        <f>IF(ISERROR('4.エネルギー使用量'!$O$69/1000*$C$21*$C$7),"",ROUND('4.エネルギー使用量'!$O$69/1000*$C$21*$C$7,2))</f>
        <v/>
      </c>
      <c r="K41" s="10" t="str">
        <f>IF(ISERROR('4.エネルギー使用量'!$O$69/1000*$C$21*$E$21*$E$7),"",ROUND('4.エネルギー使用量'!$O$69/1000*$C$21*$E$21*$E$7,2))</f>
        <v/>
      </c>
      <c r="N41" s="90" t="s">
        <v>401</v>
      </c>
      <c r="O41" s="41" t="str">
        <f>IF(AND('2-3.設備仕様入力'!N$112="電気",'2-3.設備仕様入力'!N$118="kW"),1,IF(AND('2-3.設備仕様入力'!N$112="都市ガス",'2-3.設備仕様入力'!N$118="kW"),2,IF(AND('2-3.設備仕様入力'!N$112="都市ガス",'2-3.設備仕様入力'!N$118="ｍ3N/h"),3,IF(AND('2-3.設備仕様入力'!N$112="LPG",'2-3.設備仕様入力'!N$118="kW"),4,IF(AND('2-3.設備仕様入力'!N$112="LPG",'2-3.設備仕様入力'!N$118="kg/h"),5,"")))))</f>
        <v/>
      </c>
      <c r="P41" s="48" t="str">
        <f>IF(OR('2-3.設備仕様入力'!$N$110="電気式パッケージ形空調機",'2-3.設備仕様入力'!$N$110="ルームエアコン"),ROUND('2-3.設備仕様入力'!$N$116*'2-3.設備仕様入力'!$N$111*計算!$C$3*VLOOKUP('2-3.設備仕様入力'!$N$113,計算!$N$16:$P$26,2,FALSE)/1000,1),"")</f>
        <v/>
      </c>
      <c r="Q41" s="48" t="str">
        <f>IF(OR('2-3.設備仕様入力'!$N$110="電気式パッケージ形空調機",'2-3.設備仕様入力'!$N$110="ルームエアコン"),ROUND('2-3.設備仕様入力'!$N$117*'2-3.設備仕様入力'!$N$111*計算!$C$3*VLOOKUP('2-3.設備仕様入力'!$N$113,計算!$N$16:$P$26,3,FALSE)/1000,1),"")</f>
        <v/>
      </c>
      <c r="R41" s="48" t="str">
        <f t="shared" ref="R41:R50" si="5">IF(AND(P41="",Q41=""),"",P41+Q41)</f>
        <v/>
      </c>
      <c r="S41" s="48" t="str">
        <f>IF('2-3.設備仕様入力'!$N$110="ガスヒートポンプ式空調機",IF('2-3.設備仕様入力'!$N$112="都市ガス",IF('2-3.設備仕様入力'!$N$118="kW",ROUND('2-3.設備仕様入力'!$N$111*'2-3.設備仕様入力'!$N$116*3.6/1000*VLOOKUP('2-3.設備仕様入力'!$N$113,計算!$N$16:$P$26,2,FALSE),1),""),""),"")</f>
        <v/>
      </c>
      <c r="T41" s="48" t="str">
        <f>IF('2-3.設備仕様入力'!$N$110="ガスヒートポンプ式空調機",IF('2-3.設備仕様入力'!$N$112="都市ガス",IF('2-3.設備仕様入力'!$N$118="kW",ROUND('2-3.設備仕様入力'!$N$111*'2-3.設備仕様入力'!$N$117*3.6/1000*VLOOKUP('2-3.設備仕様入力'!$N$113,計算!$N$16:$P$26,3,FALSE),1),""),""),"")</f>
        <v/>
      </c>
      <c r="U41" s="48" t="str">
        <f t="shared" ref="U41:U50" si="6">IF(AND(S41="",T41=""),"",S41+T41)</f>
        <v/>
      </c>
      <c r="V41" s="48" t="str">
        <f>IF('2-3.設備仕様入力'!$N$110="ガスヒートポンプ式空調機",IF('2-3.設備仕様入力'!$N$118="ｍ3N/h",ROUND('2-3.設備仕様入力'!$N$111*'2-3.設備仕様入力'!$N$116*計算!$C$10/1000*VLOOKUP('2-3.設備仕様入力'!$N$113,計算!$N$16:$P$26,2,FALSE),1),""),"")</f>
        <v/>
      </c>
      <c r="W41" s="48" t="str">
        <f>IF('2-3.設備仕様入力'!$N$110="ガスヒートポンプ式空調機",IF('2-3.設備仕様入力'!$N$118="ｍ3N/h",ROUND('2-3.設備仕様入力'!$N$111*'2-3.設備仕様入力'!$N$117*計算!$C$10/1000*VLOOKUP('2-3.設備仕様入力'!$N$113,計算!$N$16:$P$26,3,FALSE),1),""),"")</f>
        <v/>
      </c>
      <c r="X41" s="48" t="str">
        <f t="shared" ref="X41:X50" si="7">IF(AND(V41="",W41=""),"",V41+W41)</f>
        <v/>
      </c>
      <c r="Y41" s="48" t="str">
        <f>IF('2-3.設備仕様入力'!$N$110="ガスヒートポンプ式空調機",IF('2-3.設備仕様入力'!$N$112="LPG",IF('2-3.設備仕様入力'!$N$118="kW",ROUND('2-3.設備仕様入力'!$N$111*'2-3.設備仕様入力'!$N$116*3.6/1000*VLOOKUP('2-3.設備仕様入力'!$N$113,計算!$N$16:$P$26,2,FALSE),1),""),""),"")</f>
        <v/>
      </c>
      <c r="Z41" s="48" t="str">
        <f>IF('2-3.設備仕様入力'!$N$110="ガスヒートポンプ式空調機",IF('2-3.設備仕様入力'!$N$112="LPG",IF('2-3.設備仕様入力'!$N$118="kW",ROUND('2-3.設備仕様入力'!$N$111*'2-3.設備仕様入力'!$N$117*3.6/1000*VLOOKUP('2-3.設備仕様入力'!$N$113,計算!$N$16:$P$26,3,FALSE),1),""),""),"")</f>
        <v/>
      </c>
      <c r="AA41" s="48" t="str">
        <f t="shared" ref="AA41:AA50" si="8">IF(AND(Y41="",Z41=""),"",Y41+Z41)</f>
        <v/>
      </c>
      <c r="AB41" s="48" t="str">
        <f>IF('2-3.設備仕様入力'!$N$110="ガスヒートポンプ式空調機",IF('2-3.設備仕様入力'!$N$112="LPG",IF('2-3.設備仕様入力'!$N$118="kg/h",ROUND('2-3.設備仕様入力'!$N$111*'2-3.設備仕様入力'!$N$116*計算!$C$11/1000*VLOOKUP('2-3.設備仕様入力'!$N$113,計算!$N$16:$P$26,2,FALSE),1),""),""),"")</f>
        <v/>
      </c>
      <c r="AC41" s="48" t="str">
        <f>IF('2-3.設備仕様入力'!$N$110="ガスヒートポンプ式空調機",IF('2-3.設備仕様入力'!$N$112="LPG",IF('2-3.設備仕様入力'!$N$118="kg/h",ROUND('2-3.設備仕様入力'!$N$111*'2-3.設備仕様入力'!$N$117*計算!$C$11/1000*VLOOKUP('2-3.設備仕様入力'!$N$113,計算!$N$16:$P$26,3,FALSE),1),""),""),"")</f>
        <v/>
      </c>
      <c r="AD41" s="48" t="str">
        <f t="shared" ref="AD41:AD50" si="9">IF(AND(AB41="",AC41=""),"",AB41+AC41)</f>
        <v/>
      </c>
    </row>
    <row r="42" spans="3:30" ht="20.25" thickBot="1" x14ac:dyDescent="0.5">
      <c r="F42" s="7"/>
      <c r="I42" s="92"/>
      <c r="J42" s="163"/>
      <c r="K42" s="163"/>
      <c r="N42" s="90" t="s">
        <v>402</v>
      </c>
      <c r="O42" s="41" t="str">
        <f>IF(AND('2-3.設備仕様入力'!O$112="電気",'2-3.設備仕様入力'!O$118="kW"),1,IF(AND('2-3.設備仕様入力'!O$112="都市ガス",'2-3.設備仕様入力'!O$118="kW"),2,IF(AND('2-3.設備仕様入力'!O$112="都市ガス",'2-3.設備仕様入力'!O$118="ｍ3N/h"),3,IF(AND('2-3.設備仕様入力'!O$112="LPG",'2-3.設備仕様入力'!O$118="kW"),4,IF(AND('2-3.設備仕様入力'!O$112="LPG",'2-3.設備仕様入力'!O$118="kg/h"),5,"")))))</f>
        <v/>
      </c>
      <c r="P42" s="48" t="str">
        <f>IF(OR('2-3.設備仕様入力'!$O$110="電気式パッケージ形空調機",'2-3.設備仕様入力'!$O$110="ルームエアコン"),ROUND('2-3.設備仕様入力'!$O$116*'2-3.設備仕様入力'!$O$111*計算!$C$3*VLOOKUP('2-3.設備仕様入力'!$O$113,計算!$N$16:$P$26,2,FALSE)/1000,1),"")</f>
        <v/>
      </c>
      <c r="Q42" s="48" t="str">
        <f>IF(OR('2-3.設備仕様入力'!$O$110="電気式パッケージ形空調機",'2-3.設備仕様入力'!$O$110="ルームエアコン"),ROUND('2-3.設備仕様入力'!$O$117*'2-3.設備仕様入力'!$O$111*計算!$C$3*VLOOKUP('2-3.設備仕様入力'!$O$113,計算!$N$16:$P$26,3,FALSE)/1000,1),"")</f>
        <v/>
      </c>
      <c r="R42" s="48" t="str">
        <f t="shared" si="5"/>
        <v/>
      </c>
      <c r="S42" s="48" t="str">
        <f>IF('2-3.設備仕様入力'!$O$110="ガスヒートポンプ式空調機",IF('2-3.設備仕様入力'!$O$112="都市ガス",IF('2-3.設備仕様入力'!$O$118="kW",ROUND('2-3.設備仕様入力'!$O$111*'2-3.設備仕様入力'!$O$116*3.6/1000*VLOOKUP('2-3.設備仕様入力'!$O$113,計算!$N$16:$P$26,2,FALSE),1),""),""),"")</f>
        <v/>
      </c>
      <c r="T42" s="48" t="str">
        <f>IF('2-3.設備仕様入力'!$O$110="ガスヒートポンプ式空調機",IF('2-3.設備仕様入力'!$O$112="都市ガス",IF('2-3.設備仕様入力'!$O$118="kW",ROUND('2-3.設備仕様入力'!$O$111*'2-3.設備仕様入力'!$O$117*3.6/1000*VLOOKUP('2-3.設備仕様入力'!$O$113,計算!$N$16:$P$26,3,FALSE),1),""),""),"")</f>
        <v/>
      </c>
      <c r="U42" s="48" t="str">
        <f t="shared" si="6"/>
        <v/>
      </c>
      <c r="V42" s="48" t="str">
        <f>IF('2-3.設備仕様入力'!$O$110="ガスヒートポンプ式空調機",IF('2-3.設備仕様入力'!$O$118="ｍ3N/h",ROUND('2-3.設備仕様入力'!$O$111*'2-3.設備仕様入力'!$O$116*計算!$C$10/1000*VLOOKUP('2-3.設備仕様入力'!$O$113,計算!$N$16:$P$26,2,FALSE),1),""),"")</f>
        <v/>
      </c>
      <c r="W42" s="48" t="str">
        <f>IF('2-3.設備仕様入力'!$O$110="ガスヒートポンプ式空調機",IF('2-3.設備仕様入力'!$O$118="ｍ3N/h",ROUND('2-3.設備仕様入力'!$O$111*'2-3.設備仕様入力'!$O$117*計算!$C$10/1000*VLOOKUP('2-3.設備仕様入力'!$O$113,計算!$N$16:$P$26,3,FALSE),1),""),"")</f>
        <v/>
      </c>
      <c r="X42" s="48" t="str">
        <f t="shared" si="7"/>
        <v/>
      </c>
      <c r="Y42" s="48" t="str">
        <f>IF('2-3.設備仕様入力'!$O$110="ガスヒートポンプ式空調機",IF('2-3.設備仕様入力'!$O$112="LPG",IF('2-3.設備仕様入力'!$O$118="kW",ROUND('2-3.設備仕様入力'!$O$111*'2-3.設備仕様入力'!$O$116*3.6/1000*VLOOKUP('2-3.設備仕様入力'!$O$113,計算!$N$16:$P$26,2,FALSE),1),""),""),"")</f>
        <v/>
      </c>
      <c r="Z42" s="48" t="str">
        <f>IF('2-3.設備仕様入力'!$O$110="ガスヒートポンプ式空調機",IF('2-3.設備仕様入力'!$O$112="LPG",IF('2-3.設備仕様入力'!$O$118="kW",ROUND('2-3.設備仕様入力'!$O$111*'2-3.設備仕様入力'!$O$117*3.6/1000*VLOOKUP('2-3.設備仕様入力'!$O$113,計算!$N$16:$P$26,3,FALSE),1),""),""),"")</f>
        <v/>
      </c>
      <c r="AA42" s="48" t="str">
        <f t="shared" si="8"/>
        <v/>
      </c>
      <c r="AB42" s="48" t="str">
        <f>IF('2-3.設備仕様入力'!$O$110="ガスヒートポンプ式空調機",IF('2-3.設備仕様入力'!$O$112="LPG",IF('2-3.設備仕様入力'!$O$118="kg/h",ROUND('2-3.設備仕様入力'!$O$111*'2-3.設備仕様入力'!$O$116*計算!$C$11/1000*VLOOKUP('2-3.設備仕様入力'!$O$113,計算!$N$16:$P$26,2,FALSE),1),""),""),"")</f>
        <v/>
      </c>
      <c r="AC42" s="48" t="str">
        <f>IF('2-3.設備仕様入力'!$O$110="ガスヒートポンプ式空調機",IF('2-3.設備仕様入力'!$O$112="LPG",IF('2-3.設備仕様入力'!$O$118="kg/h",ROUND('2-3.設備仕様入力'!$O$111*'2-3.設備仕様入力'!$O$117*計算!$C$11/1000*VLOOKUP('2-3.設備仕様入力'!$O$113,計算!$N$16:$P$26,3,FALSE),1),""),""),"")</f>
        <v/>
      </c>
      <c r="AD42" s="48" t="str">
        <f t="shared" si="9"/>
        <v/>
      </c>
    </row>
    <row r="43" spans="3:30" ht="19.5" x14ac:dyDescent="0.45">
      <c r="F43" s="7"/>
      <c r="I43" s="92" t="s">
        <v>493</v>
      </c>
      <c r="J43" s="16" t="s">
        <v>20</v>
      </c>
      <c r="K43" s="15" t="s">
        <v>19</v>
      </c>
      <c r="N43" s="90" t="s">
        <v>403</v>
      </c>
      <c r="O43" s="41" t="str">
        <f>IF(AND('2-3.設備仕様入力'!P$112="電気",'2-3.設備仕様入力'!P$118="kW"),1,IF(AND('2-3.設備仕様入力'!P$112="都市ガス",'2-3.設備仕様入力'!P$118="kW"),2,IF(AND('2-3.設備仕様入力'!P$112="都市ガス",'2-3.設備仕様入力'!P$118="ｍ3N/h"),3,IF(AND('2-3.設備仕様入力'!P$112="LPG",'2-3.設備仕様入力'!P$118="kW"),4,IF(AND('2-3.設備仕様入力'!P$112="LPG",'2-3.設備仕様入力'!P$118="kg/h"),5,"")))))</f>
        <v/>
      </c>
      <c r="P43" s="48" t="str">
        <f>IF(OR('2-3.設備仕様入力'!$P$110="電気式パッケージ形空調機",'2-3.設備仕様入力'!$P$110="ルームエアコン"),ROUND('2-3.設備仕様入力'!$P$116*'2-3.設備仕様入力'!$P$111*計算!$C$3*VLOOKUP('2-3.設備仕様入力'!$P$113,計算!$N$16:$P$26,2,FALSE)/1000,1),"")</f>
        <v/>
      </c>
      <c r="Q43" s="48" t="str">
        <f>IF(OR('2-3.設備仕様入力'!$P$110="電気式パッケージ形空調機",'2-3.設備仕様入力'!$P$110="ルームエアコン"),ROUND('2-3.設備仕様入力'!$P$117*'2-3.設備仕様入力'!$P$111*計算!$C$3*VLOOKUP('2-3.設備仕様入力'!$P$113,計算!$N$16:$P$26,3,FALSE)/1000,1),"")</f>
        <v/>
      </c>
      <c r="R43" s="48" t="str">
        <f t="shared" si="5"/>
        <v/>
      </c>
      <c r="S43" s="48" t="str">
        <f>IF('2-3.設備仕様入力'!$P$110="ガスヒートポンプ式空調機",IF('2-3.設備仕様入力'!$P$112="都市ガス",IF('2-3.設備仕様入力'!$P$118="kW",ROUND('2-3.設備仕様入力'!$P$111*'2-3.設備仕様入力'!$P$116*3.6/1000*VLOOKUP('2-3.設備仕様入力'!$P$113,計算!$N$16:$P$26,2,FALSE),1),""),""),"")</f>
        <v/>
      </c>
      <c r="T43" s="48" t="str">
        <f>IF('2-3.設備仕様入力'!$P$110="ガスヒートポンプ式空調機",IF('2-3.設備仕様入力'!$P$112="都市ガス",IF('2-3.設備仕様入力'!$P$118="kW",ROUND('2-3.設備仕様入力'!$P$111*'2-3.設備仕様入力'!$P$117*3.6/1000*VLOOKUP('2-3.設備仕様入力'!$P$113,計算!$N$16:$P$26,3,FALSE),1),""),""),"")</f>
        <v/>
      </c>
      <c r="U43" s="48" t="str">
        <f t="shared" si="6"/>
        <v/>
      </c>
      <c r="V43" s="48" t="str">
        <f>IF('2-3.設備仕様入力'!$P$110="ガスヒートポンプ式空調機",IF('2-3.設備仕様入力'!$P$118="ｍ3N/h",ROUND('2-3.設備仕様入力'!$P$111*'2-3.設備仕様入力'!$P$116*計算!$C$10/1000*VLOOKUP('2-3.設備仕様入力'!$P$113,計算!$N$16:$P$26,2,FALSE),1),""),"")</f>
        <v/>
      </c>
      <c r="W43" s="48" t="str">
        <f>IF('2-3.設備仕様入力'!$P$110="ガスヒートポンプ式空調機",IF('2-3.設備仕様入力'!$P$118="ｍ3N/h",ROUND('2-3.設備仕様入力'!$P$111*'2-3.設備仕様入力'!$P$117*計算!$C$10/1000*VLOOKUP('2-3.設備仕様入力'!$P$113,計算!$N$16:$P$26,3,FALSE),1),""),"")</f>
        <v/>
      </c>
      <c r="X43" s="48" t="str">
        <f t="shared" si="7"/>
        <v/>
      </c>
      <c r="Y43" s="48" t="str">
        <f>IF('2-3.設備仕様入力'!$P$110="ガスヒートポンプ式空調機",IF('2-3.設備仕様入力'!$P$112="LPG",IF('2-3.設備仕様入力'!$P$118="kW",ROUND('2-3.設備仕様入力'!$P$111*'2-3.設備仕様入力'!$P$116*3.6/1000*VLOOKUP('2-3.設備仕様入力'!$P$113,計算!$N$16:$P$26,2,FALSE),1),""),""),"")</f>
        <v/>
      </c>
      <c r="Z43" s="48" t="str">
        <f>IF('2-3.設備仕様入力'!$P$110="ガスヒートポンプ式空調機",IF('2-3.設備仕様入力'!$P$112="LPG",IF('2-3.設備仕様入力'!$P$118="kW",ROUND('2-3.設備仕様入力'!$P$111*'2-3.設備仕様入力'!$P$117*3.6/1000*VLOOKUP('2-3.設備仕様入力'!$P$113,計算!$N$16:$P$26,3,FALSE),1),""),""),"")</f>
        <v/>
      </c>
      <c r="AA43" s="48" t="str">
        <f t="shared" si="8"/>
        <v/>
      </c>
      <c r="AB43" s="48" t="str">
        <f>IF('2-3.設備仕様入力'!$P$110="ガスヒートポンプ式空調機",IF('2-3.設備仕様入力'!$P$112="LPG",IF('2-3.設備仕様入力'!$P$118="kg/h",ROUND('2-3.設備仕様入力'!$P$111*'2-3.設備仕様入力'!$P$116*計算!$C$11/1000*VLOOKUP('2-3.設備仕様入力'!$P$113,計算!$N$16:$P$26,2,FALSE),1),""),""),"")</f>
        <v/>
      </c>
      <c r="AC43" s="48" t="str">
        <f>IF('2-3.設備仕様入力'!$P$110="ガスヒートポンプ式空調機",IF('2-3.設備仕様入力'!$P$112="LPG",IF('2-3.設備仕様入力'!$P$118="kg/h",ROUND('2-3.設備仕様入力'!$P$111*'2-3.設備仕様入力'!$P$117*計算!$C$11/1000*VLOOKUP('2-3.設備仕様入力'!$P$113,計算!$N$16:$P$26,3,FALSE),1),""),""),"")</f>
        <v/>
      </c>
      <c r="AD43" s="48" t="str">
        <f t="shared" si="9"/>
        <v/>
      </c>
    </row>
    <row r="44" spans="3:30" ht="19.5" x14ac:dyDescent="0.45">
      <c r="F44" s="7"/>
      <c r="I44" s="92" t="s">
        <v>200</v>
      </c>
      <c r="J44" s="19" t="str">
        <f>IF(ISERROR('4.エネルギー使用量'!$O$80/1000*$C$4*$C$7),"",ROUND('4.エネルギー使用量'!$O$80/1000*$C$4*$C$7,2))</f>
        <v/>
      </c>
      <c r="K44" s="13" t="str">
        <f>IF(ISERROR('4.エネルギー使用量'!$O$80/1000*$C$4*$E$4),"",ROUND('4.エネルギー使用量'!$O$80/1000*$C$4*$E$4,2))</f>
        <v/>
      </c>
      <c r="N44" s="90" t="s">
        <v>404</v>
      </c>
      <c r="O44" s="41" t="str">
        <f>IF(AND('2-3.設備仕様入力'!Q$112="電気",'2-3.設備仕様入力'!Q$118="kW"),1,IF(AND('2-3.設備仕様入力'!Q$112="都市ガス",'2-3.設備仕様入力'!Q$118="kW"),2,IF(AND('2-3.設備仕様入力'!Q$112="都市ガス",'2-3.設備仕様入力'!Q$118="ｍ3N/h"),3,IF(AND('2-3.設備仕様入力'!Q$112="LPG",'2-3.設備仕様入力'!Q$118="kW"),4,IF(AND('2-3.設備仕様入力'!Q$112="LPG",'2-3.設備仕様入力'!Q$118="kg/h"),5,"")))))</f>
        <v/>
      </c>
      <c r="P44" s="48" t="str">
        <f>IF(OR('2-3.設備仕様入力'!$Q$110="電気式パッケージ形空調機",'2-3.設備仕様入力'!$Q$110="ルームエアコン"),ROUND('2-3.設備仕様入力'!$Q$116*'2-3.設備仕様入力'!$Q$111*計算!$C$3*VLOOKUP('2-3.設備仕様入力'!$Q$113,計算!$N$16:$P$26,2,FALSE)/1000,1),"")</f>
        <v/>
      </c>
      <c r="Q44" s="48" t="str">
        <f>IF(OR('2-3.設備仕様入力'!$Q$110="電気式パッケージ形空調機",'2-3.設備仕様入力'!$Q$110="ルームエアコン"),ROUND('2-3.設備仕様入力'!$Q$117*'2-3.設備仕様入力'!$Q$111*計算!$C$3*VLOOKUP('2-3.設備仕様入力'!$Q$113,計算!$N$16:$P$26,3,FALSE)/1000,1),"")</f>
        <v/>
      </c>
      <c r="R44" s="48" t="str">
        <f t="shared" si="5"/>
        <v/>
      </c>
      <c r="S44" s="48" t="str">
        <f>IF('2-3.設備仕様入力'!$Q$110="ガスヒートポンプ式空調機",IF('2-3.設備仕様入力'!$Q$112="都市ガス",IF('2-3.設備仕様入力'!$Q$118="kW",ROUND('2-3.設備仕様入力'!$Q$111*'2-3.設備仕様入力'!$Q$116*3.6/1000*VLOOKUP('2-3.設備仕様入力'!$Q$113,計算!$N$16:$P$26,2,FALSE),1),""),""),"")</f>
        <v/>
      </c>
      <c r="T44" s="48" t="str">
        <f>IF('2-3.設備仕様入力'!$Q$110="ガスヒートポンプ式空調機",IF('2-3.設備仕様入力'!$Q$112="都市ガス",IF('2-3.設備仕様入力'!$Q$118="kW",ROUND('2-3.設備仕様入力'!$Q$111*'2-3.設備仕様入力'!$Q$117*3.6/1000*VLOOKUP('2-3.設備仕様入力'!$Q$113,計算!$N$16:$P$26,3,FALSE),1),""),""),"")</f>
        <v/>
      </c>
      <c r="U44" s="48" t="str">
        <f t="shared" si="6"/>
        <v/>
      </c>
      <c r="V44" s="48" t="str">
        <f>IF('2-3.設備仕様入力'!$Q$110="ガスヒートポンプ式空調機",IF('2-3.設備仕様入力'!$Q$118="ｍ3N/h",ROUND('2-3.設備仕様入力'!$Q$111*'2-3.設備仕様入力'!$Q$116*計算!$C$10/1000*VLOOKUP('2-3.設備仕様入力'!$Q$113,計算!$N$16:$P$26,2,FALSE),1),""),"")</f>
        <v/>
      </c>
      <c r="W44" s="48" t="str">
        <f>IF('2-3.設備仕様入力'!$Q$110="ガスヒートポンプ式空調機",IF('2-3.設備仕様入力'!$Q$118="ｍ3N/h",ROUND('2-3.設備仕様入力'!$Q$111*'2-3.設備仕様入力'!$Q$117*計算!$C$10/1000*VLOOKUP('2-3.設備仕様入力'!$Q$113,計算!$N$16:$P$26,3,FALSE),1),""),"")</f>
        <v/>
      </c>
      <c r="X44" s="48" t="str">
        <f t="shared" si="7"/>
        <v/>
      </c>
      <c r="Y44" s="48" t="str">
        <f>IF('2-3.設備仕様入力'!$Q$110="ガスヒートポンプ式空調機",IF('2-3.設備仕様入力'!$Q$112="LPG",IF('2-3.設備仕様入力'!$Q$118="kW",ROUND('2-3.設備仕様入力'!$Q$111*'2-3.設備仕様入力'!$Q$116*3.6/1000*VLOOKUP('2-3.設備仕様入力'!$Q$113,計算!$N$16:$P$26,2,FALSE),1),""),""),"")</f>
        <v/>
      </c>
      <c r="Z44" s="48" t="str">
        <f>IF('2-3.設備仕様入力'!$Q$110="ガスヒートポンプ式空調機",IF('2-3.設備仕様入力'!$Q$112="LPG",IF('2-3.設備仕様入力'!$Q$118="kW",ROUND('2-3.設備仕様入力'!$Q$111*'2-3.設備仕様入力'!$Q$117*3.6/1000*VLOOKUP('2-3.設備仕様入力'!$Q$113,計算!$N$16:$P$26,3,FALSE),1),""),""),"")</f>
        <v/>
      </c>
      <c r="AA44" s="48" t="str">
        <f t="shared" si="8"/>
        <v/>
      </c>
      <c r="AB44" s="48" t="str">
        <f>IF('2-3.設備仕様入力'!$Q$110="ガスヒートポンプ式空調機",IF('2-3.設備仕様入力'!$Q$112="LPG",IF('2-3.設備仕様入力'!$Q$118="kg/h",ROUND('2-3.設備仕様入力'!$Q$111*'2-3.設備仕様入力'!$Q$116*計算!$C$11/1000*VLOOKUP('2-3.設備仕様入力'!$Q$113,計算!$N$16:$P$26,2,FALSE),1),""),""),"")</f>
        <v/>
      </c>
      <c r="AC44" s="48" t="str">
        <f>IF('2-3.設備仕様入力'!$Q$110="ガスヒートポンプ式空調機",IF('2-3.設備仕様入力'!$Q$112="LPG",IF('2-3.設備仕様入力'!$Q$118="kg/h",ROUND('2-3.設備仕様入力'!$Q$111*'2-3.設備仕様入力'!$Q$117*計算!$C$11/1000*VLOOKUP('2-3.設備仕様入力'!$Q$113,計算!$N$16:$P$26,3,FALSE),1),""),""),"")</f>
        <v/>
      </c>
      <c r="AD44" s="48" t="str">
        <f t="shared" si="9"/>
        <v/>
      </c>
    </row>
    <row r="45" spans="3:30" ht="19.5" x14ac:dyDescent="0.45">
      <c r="F45" s="7"/>
      <c r="I45" s="92" t="s">
        <v>201</v>
      </c>
      <c r="J45" s="19" t="str">
        <f>IF(ISERROR('4.エネルギー使用量'!$O$80/1000*$C$5*$C$7),"",ROUND('4.エネルギー使用量'!$O$80/1000*$C$5*$C$7,2))</f>
        <v/>
      </c>
      <c r="K45" s="13" t="str">
        <f>IF(ISERROR('4.エネルギー使用量'!$O$80/1000*$C$5*$E$5),"",ROUND('4.エネルギー使用量'!$O$80/1000*$C$5*$E$5,2))</f>
        <v/>
      </c>
      <c r="N45" s="90" t="s">
        <v>405</v>
      </c>
      <c r="O45" s="41" t="str">
        <f>IF(AND('2-3.設備仕様入力'!R$112="電気",'2-3.設備仕様入力'!R$118="kW"),1,IF(AND('2-3.設備仕様入力'!R$112="都市ガス",'2-3.設備仕様入力'!R$118="kW"),2,IF(AND('2-3.設備仕様入力'!R$112="都市ガス",'2-3.設備仕様入力'!R$118="ｍ3N/h"),3,IF(AND('2-3.設備仕様入力'!R$112="LPG",'2-3.設備仕様入力'!R$118="kW"),4,IF(AND('2-3.設備仕様入力'!R$112="LPG",'2-3.設備仕様入力'!R$118="kg/h"),5,"")))))</f>
        <v/>
      </c>
      <c r="P45" s="48" t="str">
        <f>IF(OR('2-3.設備仕様入力'!$R$110="電気式パッケージ形空調機",'2-3.設備仕様入力'!$R$110="ルームエアコン"),ROUND('2-3.設備仕様入力'!$R$116*'2-3.設備仕様入力'!$R$111*計算!$C$3*VLOOKUP('2-3.設備仕様入力'!$R$113,計算!$N$16:$P$26,2,FALSE)/1000,1),"")</f>
        <v/>
      </c>
      <c r="Q45" s="48" t="str">
        <f>IF(OR('2-3.設備仕様入力'!$R$110="電気式パッケージ形空調機",'2-3.設備仕様入力'!$R$110="ルームエアコン"),ROUND('2-3.設備仕様入力'!$R$117*'2-3.設備仕様入力'!$R$111*計算!$C$3*VLOOKUP('2-3.設備仕様入力'!$R$113,計算!$N$16:$P$26,3,FALSE)/1000,1),"")</f>
        <v/>
      </c>
      <c r="R45" s="48" t="str">
        <f t="shared" si="5"/>
        <v/>
      </c>
      <c r="S45" s="48" t="str">
        <f>IF('2-3.設備仕様入力'!$R$110="ガスヒートポンプ式空調機",IF('2-3.設備仕様入力'!$R$112="都市ガス",IF('2-3.設備仕様入力'!$R$118="kW",ROUND('2-3.設備仕様入力'!$R$111*'2-3.設備仕様入力'!$R$116*3.6/1000*VLOOKUP('2-3.設備仕様入力'!$R$113,計算!$N$16:$P$26,2,FALSE),1),""),""),"")</f>
        <v/>
      </c>
      <c r="T45" s="48" t="str">
        <f>IF('2-3.設備仕様入力'!$R$110="ガスヒートポンプ式空調機",IF('2-3.設備仕様入力'!$R$112="都市ガス",IF('2-3.設備仕様入力'!$R$118="kW",ROUND('2-3.設備仕様入力'!$R$111*'2-3.設備仕様入力'!$R$117*3.6/1000*VLOOKUP('2-3.設備仕様入力'!$R$113,計算!$N$16:$P$26,3,FALSE),1),""),""),"")</f>
        <v/>
      </c>
      <c r="U45" s="48" t="str">
        <f t="shared" si="6"/>
        <v/>
      </c>
      <c r="V45" s="48" t="str">
        <f>IF('2-3.設備仕様入力'!$R$110="ガスヒートポンプ式空調機",IF('2-3.設備仕様入力'!$R$118="ｍ3N/h",ROUND('2-3.設備仕様入力'!$R$111*'2-3.設備仕様入力'!$R$116*計算!$C$10/1000*VLOOKUP('2-3.設備仕様入力'!$R$113,計算!$N$16:$P$26,2,FALSE),1),""),"")</f>
        <v/>
      </c>
      <c r="W45" s="48" t="str">
        <f>IF('2-3.設備仕様入力'!$R$110="ガスヒートポンプ式空調機",IF('2-3.設備仕様入力'!$R$118="ｍ3N/h",ROUND('2-3.設備仕様入力'!$R$111*'2-3.設備仕様入力'!$R$117*計算!$C$10/1000*VLOOKUP('2-3.設備仕様入力'!$R$113,計算!$N$16:$P$26,3,FALSE),1),""),"")</f>
        <v/>
      </c>
      <c r="X45" s="48" t="str">
        <f t="shared" si="7"/>
        <v/>
      </c>
      <c r="Y45" s="48" t="str">
        <f>IF('2-3.設備仕様入力'!$R$110="ガスヒートポンプ式空調機",IF('2-3.設備仕様入力'!$R$112="LPG",IF('2-3.設備仕様入力'!$R$118="kW",ROUND('2-3.設備仕様入力'!$R$111*'2-3.設備仕様入力'!$R$116*3.6/1000*VLOOKUP('2-3.設備仕様入力'!$R$113,計算!$N$16:$P$26,2,FALSE),1),""),""),"")</f>
        <v/>
      </c>
      <c r="Z45" s="48" t="str">
        <f>IF('2-3.設備仕様入力'!$R$110="ガスヒートポンプ式空調機",IF('2-3.設備仕様入力'!$R$112="LPG",IF('2-3.設備仕様入力'!$R$118="kW",ROUND('2-3.設備仕様入力'!$R$111*'2-3.設備仕様入力'!$R$117*3.6/1000*VLOOKUP('2-3.設備仕様入力'!$R$113,計算!$N$16:$P$26,3,FALSE),1),""),""),"")</f>
        <v/>
      </c>
      <c r="AA45" s="48" t="str">
        <f t="shared" si="8"/>
        <v/>
      </c>
      <c r="AB45" s="48" t="str">
        <f>IF('2-3.設備仕様入力'!$R$110="ガスヒートポンプ式空調機",IF('2-3.設備仕様入力'!$R$112="LPG",IF('2-3.設備仕様入力'!$R$118="kg/h",ROUND('2-3.設備仕様入力'!$R$111*'2-3.設備仕様入力'!$R$116*計算!$C$11/1000*VLOOKUP('2-3.設備仕様入力'!$R$113,計算!$N$16:$P$26,2,FALSE),1),""),""),"")</f>
        <v/>
      </c>
      <c r="AC45" s="48" t="str">
        <f>IF('2-3.設備仕様入力'!$R$110="ガスヒートポンプ式空調機",IF('2-3.設備仕様入力'!$R$112="LPG",IF('2-3.設備仕様入力'!$R$118="kg/h",ROUND('2-3.設備仕様入力'!$R$111*'2-3.設備仕様入力'!$R$117*計算!$C$11/1000*VLOOKUP('2-3.設備仕様入力'!$R$113,計算!$N$16:$P$26,3,FALSE),1),""),""),"")</f>
        <v/>
      </c>
      <c r="AD45" s="48" t="str">
        <f t="shared" si="9"/>
        <v/>
      </c>
    </row>
    <row r="46" spans="3:30" ht="19.5" x14ac:dyDescent="0.45">
      <c r="F46" s="7"/>
      <c r="I46" s="92" t="s">
        <v>202</v>
      </c>
      <c r="J46" s="19" t="str">
        <f>IF(ISERROR('4.エネルギー使用量'!$O$80/1000*$C$6*$C$7),"",ROUND('4.エネルギー使用量'!$O$80/1000*$C$6*$C$7,2))</f>
        <v/>
      </c>
      <c r="K46" s="13" t="str">
        <f>IF(ISERROR('4.エネルギー使用量'!$O$80/1000*$C$6*$E$6),"",ROUND('4.エネルギー使用量'!$O$80/1000*$C$6*$E$6,2))</f>
        <v/>
      </c>
      <c r="N46" s="90" t="s">
        <v>406</v>
      </c>
      <c r="O46" s="41" t="str">
        <f>IF(AND('2-3.設備仕様入力'!S$112="電気",'2-3.設備仕様入力'!S$118="kW"),1,IF(AND('2-3.設備仕様入力'!S$112="都市ガス",'2-3.設備仕様入力'!S$118="kW"),2,IF(AND('2-3.設備仕様入力'!S$112="都市ガス",'2-3.設備仕様入力'!S$118="ｍ3N/h"),3,IF(AND('2-3.設備仕様入力'!S$112="LPG",'2-3.設備仕様入力'!S$118="kW"),4,IF(AND('2-3.設備仕様入力'!S$112="LPG",'2-3.設備仕様入力'!S$118="kg/h"),5,"")))))</f>
        <v/>
      </c>
      <c r="P46" s="48" t="str">
        <f>IF(OR('2-3.設備仕様入力'!$S$110="電気式パッケージ形空調機",'2-3.設備仕様入力'!$S$110="ルームエアコン"),ROUND('2-3.設備仕様入力'!$S$116*'2-3.設備仕様入力'!$S$111*計算!$C$3*VLOOKUP('2-3.設備仕様入力'!$S$113,計算!$N$16:$P$26,2,FALSE)/1000,1),"")</f>
        <v/>
      </c>
      <c r="Q46" s="48" t="str">
        <f>IF(OR('2-3.設備仕様入力'!$S$110="電気式パッケージ形空調機",'2-3.設備仕様入力'!$S$110="ルームエアコン"),ROUND('2-3.設備仕様入力'!$S$117*'2-3.設備仕様入力'!$S$111*計算!$C$3*VLOOKUP('2-3.設備仕様入力'!$S$113,計算!$N$16:$P$26,3,FALSE)/1000,1),"")</f>
        <v/>
      </c>
      <c r="R46" s="48" t="str">
        <f t="shared" si="5"/>
        <v/>
      </c>
      <c r="S46" s="48" t="str">
        <f>IF('2-3.設備仕様入力'!$S$110="ガスヒートポンプ式空調機",IF('2-3.設備仕様入力'!$S$112="都市ガス",IF('2-3.設備仕様入力'!$S$118="kW",ROUND('2-3.設備仕様入力'!$S$111*'2-3.設備仕様入力'!$S$116*3.6/1000*VLOOKUP('2-3.設備仕様入力'!$S$113,計算!$N$16:$P$26,2,FALSE),1),""),""),"")</f>
        <v/>
      </c>
      <c r="T46" s="48" t="str">
        <f>IF('2-3.設備仕様入力'!$S$110="ガスヒートポンプ式空調機",IF('2-3.設備仕様入力'!$S$112="都市ガス",IF('2-3.設備仕様入力'!$S$118="kW",ROUND('2-3.設備仕様入力'!$S$111*'2-3.設備仕様入力'!$S$117*3.6/1000*VLOOKUP('2-3.設備仕様入力'!$S$113,計算!$N$16:$P$26,3,FALSE),1),""),""),"")</f>
        <v/>
      </c>
      <c r="U46" s="48" t="str">
        <f t="shared" si="6"/>
        <v/>
      </c>
      <c r="V46" s="48" t="str">
        <f>IF('2-3.設備仕様入力'!$S$110="ガスヒートポンプ式空調機",IF('2-3.設備仕様入力'!$S$118="ｍ3N/h",ROUND('2-3.設備仕様入力'!$S$111*'2-3.設備仕様入力'!$S$116*計算!$C$10/1000*VLOOKUP('2-3.設備仕様入力'!$S$113,計算!$N$16:$P$26,2,FALSE),1),""),"")</f>
        <v/>
      </c>
      <c r="W46" s="48" t="str">
        <f>IF('2-3.設備仕様入力'!$S$110="ガスヒートポンプ式空調機",IF('2-3.設備仕様入力'!$S$118="ｍ3N/h",ROUND('2-3.設備仕様入力'!$S$111*'2-3.設備仕様入力'!$S$117*計算!$C$10/1000*VLOOKUP('2-3.設備仕様入力'!$S$113,計算!$N$16:$P$26,3,FALSE),1),""),"")</f>
        <v/>
      </c>
      <c r="X46" s="48" t="str">
        <f t="shared" si="7"/>
        <v/>
      </c>
      <c r="Y46" s="48" t="str">
        <f>IF('2-3.設備仕様入力'!$S$110="ガスヒートポンプ式空調機",IF('2-3.設備仕様入力'!$S$112="LPG",IF('2-3.設備仕様入力'!$S$118="kW",ROUND('2-3.設備仕様入力'!$S$111*'2-3.設備仕様入力'!$S$116*3.6/1000*VLOOKUP('2-3.設備仕様入力'!$S$113,計算!$N$16:$P$26,2,FALSE),1),""),""),"")</f>
        <v/>
      </c>
      <c r="Z46" s="48" t="str">
        <f>IF('2-3.設備仕様入力'!$S$110="ガスヒートポンプ式空調機",IF('2-3.設備仕様入力'!$S$112="LPG",IF('2-3.設備仕様入力'!$S$118="kW",ROUND('2-3.設備仕様入力'!$S$111*'2-3.設備仕様入力'!$S$117*3.6/1000*VLOOKUP('2-3.設備仕様入力'!$S$113,計算!$N$16:$P$26,3,FALSE),1),""),""),"")</f>
        <v/>
      </c>
      <c r="AA46" s="48" t="str">
        <f t="shared" si="8"/>
        <v/>
      </c>
      <c r="AB46" s="48" t="str">
        <f>IF('2-3.設備仕様入力'!$S$110="ガスヒートポンプ式空調機",IF('2-3.設備仕様入力'!$S$112="LPG",IF('2-3.設備仕様入力'!$S$118="kg/h",ROUND('2-3.設備仕様入力'!$S$111*'2-3.設備仕様入力'!$S$116*計算!$C$11/1000*VLOOKUP('2-3.設備仕様入力'!$S$113,計算!$N$16:$P$26,2,FALSE),1),""),""),"")</f>
        <v/>
      </c>
      <c r="AC46" s="48" t="str">
        <f>IF('2-3.設備仕様入力'!$S$110="ガスヒートポンプ式空調機",IF('2-3.設備仕様入力'!$S$112="LPG",IF('2-3.設備仕様入力'!$S$118="kg/h",ROUND('2-3.設備仕様入力'!$S$111*'2-3.設備仕様入力'!$S$117*計算!$C$11/1000*VLOOKUP('2-3.設備仕様入力'!$S$113,計算!$N$16:$P$26,3,FALSE),1),""),""),"")</f>
        <v/>
      </c>
      <c r="AD46" s="48" t="str">
        <f t="shared" si="9"/>
        <v/>
      </c>
    </row>
    <row r="47" spans="3:30" ht="19.5" x14ac:dyDescent="0.45">
      <c r="F47" s="7"/>
      <c r="I47" s="92" t="s">
        <v>196</v>
      </c>
      <c r="J47" s="14" t="str">
        <f>IF(ISERROR('4.エネルギー使用量'!$O$80/1000*$C$18*$C$7),"",ROUND('4.エネルギー使用量'!$O$80/1000*$C$18*$C$7,2))</f>
        <v/>
      </c>
      <c r="K47" s="13" t="str">
        <f>IF(ISERROR('4.エネルギー使用量'!$O$80/1000*$C$18*$E$18*$E$7),"",ROUND('4.エネルギー使用量'!$O$80/1000*$C$18*$E$18*$E$7,2))</f>
        <v/>
      </c>
      <c r="N47" s="90" t="s">
        <v>407</v>
      </c>
      <c r="O47" s="41" t="str">
        <f>IF(AND('2-3.設備仕様入力'!T$112="電気",'2-3.設備仕様入力'!T$118="kW"),1,IF(AND('2-3.設備仕様入力'!T$112="都市ガス",'2-3.設備仕様入力'!T$118="kW"),2,IF(AND('2-3.設備仕様入力'!T$112="都市ガス",'2-3.設備仕様入力'!T$118="ｍ3N/h"),3,IF(AND('2-3.設備仕様入力'!T$112="LPG",'2-3.設備仕様入力'!T$118="kW"),4,IF(AND('2-3.設備仕様入力'!T$112="LPG",'2-3.設備仕様入力'!T$118="kg/h"),5,"")))))</f>
        <v/>
      </c>
      <c r="P47" s="48" t="str">
        <f>IF(OR('2-3.設備仕様入力'!$T$110="電気式パッケージ形空調機",'2-3.設備仕様入力'!$T$110="ルームエアコン"),ROUND('2-3.設備仕様入力'!$T$116*'2-3.設備仕様入力'!$T$111*計算!$C$3*VLOOKUP('2-3.設備仕様入力'!$T$113,計算!$N$16:$P$26,2,FALSE)/1000,1),"")</f>
        <v/>
      </c>
      <c r="Q47" s="48" t="str">
        <f>IF(OR('2-3.設備仕様入力'!$T$110="電気式パッケージ形空調機",'2-3.設備仕様入力'!$T$110="ルームエアコン"),ROUND('2-3.設備仕様入力'!$T$117*'2-3.設備仕様入力'!$T$111*計算!$C$3*VLOOKUP('2-3.設備仕様入力'!$T$113,計算!$N$16:$P$26,3,FALSE)/1000,1),"")</f>
        <v/>
      </c>
      <c r="R47" s="48" t="str">
        <f t="shared" si="5"/>
        <v/>
      </c>
      <c r="S47" s="48" t="str">
        <f>IF('2-3.設備仕様入力'!$T$110="ガスヒートポンプ式空調機",IF('2-3.設備仕様入力'!$T$112="都市ガス",IF('2-3.設備仕様入力'!$T$118="kW",ROUND('2-3.設備仕様入力'!$T$111*'2-3.設備仕様入力'!$T$116*3.6/1000*VLOOKUP('2-3.設備仕様入力'!$T$113,計算!$N$16:$P$26,2,FALSE),1),""),""),"")</f>
        <v/>
      </c>
      <c r="T47" s="48" t="str">
        <f>IF('2-3.設備仕様入力'!$T$110="ガスヒートポンプ式空調機",IF('2-3.設備仕様入力'!$T$112="都市ガス",IF('2-3.設備仕様入力'!$T$118="kW",ROUND('2-3.設備仕様入力'!$T$111*'2-3.設備仕様入力'!$T$117*3.6/1000*VLOOKUP('2-3.設備仕様入力'!$T$113,計算!$N$16:$P$26,3,FALSE),1),""),""),"")</f>
        <v/>
      </c>
      <c r="U47" s="48" t="str">
        <f t="shared" si="6"/>
        <v/>
      </c>
      <c r="V47" s="48" t="str">
        <f>IF('2-3.設備仕様入力'!$T$110="ガスヒートポンプ式空調機",IF('2-3.設備仕様入力'!$T$118="ｍ3N/h",ROUND('2-3.設備仕様入力'!$T$111*'2-3.設備仕様入力'!$T$116*計算!$C$10/1000*VLOOKUP('2-3.設備仕様入力'!$T$113,計算!$N$16:$P$26,2,FALSE),1),""),"")</f>
        <v/>
      </c>
      <c r="W47" s="48" t="str">
        <f>IF('2-3.設備仕様入力'!$T$110="ガスヒートポンプ式空調機",IF('2-3.設備仕様入力'!$T$118="ｍ3N/h",ROUND('2-3.設備仕様入力'!$T$111*'2-3.設備仕様入力'!$T$117*計算!$C$10/1000*VLOOKUP('2-3.設備仕様入力'!$T$113,計算!$N$16:$P$26,3,FALSE),1),""),"")</f>
        <v/>
      </c>
      <c r="X47" s="48" t="str">
        <f t="shared" si="7"/>
        <v/>
      </c>
      <c r="Y47" s="48" t="str">
        <f>IF('2-3.設備仕様入力'!$T$110="ガスヒートポンプ式空調機",IF('2-3.設備仕様入力'!$T$112="LPG",IF('2-3.設備仕様入力'!$T$118="kW",ROUND('2-3.設備仕様入力'!$T$111*'2-3.設備仕様入力'!$T$116*3.6/1000*VLOOKUP('2-3.設備仕様入力'!$T$113,計算!$N$16:$P$26,2,FALSE),1),""),""),"")</f>
        <v/>
      </c>
      <c r="Z47" s="48" t="str">
        <f>IF('2-3.設備仕様入力'!$T$110="ガスヒートポンプ式空調機",IF('2-3.設備仕様入力'!$T$112="LPG",IF('2-3.設備仕様入力'!$T$118="kW",ROUND('2-3.設備仕様入力'!$T$111*'2-3.設備仕様入力'!$T$117*3.6/1000*VLOOKUP('2-3.設備仕様入力'!$T$113,計算!$N$16:$P$26,3,FALSE),1),""),""),"")</f>
        <v/>
      </c>
      <c r="AA47" s="48" t="str">
        <f t="shared" si="8"/>
        <v/>
      </c>
      <c r="AB47" s="48" t="str">
        <f>IF('2-3.設備仕様入力'!$T$110="ガスヒートポンプ式空調機",IF('2-3.設備仕様入力'!$T$112="LPG",IF('2-3.設備仕様入力'!$T$118="kg/h",ROUND('2-3.設備仕様入力'!$T$111*'2-3.設備仕様入力'!$T$116*計算!$C$11/1000*VLOOKUP('2-3.設備仕様入力'!$T$113,計算!$N$16:$P$26,2,FALSE),1),""),""),"")</f>
        <v/>
      </c>
      <c r="AC47" s="48" t="str">
        <f>IF('2-3.設備仕様入力'!$T$110="ガスヒートポンプ式空調機",IF('2-3.設備仕様入力'!$T$112="LPG",IF('2-3.設備仕様入力'!$T$118="kg/h",ROUND('2-3.設備仕様入力'!$T$111*'2-3.設備仕様入力'!$T$117*計算!$C$11/1000*VLOOKUP('2-3.設備仕様入力'!$T$113,計算!$N$16:$P$26,3,FALSE),1),""),""),"")</f>
        <v/>
      </c>
      <c r="AD47" s="48" t="str">
        <f t="shared" si="9"/>
        <v/>
      </c>
    </row>
    <row r="48" spans="3:30" ht="19.5" x14ac:dyDescent="0.45">
      <c r="F48" s="7"/>
      <c r="I48" s="92" t="s">
        <v>197</v>
      </c>
      <c r="J48" s="14" t="str">
        <f>IF(ISERROR('4.エネルギー使用量'!$O$80/1000*$C$19*$C$7),"",ROUND('4.エネルギー使用量'!$O$80/1000*$C$19*$C$7,2))</f>
        <v/>
      </c>
      <c r="K48" s="13" t="str">
        <f>IF(ISERROR('4.エネルギー使用量'!$O$80/1000*$C$19*$E$19*$E$7),"",ROUND('4.エネルギー使用量'!$O$80/1000*$C$19*$E$19*$E$7,2))</f>
        <v/>
      </c>
      <c r="N48" s="90" t="s">
        <v>408</v>
      </c>
      <c r="O48" s="41" t="str">
        <f>IF(AND('2-3.設備仕様入力'!U$112="電気",'2-3.設備仕様入力'!U$118="kW"),1,IF(AND('2-3.設備仕様入力'!U$112="都市ガス",'2-3.設備仕様入力'!U$118="kW"),2,IF(AND('2-3.設備仕様入力'!U$112="都市ガス",'2-3.設備仕様入力'!U$118="ｍ3N/h"),3,IF(AND('2-3.設備仕様入力'!U$112="LPG",'2-3.設備仕様入力'!U$118="kW"),4,IF(AND('2-3.設備仕様入力'!U$112="LPG",'2-3.設備仕様入力'!U$118="kg/h"),5,"")))))</f>
        <v/>
      </c>
      <c r="P48" s="48" t="str">
        <f>IF(OR('2-3.設備仕様入力'!$U$110="電気式パッケージ形空調機",'2-3.設備仕様入力'!$U$110="ルームエアコン"),ROUND('2-3.設備仕様入力'!$U$116*'2-3.設備仕様入力'!$U$111*計算!$C$3*VLOOKUP('2-3.設備仕様入力'!$U$113,計算!$N$16:$P$26,2,FALSE)/1000,1),"")</f>
        <v/>
      </c>
      <c r="Q48" s="48" t="str">
        <f>IF(OR('2-3.設備仕様入力'!$U$110="電気式パッケージ形空調機",'2-3.設備仕様入力'!$U$110="ルームエアコン"),ROUND('2-3.設備仕様入力'!$U$117*'2-3.設備仕様入力'!$U$111*計算!$C$3*VLOOKUP('2-3.設備仕様入力'!$U$113,計算!$N$16:$P$26,3,FALSE)/1000,1),"")</f>
        <v/>
      </c>
      <c r="R48" s="48" t="str">
        <f t="shared" si="5"/>
        <v/>
      </c>
      <c r="S48" s="48" t="str">
        <f>IF('2-3.設備仕様入力'!$U$110="ガスヒートポンプ式空調機",IF('2-3.設備仕様入力'!$U$112="都市ガス",IF('2-3.設備仕様入力'!$U$118="kW",ROUND('2-3.設備仕様入力'!$U$111*'2-3.設備仕様入力'!$U$116*3.6/1000*VLOOKUP('2-3.設備仕様入力'!$U$113,計算!$N$16:$P$26,2,FALSE),1),""),""),"")</f>
        <v/>
      </c>
      <c r="T48" s="48" t="str">
        <f>IF('2-3.設備仕様入力'!$U$110="ガスヒートポンプ式空調機",IF('2-3.設備仕様入力'!$U$112="都市ガス",IF('2-3.設備仕様入力'!$U$118="kW",ROUND('2-3.設備仕様入力'!$U$111*'2-3.設備仕様入力'!$U$117*3.6/1000*VLOOKUP('2-3.設備仕様入力'!$U$113,計算!$N$16:$P$26,3,FALSE),1),""),""),"")</f>
        <v/>
      </c>
      <c r="U48" s="48" t="str">
        <f t="shared" si="6"/>
        <v/>
      </c>
      <c r="V48" s="48" t="str">
        <f>IF('2-3.設備仕様入力'!$U$110="ガスヒートポンプ式空調機",IF('2-3.設備仕様入力'!$U$118="ｍ3N/h",ROUND('2-3.設備仕様入力'!$U$111*'2-3.設備仕様入力'!$U$116*計算!$C$10/1000*VLOOKUP('2-3.設備仕様入力'!$U$113,計算!$N$16:$P$26,2,FALSE),1),""),"")</f>
        <v/>
      </c>
      <c r="W48" s="48" t="str">
        <f>IF('2-3.設備仕様入力'!$U$110="ガスヒートポンプ式空調機",IF('2-3.設備仕様入力'!$U$118="ｍ3N/h",ROUND('2-3.設備仕様入力'!$U$111*'2-3.設備仕様入力'!$U$117*計算!$C$10/1000*VLOOKUP('2-3.設備仕様入力'!$U$113,計算!$N$16:$P$26,3,FALSE),1),""),"")</f>
        <v/>
      </c>
      <c r="X48" s="48" t="str">
        <f t="shared" si="7"/>
        <v/>
      </c>
      <c r="Y48" s="48" t="str">
        <f>IF('2-3.設備仕様入力'!$U$110="ガスヒートポンプ式空調機",IF('2-3.設備仕様入力'!$U$112="LPG",IF('2-3.設備仕様入力'!$U$118="kW",ROUND('2-3.設備仕様入力'!$U$111*'2-3.設備仕様入力'!$U$116*3.6/1000*VLOOKUP('2-3.設備仕様入力'!$U$113,計算!$N$16:$P$26,2,FALSE),1),""),""),"")</f>
        <v/>
      </c>
      <c r="Z48" s="48" t="str">
        <f>IF('2-3.設備仕様入力'!$U$110="ガスヒートポンプ式空調機",IF('2-3.設備仕様入力'!$U$112="LPG",IF('2-3.設備仕様入力'!$U$118="kW",ROUND('2-3.設備仕様入力'!$U$111*'2-3.設備仕様入力'!$U$117*3.6/1000*VLOOKUP('2-3.設備仕様入力'!$U$113,計算!$N$16:$P$26,3,FALSE),1),""),""),"")</f>
        <v/>
      </c>
      <c r="AA48" s="48" t="str">
        <f t="shared" si="8"/>
        <v/>
      </c>
      <c r="AB48" s="48" t="str">
        <f>IF('2-3.設備仕様入力'!$U$110="ガスヒートポンプ式空調機",IF('2-3.設備仕様入力'!$U$112="LPG",IF('2-3.設備仕様入力'!$U$118="kg/h",ROUND('2-3.設備仕様入力'!$U$111*'2-3.設備仕様入力'!$U$116*計算!$C$11/1000*VLOOKUP('2-3.設備仕様入力'!$U$113,計算!$N$16:$P$26,2,FALSE),1),""),""),"")</f>
        <v/>
      </c>
      <c r="AC48" s="48" t="str">
        <f>IF('2-3.設備仕様入力'!$U$110="ガスヒートポンプ式空調機",IF('2-3.設備仕様入力'!$U$112="LPG",IF('2-3.設備仕様入力'!$U$118="kg/h",ROUND('2-3.設備仕様入力'!$U$111*'2-3.設備仕様入力'!$U$117*計算!$C$11/1000*VLOOKUP('2-3.設備仕様入力'!$U$113,計算!$N$16:$P$26,3,FALSE),1),""),""),"")</f>
        <v/>
      </c>
      <c r="AD48" s="48" t="str">
        <f t="shared" si="9"/>
        <v/>
      </c>
    </row>
    <row r="49" spans="6:30" ht="19.5" x14ac:dyDescent="0.45">
      <c r="F49" s="7"/>
      <c r="I49" s="92" t="s">
        <v>198</v>
      </c>
      <c r="J49" s="14" t="str">
        <f>IF(ISERROR('4.エネルギー使用量'!$O$80/1000*$C$20*$C$7),"",ROUND('4.エネルギー使用量'!$O$80/1000*$C$20*$C$7,2))</f>
        <v/>
      </c>
      <c r="K49" s="13" t="str">
        <f>IF(ISERROR('4.エネルギー使用量'!$O$80/1000*$C$20*$E$20*$E$7),"",ROUND('4.エネルギー使用量'!$O$80/1000*$C$20*$E$20*$E$7,2))</f>
        <v/>
      </c>
      <c r="N49" s="90" t="s">
        <v>409</v>
      </c>
      <c r="O49" s="41" t="str">
        <f>IF(AND('2-3.設備仕様入力'!V$112="電気",'2-3.設備仕様入力'!V$118="kW"),1,IF(AND('2-3.設備仕様入力'!V$112="都市ガス",'2-3.設備仕様入力'!V$118="kW"),2,IF(AND('2-3.設備仕様入力'!V$112="都市ガス",'2-3.設備仕様入力'!V$118="ｍ3N/h"),3,IF(AND('2-3.設備仕様入力'!V$112="LPG",'2-3.設備仕様入力'!V$118="kW"),4,IF(AND('2-3.設備仕様入力'!V$112="LPG",'2-3.設備仕様入力'!V$118="kg/h"),5,"")))))</f>
        <v/>
      </c>
      <c r="P49" s="48" t="str">
        <f>IF(OR('2-3.設備仕様入力'!$V$110="電気式パッケージ形空調機",'2-3.設備仕様入力'!$V$110="ルームエアコン"),ROUND('2-3.設備仕様入力'!$V$116*'2-3.設備仕様入力'!$V$111*計算!$C$3*VLOOKUP('2-3.設備仕様入力'!$V$113,計算!$N$16:$P$26,2,FALSE)/1000,1),"")</f>
        <v/>
      </c>
      <c r="Q49" s="48" t="str">
        <f>IF(OR('2-3.設備仕様入力'!$V$110="電気式パッケージ形空調機",'2-3.設備仕様入力'!$V$110="ルームエアコン"),ROUND('2-3.設備仕様入力'!$V$117*'2-3.設備仕様入力'!$V$111*計算!$C$3*VLOOKUP('2-3.設備仕様入力'!$V$113,計算!$N$16:$P$26,3,FALSE)/1000,1),"")</f>
        <v/>
      </c>
      <c r="R49" s="48" t="str">
        <f t="shared" si="5"/>
        <v/>
      </c>
      <c r="S49" s="48" t="str">
        <f>IF('2-3.設備仕様入力'!$V$110="ガスヒートポンプ式空調機",IF('2-3.設備仕様入力'!$V$112="都市ガス",IF('2-3.設備仕様入力'!$V$118="kW",ROUND('2-3.設備仕様入力'!$V$111*'2-3.設備仕様入力'!$V$116*3.6/1000*VLOOKUP('2-3.設備仕様入力'!$V$113,計算!$N$16:$P$26,2,FALSE),1),""),""),"")</f>
        <v/>
      </c>
      <c r="T49" s="48" t="str">
        <f>IF('2-3.設備仕様入力'!$V$110="ガスヒートポンプ式空調機",IF('2-3.設備仕様入力'!$V$112="都市ガス",IF('2-3.設備仕様入力'!$V$118="kW",ROUND('2-3.設備仕様入力'!$V$111*'2-3.設備仕様入力'!$V$117*3.6/1000*VLOOKUP('2-3.設備仕様入力'!$V$113,計算!$N$16:$P$26,3,FALSE),1),""),""),"")</f>
        <v/>
      </c>
      <c r="U49" s="48" t="str">
        <f t="shared" si="6"/>
        <v/>
      </c>
      <c r="V49" s="48" t="str">
        <f>IF('2-3.設備仕様入力'!$V$110="ガスヒートポンプ式空調機",IF('2-3.設備仕様入力'!$V$118="ｍ3N/h",ROUND('2-3.設備仕様入力'!$V$111*'2-3.設備仕様入力'!$V$116*計算!$C$10/1000*VLOOKUP('2-3.設備仕様入力'!$V$113,計算!$N$16:$P$26,2,FALSE),1),""),"")</f>
        <v/>
      </c>
      <c r="W49" s="48" t="str">
        <f>IF('2-3.設備仕様入力'!$V$110="ガスヒートポンプ式空調機",IF('2-3.設備仕様入力'!$V$118="ｍ3N/h",ROUND('2-3.設備仕様入力'!$V$111*'2-3.設備仕様入力'!$V$117*計算!$C$10/1000*VLOOKUP('2-3.設備仕様入力'!$V$113,計算!$N$16:$P$26,3,FALSE),1),""),"")</f>
        <v/>
      </c>
      <c r="X49" s="48" t="str">
        <f t="shared" si="7"/>
        <v/>
      </c>
      <c r="Y49" s="48" t="str">
        <f>IF('2-3.設備仕様入力'!$V$110="ガスヒートポンプ式空調機",IF('2-3.設備仕様入力'!$V$112="LPG",IF('2-3.設備仕様入力'!$V$118="kW",ROUND('2-3.設備仕様入力'!$V$111*'2-3.設備仕様入力'!$V$116*3.6/1000*VLOOKUP('2-3.設備仕様入力'!$V$113,計算!$N$16:$P$26,2,FALSE),1),""),""),"")</f>
        <v/>
      </c>
      <c r="Z49" s="48" t="str">
        <f>IF('2-3.設備仕様入力'!$V$110="ガスヒートポンプ式空調機",IF('2-3.設備仕様入力'!$V$112="LPG",IF('2-3.設備仕様入力'!$V$118="kW",ROUND('2-3.設備仕様入力'!$V$111*'2-3.設備仕様入力'!$V$117*3.6/1000*VLOOKUP('2-3.設備仕様入力'!$V$113,計算!$N$16:$P$26,3,FALSE),1),""),""),"")</f>
        <v/>
      </c>
      <c r="AA49" s="48" t="str">
        <f t="shared" si="8"/>
        <v/>
      </c>
      <c r="AB49" s="48" t="str">
        <f>IF('2-3.設備仕様入力'!$V$110="ガスヒートポンプ式空調機",IF('2-3.設備仕様入力'!$V$112="LPG",IF('2-3.設備仕様入力'!$V$118="kg/h",ROUND('2-3.設備仕様入力'!$V$111*'2-3.設備仕様入力'!$V$116*計算!$C$11/1000*VLOOKUP('2-3.設備仕様入力'!$V$113,計算!$N$16:$P$26,2,FALSE),1),""),""),"")</f>
        <v/>
      </c>
      <c r="AC49" s="48" t="str">
        <f>IF('2-3.設備仕様入力'!$V$110="ガスヒートポンプ式空調機",IF('2-3.設備仕様入力'!$V$112="LPG",IF('2-3.設備仕様入力'!$V$118="kg/h",ROUND('2-3.設備仕様入力'!$V$111*'2-3.設備仕様入力'!$V$117*計算!$C$11/1000*VLOOKUP('2-3.設備仕様入力'!$V$113,計算!$N$16:$P$26,3,FALSE),1),""),""),"")</f>
        <v/>
      </c>
      <c r="AD49" s="48" t="str">
        <f t="shared" si="9"/>
        <v/>
      </c>
    </row>
    <row r="50" spans="6:30" ht="20.25" thickBot="1" x14ac:dyDescent="0.5">
      <c r="F50" s="7"/>
      <c r="I50" s="92" t="s">
        <v>199</v>
      </c>
      <c r="J50" s="11" t="str">
        <f>IF(ISERROR('4.エネルギー使用量'!$O$80/1000*$C$21*$C$7),"",ROUND('4.エネルギー使用量'!$O$80/1000*$C$21*$C$7,2))</f>
        <v/>
      </c>
      <c r="K50" s="10" t="str">
        <f>IF(ISERROR('4.エネルギー使用量'!$O$80/1000*$C$21*$E$21*$E$7),"",ROUND('4.エネルギー使用量'!$O$80/1000*$C$21*$E$21*$E$7,2))</f>
        <v/>
      </c>
      <c r="N50" s="90" t="s">
        <v>410</v>
      </c>
      <c r="O50" s="41" t="str">
        <f>IF(AND('2-3.設備仕様入力'!W$112="電気",'2-3.設備仕様入力'!W$118="kW"),1,IF(AND('2-3.設備仕様入力'!W$112="都市ガス",'2-3.設備仕様入力'!W$118="kW"),2,IF(AND('2-3.設備仕様入力'!W$112="都市ガス",'2-3.設備仕様入力'!W$118="ｍ3N/h"),3,IF(AND('2-3.設備仕様入力'!W$112="LPG",'2-3.設備仕様入力'!W$118="kW"),4,IF(AND('2-3.設備仕様入力'!W$112="LPG",'2-3.設備仕様入力'!W$118="kg/h"),5,"")))))</f>
        <v/>
      </c>
      <c r="P50" s="48" t="str">
        <f>IF(OR('2-3.設備仕様入力'!$W$110="電気式パッケージ形空調機",'2-3.設備仕様入力'!$W$110="ルームエアコン"),ROUND('2-3.設備仕様入力'!$W$116*'2-3.設備仕様入力'!$W$111*計算!$C$3*VLOOKUP('2-3.設備仕様入力'!$W$113,計算!$N$16:$P$26,2,FALSE)/1000,1),"")</f>
        <v/>
      </c>
      <c r="Q50" s="48" t="str">
        <f>IF(OR('2-3.設備仕様入力'!$W$110="電気式パッケージ形空調機",'2-3.設備仕様入力'!$W$110="ルームエアコン"),ROUND('2-3.設備仕様入力'!$W$117*'2-3.設備仕様入力'!$W$111*計算!$C$3*VLOOKUP('2-3.設備仕様入力'!$W$113,計算!$N$16:$P$26,3,FALSE)/1000,1),"")</f>
        <v/>
      </c>
      <c r="R50" s="48" t="str">
        <f t="shared" si="5"/>
        <v/>
      </c>
      <c r="S50" s="48" t="str">
        <f>IF('2-3.設備仕様入力'!$W$110="ガスヒートポンプ式空調機",IF('2-3.設備仕様入力'!$W$112="都市ガス",IF('2-3.設備仕様入力'!$W$118="kW",ROUND('2-3.設備仕様入力'!$W$111*'2-3.設備仕様入力'!$W$116*3.6/1000*VLOOKUP('2-3.設備仕様入力'!$W$113,計算!$N$16:$P$26,2,FALSE),1),""),""),"")</f>
        <v/>
      </c>
      <c r="T50" s="48" t="str">
        <f>IF('2-3.設備仕様入力'!$W$110="ガスヒートポンプ式空調機",IF('2-3.設備仕様入力'!$W$112="都市ガス",IF('2-3.設備仕様入力'!$W$118="kW",ROUND('2-3.設備仕様入力'!$W$111*'2-3.設備仕様入力'!$W$117*3.6/1000*VLOOKUP('2-3.設備仕様入力'!$W$113,計算!$N$16:$P$26,3,FALSE),1),""),""),"")</f>
        <v/>
      </c>
      <c r="U50" s="48" t="str">
        <f t="shared" si="6"/>
        <v/>
      </c>
      <c r="V50" s="48" t="str">
        <f>IF('2-3.設備仕様入力'!$W$110="ガスヒートポンプ式空調機",IF('2-3.設備仕様入力'!$W$118="ｍ3N/h",ROUND('2-3.設備仕様入力'!$W$111*'2-3.設備仕様入力'!$W$116*計算!$C$10/1000*VLOOKUP('2-3.設備仕様入力'!$W$113,計算!$N$16:$P$26,2,FALSE),1),""),"")</f>
        <v/>
      </c>
      <c r="W50" s="48" t="str">
        <f>IF('2-3.設備仕様入力'!$W$110="ガスヒートポンプ式空調機",IF('2-3.設備仕様入力'!$W$118="ｍ3N/h",ROUND('2-3.設備仕様入力'!$W$111*'2-3.設備仕様入力'!$W$117*計算!$C$10/1000*VLOOKUP('2-3.設備仕様入力'!$W$113,計算!$N$16:$P$26,3,FALSE),1),""),"")</f>
        <v/>
      </c>
      <c r="X50" s="48" t="str">
        <f t="shared" si="7"/>
        <v/>
      </c>
      <c r="Y50" s="48" t="str">
        <f>IF('2-3.設備仕様入力'!$W$110="ガスヒートポンプ式空調機",IF('2-3.設備仕様入力'!$W$112="LPG",IF('2-3.設備仕様入力'!$W$118="kW",ROUND('2-3.設備仕様入力'!$W$111*'2-3.設備仕様入力'!$W$116*3.6/1000*VLOOKUP('2-3.設備仕様入力'!$W$113,計算!$N$16:$P$26,2,FALSE),1),""),""),"")</f>
        <v/>
      </c>
      <c r="Z50" s="48" t="str">
        <f>IF('2-3.設備仕様入力'!$W$110="ガスヒートポンプ式空調機",IF('2-3.設備仕様入力'!$W$112="LPG",IF('2-3.設備仕様入力'!$W$118="kW",ROUND('2-3.設備仕様入力'!$W$111*'2-3.設備仕様入力'!$W$117*3.6/1000*VLOOKUP('2-3.設備仕様入力'!$W$113,計算!$N$16:$P$26,3,FALSE),1),""),""),"")</f>
        <v/>
      </c>
      <c r="AA50" s="48" t="str">
        <f t="shared" si="8"/>
        <v/>
      </c>
      <c r="AB50" s="48" t="str">
        <f>IF('2-3.設備仕様入力'!$W$110="ガスヒートポンプ式空調機",IF('2-3.設備仕様入力'!$W$112="LPG",IF('2-3.設備仕様入力'!$W$118="kg/h",ROUND('2-3.設備仕様入力'!$W$111*'2-3.設備仕様入力'!$W$116*計算!$C$11/1000*VLOOKUP('2-3.設備仕様入力'!$W$113,計算!$N$16:$P$26,2,FALSE),1),""),""),"")</f>
        <v/>
      </c>
      <c r="AC50" s="48" t="str">
        <f>IF('2-3.設備仕様入力'!$W$110="ガスヒートポンプ式空調機",IF('2-3.設備仕様入力'!$W$112="LPG",IF('2-3.設備仕様入力'!$W$118="kg/h",ROUND('2-3.設備仕様入力'!$W$111*'2-3.設備仕様入力'!$W$117*計算!$C$11/1000*VLOOKUP('2-3.設備仕様入力'!$W$113,計算!$N$16:$P$26,3,FALSE),1),""),""),"")</f>
        <v/>
      </c>
      <c r="AD50" s="48" t="str">
        <f t="shared" si="9"/>
        <v/>
      </c>
    </row>
    <row r="51" spans="6:30" ht="19.5" x14ac:dyDescent="0.45">
      <c r="F51" s="7"/>
      <c r="I51" s="92"/>
      <c r="J51" s="163"/>
      <c r="K51" s="163"/>
      <c r="P51" s="164"/>
      <c r="Q51" s="164"/>
      <c r="R51" s="164"/>
      <c r="S51" s="164"/>
      <c r="T51" s="164"/>
      <c r="U51" s="164"/>
      <c r="V51" s="164"/>
      <c r="W51" s="164"/>
      <c r="X51" s="164"/>
      <c r="Y51" s="164"/>
      <c r="Z51" s="164"/>
      <c r="AA51" s="164"/>
      <c r="AB51" s="164"/>
      <c r="AC51" s="164"/>
      <c r="AD51" s="164"/>
    </row>
    <row r="53" spans="6:30" x14ac:dyDescent="0.45">
      <c r="N53" s="89"/>
      <c r="O53" s="41"/>
      <c r="P53" s="221" t="s">
        <v>176</v>
      </c>
      <c r="Q53" s="222"/>
      <c r="R53" s="222"/>
      <c r="S53" s="222"/>
      <c r="T53" s="222"/>
      <c r="U53" s="222"/>
      <c r="V53" s="222"/>
      <c r="W53" s="222"/>
      <c r="X53" s="222"/>
      <c r="Y53" s="222"/>
      <c r="Z53" s="222"/>
      <c r="AA53" s="222"/>
      <c r="AB53" s="222"/>
      <c r="AC53" s="222"/>
      <c r="AD53" s="223"/>
    </row>
    <row r="54" spans="6:30" x14ac:dyDescent="0.45">
      <c r="N54" s="89"/>
      <c r="O54" s="41"/>
      <c r="P54" s="224" t="s">
        <v>179</v>
      </c>
      <c r="Q54" s="224"/>
      <c r="R54" s="224"/>
      <c r="S54" s="224" t="s">
        <v>178</v>
      </c>
      <c r="T54" s="224"/>
      <c r="U54" s="224"/>
      <c r="V54" s="224" t="s">
        <v>120</v>
      </c>
      <c r="W54" s="224"/>
      <c r="X54" s="224"/>
      <c r="Y54" s="224" t="s">
        <v>121</v>
      </c>
      <c r="Z54" s="224"/>
      <c r="AA54" s="224"/>
      <c r="AB54" s="224" t="s">
        <v>122</v>
      </c>
      <c r="AC54" s="224"/>
      <c r="AD54" s="224"/>
    </row>
    <row r="55" spans="6:30" x14ac:dyDescent="0.45">
      <c r="N55" s="89"/>
      <c r="O55" s="41"/>
      <c r="P55" s="51" t="s">
        <v>104</v>
      </c>
      <c r="Q55" s="51" t="s">
        <v>103</v>
      </c>
      <c r="R55" s="51" t="s">
        <v>102</v>
      </c>
      <c r="S55" s="51" t="s">
        <v>104</v>
      </c>
      <c r="T55" s="51" t="s">
        <v>103</v>
      </c>
      <c r="U55" s="51" t="s">
        <v>102</v>
      </c>
      <c r="V55" s="51" t="s">
        <v>104</v>
      </c>
      <c r="W55" s="51" t="s">
        <v>103</v>
      </c>
      <c r="X55" s="51" t="s">
        <v>102</v>
      </c>
      <c r="Y55" s="51" t="s">
        <v>104</v>
      </c>
      <c r="Z55" s="51" t="s">
        <v>103</v>
      </c>
      <c r="AA55" s="51" t="s">
        <v>102</v>
      </c>
      <c r="AB55" s="51" t="s">
        <v>104</v>
      </c>
      <c r="AC55" s="51" t="s">
        <v>103</v>
      </c>
      <c r="AD55" s="51" t="s">
        <v>102</v>
      </c>
    </row>
    <row r="56" spans="6:30" ht="19.5" x14ac:dyDescent="0.45">
      <c r="N56" s="90" t="s">
        <v>155</v>
      </c>
      <c r="O56" s="41" t="str">
        <f>IF(AND('2-3.設備仕様入力'!D$133="電気",'2-3.設備仕様入力'!D$139="kW"),1,IF(AND('2-3.設備仕様入力'!D$133="都市ガス",'2-3.設備仕様入力'!D$139="kW"),2,IF(AND('2-3.設備仕様入力'!D$133="都市ガス",'2-3.設備仕様入力'!D$139="ｍ3N/h"),3,IF(AND('2-3.設備仕様入力'!D$133="LPG",'2-3.設備仕様入力'!D$139="kW"),4,IF(AND('2-3.設備仕様入力'!D$133="LPG",'2-3.設備仕様入力'!D$139="kg/h"),5,"")))))</f>
        <v/>
      </c>
      <c r="P56" s="48" t="str">
        <f>IF(OR('2-3.設備仕様入力'!$D$131="電気式パッケージ形空調機",'2-3.設備仕様入力'!$D$131="ルームエアコン"),ROUND('2-3.設備仕様入力'!$D$137*'2-3.設備仕様入力'!$D$132*計算!$C$3*VLOOKUP('2-3.設備仕様入力'!$D$134,計算!$N$16:$P$26,2,FALSE)/1000,1),"")</f>
        <v/>
      </c>
      <c r="Q56" s="48" t="str">
        <f>IF(OR('2-3.設備仕様入力'!$D$131="電気式パッケージ形空調機",'2-3.設備仕様入力'!$D$131="ルームエアコン"),ROUND('2-3.設備仕様入力'!$D$138*'2-3.設備仕様入力'!$D$132*計算!$C$3*VLOOKUP('2-3.設備仕様入力'!$D$134,計算!$N$16:$P$26,3,FALSE)/1000,1),"")</f>
        <v/>
      </c>
      <c r="R56" s="48" t="str">
        <f t="shared" ref="R56:R65" si="10">IF(AND(P56="",Q56=""),"",P56+Q56)</f>
        <v/>
      </c>
      <c r="S56" s="48" t="str">
        <f>IF('2-3.設備仕様入力'!$D$131="ガスヒートポンプ式空調機",IF('2-3.設備仕様入力'!$D$133="都市ガス",IF('2-3.設備仕様入力'!$D$139="kW",ROUND('2-3.設備仕様入力'!$D$132*'2-3.設備仕様入力'!$D$137*3.6/1000*VLOOKUP('2-3.設備仕様入力'!$D$134,計算!$N$16:$P$26,2,FALSE),1),""),""),"")</f>
        <v/>
      </c>
      <c r="T56" s="48" t="str">
        <f>IF('2-3.設備仕様入力'!$D$131="ガスヒートポンプ式空調機",IF('2-3.設備仕様入力'!$D$133="都市ガス",IF('2-3.設備仕様入力'!$D$139="kW",ROUND('2-3.設備仕様入力'!$D$132*'2-3.設備仕様入力'!$D$138*3.6/1000*VLOOKUP('2-3.設備仕様入力'!$D$134,計算!$N$16:$P$26,3,FALSE),1),""),""),"")</f>
        <v/>
      </c>
      <c r="U56" s="48" t="str">
        <f t="shared" ref="U56:U65" si="11">IF(AND(S56="",T56=""),"",S56+T56)</f>
        <v/>
      </c>
      <c r="V56" s="48" t="str">
        <f>IF('2-3.設備仕様入力'!$D$131="ガスヒートポンプ式空調機",IF('2-3.設備仕様入力'!$D$139="ｍ3N/h",ROUND('2-3.設備仕様入力'!$D$132*'2-3.設備仕様入力'!$D$137*計算!$C$10/1000*VLOOKUP('2-3.設備仕様入力'!$D$134,計算!$N$16:$P$26,2,FALSE),1),""),"")</f>
        <v/>
      </c>
      <c r="W56" s="48" t="str">
        <f>IF('2-3.設備仕様入力'!$D$131="ガスヒートポンプ式空調機",IF('2-3.設備仕様入力'!$D$139="ｍ3N/h",ROUND('2-3.設備仕様入力'!$D$132*'2-3.設備仕様入力'!$D$138*計算!$C$10/1000*VLOOKUP('2-3.設備仕様入力'!$D$134,計算!$N$16:$P$26,3,FALSE),1),""),"")</f>
        <v/>
      </c>
      <c r="X56" s="48" t="str">
        <f t="shared" ref="X56:X65" si="12">IF(AND(V56="",W56=""),"",V56+W56)</f>
        <v/>
      </c>
      <c r="Y56" s="48" t="str">
        <f>IF('2-3.設備仕様入力'!$D$131="ガスヒートポンプ式空調機",IF('2-3.設備仕様入力'!$D$133="LPG",IF('2-3.設備仕様入力'!$D$139="kW",ROUND('2-3.設備仕様入力'!$D$132*'2-3.設備仕様入力'!$D$137*3.6/1000*VLOOKUP('2-3.設備仕様入力'!$D$134,計算!$N$16:$P$26,2,FALSE),1),""),""),"")</f>
        <v/>
      </c>
      <c r="Z56" s="48" t="str">
        <f>IF('2-3.設備仕様入力'!$D$131="ガスヒートポンプ式空調機",IF('2-3.設備仕様入力'!$D$133="LPG",IF('2-3.設備仕様入力'!$D$139="kW",ROUND('2-3.設備仕様入力'!$D$132*'2-3.設備仕様入力'!$D$138*3.6/1000*VLOOKUP('2-3.設備仕様入力'!$D$134,計算!$N$16:$P$26,3,FALSE),1),""),""),"")</f>
        <v/>
      </c>
      <c r="AA56" s="48" t="str">
        <f t="shared" ref="AA56:AA65" si="13">IF(AND(Y56="",Z56=""),"",Y56+Z56)</f>
        <v/>
      </c>
      <c r="AB56" s="48" t="str">
        <f>IF('2-3.設備仕様入力'!$D$131="ガスヒートポンプ式空調機",IF('2-3.設備仕様入力'!$D$133="LPG",IF('2-3.設備仕様入力'!$D$139="kg/h",ROUND('2-3.設備仕様入力'!$D$132*'2-3.設備仕様入力'!$D$137*計算!$C$11/1000*VLOOKUP('2-3.設備仕様入力'!$D$134,計算!$N$16:$P$26,2,FALSE),1),""),""),"")</f>
        <v/>
      </c>
      <c r="AC56" s="48" t="str">
        <f>IF('2-3.設備仕様入力'!$D$131="ガスヒートポンプ式空調機",IF('2-3.設備仕様入力'!$D$133="LPG",IF('2-3.設備仕様入力'!$D$139="kg/h",ROUND('2-3.設備仕様入力'!$D$132*'2-3.設備仕様入力'!$D$138*計算!$C$11/1000*VLOOKUP('2-3.設備仕様入力'!$D$134,計算!$N$16:$P$26,3,FALSE),1),""),""),"")</f>
        <v/>
      </c>
      <c r="AD56" s="48" t="str">
        <f t="shared" ref="AD56:AD65" si="14">IF(AND(AB56="",AC56=""),"",AB56+AC56)</f>
        <v/>
      </c>
    </row>
    <row r="57" spans="6:30" ht="19.5" x14ac:dyDescent="0.45">
      <c r="N57" s="90" t="s">
        <v>123</v>
      </c>
      <c r="O57" s="41" t="str">
        <f>IF(AND('2-3.設備仕様入力'!E$133="電気",'2-3.設備仕様入力'!E$139="kW"),1,IF(AND('2-3.設備仕様入力'!E$133="都市ガス",'2-3.設備仕様入力'!E$139="kW"),2,IF(AND('2-3.設備仕様入力'!E$133="都市ガス",'2-3.設備仕様入力'!E$139="ｍ3N/h"),3,IF(AND('2-3.設備仕様入力'!E$133="LPG",'2-3.設備仕様入力'!E$139="kW"),4,IF(AND('2-3.設備仕様入力'!E$133="LPG",'2-3.設備仕様入力'!E$139="kg/h"),5,"")))))</f>
        <v/>
      </c>
      <c r="P57" s="48" t="str">
        <f>IF(OR('2-3.設備仕様入力'!$E$131="電気式パッケージ形空調機",'2-3.設備仕様入力'!$E$131="ルームエアコン"),ROUND('2-3.設備仕様入力'!$E$137*'2-3.設備仕様入力'!$E$132*計算!$C$3*VLOOKUP('2-3.設備仕様入力'!$E$134,計算!$N$16:$P$26,2,FALSE)/1000,1),"")</f>
        <v/>
      </c>
      <c r="Q57" s="48" t="str">
        <f>IF(OR('2-3.設備仕様入力'!$E$131="電気式パッケージ形空調機",'2-3.設備仕様入力'!$E$131="ルームエアコン"),ROUND('2-3.設備仕様入力'!$E$138*'2-3.設備仕様入力'!$E$132*計算!$C$3*VLOOKUP('2-3.設備仕様入力'!$E$134,計算!$N$16:$P$26,3,FALSE)/1000,1),"")</f>
        <v/>
      </c>
      <c r="R57" s="48" t="str">
        <f t="shared" si="10"/>
        <v/>
      </c>
      <c r="S57" s="48" t="str">
        <f>IF('2-3.設備仕様入力'!$E$131="ガスヒートポンプ式空調機",IF('2-3.設備仕様入力'!$E$133="都市ガス",IF('2-3.設備仕様入力'!$E$139="kW",ROUND('2-3.設備仕様入力'!$E$132*'2-3.設備仕様入力'!$E$137*3.6/1000*VLOOKUP('2-3.設備仕様入力'!$E$134,計算!$N$16:$P$26,2,FALSE),1),""),""),"")</f>
        <v/>
      </c>
      <c r="T57" s="48" t="str">
        <f>IF('2-3.設備仕様入力'!$E$131="ガスヒートポンプ式空調機",IF('2-3.設備仕様入力'!$E$133="都市ガス",IF('2-3.設備仕様入力'!$E$139="kW",ROUND('2-3.設備仕様入力'!$E$132*'2-3.設備仕様入力'!$E$138*3.6/1000*VLOOKUP('2-3.設備仕様入力'!$E$134,計算!$N$16:$P$26,3,FALSE),1),""),""),"")</f>
        <v/>
      </c>
      <c r="U57" s="48" t="str">
        <f t="shared" si="11"/>
        <v/>
      </c>
      <c r="V57" s="48" t="str">
        <f>IF('2-3.設備仕様入力'!$E$131="ガスヒートポンプ式空調機",IF('2-3.設備仕様入力'!$E$139="ｍ3N/h",ROUND('2-3.設備仕様入力'!$E$132*'2-3.設備仕様入力'!$E$137*計算!$C$10/1000*VLOOKUP('2-3.設備仕様入力'!$E$134,計算!$N$16:$P$26,2,FALSE),1),""),"")</f>
        <v/>
      </c>
      <c r="W57" s="48" t="str">
        <f>IF('2-3.設備仕様入力'!$E$131="ガスヒートポンプ式空調機",IF('2-3.設備仕様入力'!$E$139="ｍ3N/h",ROUND('2-3.設備仕様入力'!$E$132*'2-3.設備仕様入力'!$E$138*計算!$C$10/1000*VLOOKUP('2-3.設備仕様入力'!$E$134,計算!$N$16:$P$26,3,FALSE),1),""),"")</f>
        <v/>
      </c>
      <c r="X57" s="48" t="str">
        <f t="shared" si="12"/>
        <v/>
      </c>
      <c r="Y57" s="48" t="str">
        <f>IF('2-3.設備仕様入力'!$E$131="ガスヒートポンプ式空調機",IF('2-3.設備仕様入力'!$E$133="LPG",IF('2-3.設備仕様入力'!$E$139="kW",ROUND('2-3.設備仕様入力'!$E$132*'2-3.設備仕様入力'!$E$137*3.6/1000*VLOOKUP('2-3.設備仕様入力'!$E$134,計算!$N$16:$P$26,2,FALSE),1),""),""),"")</f>
        <v/>
      </c>
      <c r="Z57" s="48" t="str">
        <f>IF('2-3.設備仕様入力'!$E$131="ガスヒートポンプ式空調機",IF('2-3.設備仕様入力'!$E$133="LPG",IF('2-3.設備仕様入力'!$E$139="kW",ROUND('2-3.設備仕様入力'!$E$132*'2-3.設備仕様入力'!$E$138*3.6/1000*VLOOKUP('2-3.設備仕様入力'!$E$134,計算!$N$16:$P$26,3,FALSE),1),""),""),"")</f>
        <v/>
      </c>
      <c r="AA57" s="48" t="str">
        <f t="shared" si="13"/>
        <v/>
      </c>
      <c r="AB57" s="48" t="str">
        <f>IF('2-3.設備仕様入力'!$E$131="ガスヒートポンプ式空調機",IF('2-3.設備仕様入力'!$E$133="LPG",IF('2-3.設備仕様入力'!$E$139="kg/h",ROUND('2-3.設備仕様入力'!$E$132*'2-3.設備仕様入力'!$E$137*計算!$C$11/1000*VLOOKUP('2-3.設備仕様入力'!$E$134,計算!$N$16:$P$26,2,FALSE),1),""),""),"")</f>
        <v/>
      </c>
      <c r="AC57" s="48" t="str">
        <f>IF('2-3.設備仕様入力'!$E$131="ガスヒートポンプ式空調機",IF('2-3.設備仕様入力'!$E$133="LPG",IF('2-3.設備仕様入力'!$E$139="kg/h",ROUND('2-3.設備仕様入力'!$E$132*'2-3.設備仕様入力'!$E$138*計算!$C$11/1000*VLOOKUP('2-3.設備仕様入力'!$E$134,計算!$N$16:$P$26,3,FALSE),1),""),""),"")</f>
        <v/>
      </c>
      <c r="AD57" s="48" t="str">
        <f t="shared" si="14"/>
        <v/>
      </c>
    </row>
    <row r="58" spans="6:30" ht="19.5" x14ac:dyDescent="0.45">
      <c r="N58" s="90" t="s">
        <v>124</v>
      </c>
      <c r="O58" s="41" t="str">
        <f>IF(AND('2-3.設備仕様入力'!F$133="電気",'2-3.設備仕様入力'!F$139="kW"),1,IF(AND('2-3.設備仕様入力'!F$133="都市ガス",'2-3.設備仕様入力'!F$139="kW"),2,IF(AND('2-3.設備仕様入力'!F$133="都市ガス",'2-3.設備仕様入力'!F$139="ｍ3N/h"),3,IF(AND('2-3.設備仕様入力'!F$133="LPG",'2-3.設備仕様入力'!F$139="kW"),4,IF(AND('2-3.設備仕様入力'!F$133="LPG",'2-3.設備仕様入力'!F$139="kg/h"),5,"")))))</f>
        <v/>
      </c>
      <c r="P58" s="48" t="str">
        <f>IF(OR('2-3.設備仕様入力'!$F$131="電気式パッケージ形空調機",'2-3.設備仕様入力'!$F$131="ルームエアコン"),ROUND('2-3.設備仕様入力'!$F$137*'2-3.設備仕様入力'!$F$132*計算!$C$3*VLOOKUP('2-3.設備仕様入力'!$F$134,計算!$N$16:$P$26,2,FALSE)/1000,1),"")</f>
        <v/>
      </c>
      <c r="Q58" s="48" t="str">
        <f>IF(OR('2-3.設備仕様入力'!$F$131="電気式パッケージ形空調機",'2-3.設備仕様入力'!$F$131="ルームエアコン"),ROUND('2-3.設備仕様入力'!$F$138*'2-3.設備仕様入力'!$F$132*計算!$C$3*VLOOKUP('2-3.設備仕様入力'!$F$134,計算!$N$16:$P$26,3,FALSE)/1000,1),"")</f>
        <v/>
      </c>
      <c r="R58" s="48" t="str">
        <f t="shared" si="10"/>
        <v/>
      </c>
      <c r="S58" s="48" t="str">
        <f>IF('2-3.設備仕様入力'!$F$131="ガスヒートポンプ式空調機",IF('2-3.設備仕様入力'!$F$133="都市ガス",IF('2-3.設備仕様入力'!$F$139="kW",ROUND('2-3.設備仕様入力'!$F$132*'2-3.設備仕様入力'!$F$137*3.6/1000*VLOOKUP('2-3.設備仕様入力'!$F$134,計算!$N$16:$P$26,2,FALSE),1),""),""),"")</f>
        <v/>
      </c>
      <c r="T58" s="48" t="str">
        <f>IF('2-3.設備仕様入力'!$F$131="ガスヒートポンプ式空調機",IF('2-3.設備仕様入力'!$F$133="都市ガス",IF('2-3.設備仕様入力'!$F$139="kW",ROUND('2-3.設備仕様入力'!$F$132*'2-3.設備仕様入力'!$F$138*3.6/1000*VLOOKUP('2-3.設備仕様入力'!$F$134,計算!$N$16:$P$26,3,FALSE),1),""),""),"")</f>
        <v/>
      </c>
      <c r="U58" s="48" t="str">
        <f t="shared" si="11"/>
        <v/>
      </c>
      <c r="V58" s="48" t="str">
        <f>IF('2-3.設備仕様入力'!$F$131="ガスヒートポンプ式空調機",IF('2-3.設備仕様入力'!$F$139="ｍ3N/h",ROUND('2-3.設備仕様入力'!$F$132*'2-3.設備仕様入力'!$F$137*計算!$C$10/1000*VLOOKUP('2-3.設備仕様入力'!$F$134,計算!$N$16:$P$26,2,FALSE),1),""),"")</f>
        <v/>
      </c>
      <c r="W58" s="48" t="str">
        <f>IF('2-3.設備仕様入力'!$F$131="ガスヒートポンプ式空調機",IF('2-3.設備仕様入力'!$F$139="ｍ3N/h",ROUND('2-3.設備仕様入力'!$F$132*'2-3.設備仕様入力'!$F$138*計算!$C$10/1000*VLOOKUP('2-3.設備仕様入力'!$F$134,計算!$N$16:$P$26,3,FALSE),1),""),"")</f>
        <v/>
      </c>
      <c r="X58" s="48" t="str">
        <f t="shared" si="12"/>
        <v/>
      </c>
      <c r="Y58" s="48" t="str">
        <f>IF('2-3.設備仕様入力'!$F$131="ガスヒートポンプ式空調機",IF('2-3.設備仕様入力'!$F$133="LPG",IF('2-3.設備仕様入力'!$F$139="kW",ROUND('2-3.設備仕様入力'!$F$132*'2-3.設備仕様入力'!$F$137*3.6/1000*VLOOKUP('2-3.設備仕様入力'!$F$134,計算!$N$16:$P$26,2,FALSE),1),""),""),"")</f>
        <v/>
      </c>
      <c r="Z58" s="48" t="str">
        <f>IF('2-3.設備仕様入力'!$F$131="ガスヒートポンプ式空調機",IF('2-3.設備仕様入力'!$F$133="LPG",IF('2-3.設備仕様入力'!$F$139="kW",ROUND('2-3.設備仕様入力'!$F$132*'2-3.設備仕様入力'!$F$138*3.6/1000*VLOOKUP('2-3.設備仕様入力'!$F$134,計算!$N$16:$P$26,3,FALSE),1),""),""),"")</f>
        <v/>
      </c>
      <c r="AA58" s="48" t="str">
        <f t="shared" si="13"/>
        <v/>
      </c>
      <c r="AB58" s="48" t="str">
        <f>IF('2-3.設備仕様入力'!$F$131="ガスヒートポンプ式空調機",IF('2-3.設備仕様入力'!$F$133="LPG",IF('2-3.設備仕様入力'!$F$139="kg/h",ROUND('2-3.設備仕様入力'!$F$132*'2-3.設備仕様入力'!$F$137*計算!$C$11/1000*VLOOKUP('2-3.設備仕様入力'!$F$134,計算!$N$16:$P$26,2,FALSE),1),""),""),"")</f>
        <v/>
      </c>
      <c r="AC58" s="48" t="str">
        <f>IF('2-3.設備仕様入力'!$F$131="ガスヒートポンプ式空調機",IF('2-3.設備仕様入力'!$F$133="LPG",IF('2-3.設備仕様入力'!$F$139="kg/h",ROUND('2-3.設備仕様入力'!$F$132*'2-3.設備仕様入力'!$F$138*計算!$C$11/1000*VLOOKUP('2-3.設備仕様入力'!$F$134,計算!$N$16:$P$26,3,FALSE),1),""),""),"")</f>
        <v/>
      </c>
      <c r="AD58" s="48" t="str">
        <f t="shared" si="14"/>
        <v/>
      </c>
    </row>
    <row r="59" spans="6:30" ht="19.5" x14ac:dyDescent="0.45">
      <c r="N59" s="90" t="s">
        <v>125</v>
      </c>
      <c r="O59" s="41" t="str">
        <f>IF(AND('2-3.設備仕様入力'!G$133="電気",'2-3.設備仕様入力'!G$139="kW"),1,IF(AND('2-3.設備仕様入力'!G$133="都市ガス",'2-3.設備仕様入力'!G$139="kW"),2,IF(AND('2-3.設備仕様入力'!G$133="都市ガス",'2-3.設備仕様入力'!G$139="ｍ3N/h"),3,IF(AND('2-3.設備仕様入力'!G$133="LPG",'2-3.設備仕様入力'!G$139="kW"),4,IF(AND('2-3.設備仕様入力'!G$133="LPG",'2-3.設備仕様入力'!G$139="kg/h"),5,"")))))</f>
        <v/>
      </c>
      <c r="P59" s="48" t="str">
        <f>IF(OR('2-3.設備仕様入力'!$G$131="電気式パッケージ形空調機",'2-3.設備仕様入力'!$G$131="ルームエアコン"),ROUND('2-3.設備仕様入力'!$G$137*'2-3.設備仕様入力'!$G$132*計算!$C$3*VLOOKUP('2-3.設備仕様入力'!$G$134,計算!$N$16:$P$26,2,FALSE)/1000,1),"")</f>
        <v/>
      </c>
      <c r="Q59" s="48" t="str">
        <f>IF(OR('2-3.設備仕様入力'!$G$131="電気式パッケージ形空調機",'2-3.設備仕様入力'!$G$131="ルームエアコン"),ROUND('2-3.設備仕様入力'!$G$138*'2-3.設備仕様入力'!$G$132*計算!$C$3*VLOOKUP('2-3.設備仕様入力'!$G$134,計算!$N$16:$P$26,3,FALSE)/1000,1),"")</f>
        <v/>
      </c>
      <c r="R59" s="48" t="str">
        <f t="shared" si="10"/>
        <v/>
      </c>
      <c r="S59" s="48" t="str">
        <f>IF('2-3.設備仕様入力'!$G$131="ガスヒートポンプ式空調機",IF('2-3.設備仕様入力'!$G$133="都市ガス",IF('2-3.設備仕様入力'!$G$139="kW",ROUND('2-3.設備仕様入力'!$G$132*'2-3.設備仕様入力'!$G$137*3.6/1000*VLOOKUP('2-3.設備仕様入力'!$G$134,計算!$N$16:$P$26,2,FALSE),1),""),""),"")</f>
        <v/>
      </c>
      <c r="T59" s="48" t="str">
        <f>IF('2-3.設備仕様入力'!$G$131="ガスヒートポンプ式空調機",IF('2-3.設備仕様入力'!$G$133="都市ガス",IF('2-3.設備仕様入力'!$G$139="kW",ROUND('2-3.設備仕様入力'!$G$132*'2-3.設備仕様入力'!$G$138*3.6/1000*VLOOKUP('2-3.設備仕様入力'!$G$134,計算!$N$16:$P$26,3,FALSE),1),""),""),"")</f>
        <v/>
      </c>
      <c r="U59" s="48" t="str">
        <f t="shared" si="11"/>
        <v/>
      </c>
      <c r="V59" s="48" t="str">
        <f>IF('2-3.設備仕様入力'!$G$131="ガスヒートポンプ式空調機",IF('2-3.設備仕様入力'!$G$139="ｍ3N/h",ROUND('2-3.設備仕様入力'!$G$132*'2-3.設備仕様入力'!$G$137*計算!$C$10/1000*VLOOKUP('2-3.設備仕様入力'!$G$134,計算!$N$16:$P$26,2,FALSE),1),""),"")</f>
        <v/>
      </c>
      <c r="W59" s="48" t="str">
        <f>IF('2-3.設備仕様入力'!$G$131="ガスヒートポンプ式空調機",IF('2-3.設備仕様入力'!$G$139="ｍ3N/h",ROUND('2-3.設備仕様入力'!$G$132*'2-3.設備仕様入力'!$G$138*計算!$C$10/1000*VLOOKUP('2-3.設備仕様入力'!$G$134,計算!$N$16:$P$26,3,FALSE),1),""),"")</f>
        <v/>
      </c>
      <c r="X59" s="48" t="str">
        <f t="shared" si="12"/>
        <v/>
      </c>
      <c r="Y59" s="48" t="str">
        <f>IF('2-3.設備仕様入力'!$G$131="ガスヒートポンプ式空調機",IF('2-3.設備仕様入力'!$G$133="LPG",IF('2-3.設備仕様入力'!$G$139="kW",ROUND('2-3.設備仕様入力'!$G$132*'2-3.設備仕様入力'!$G$137*3.6/1000*VLOOKUP('2-3.設備仕様入力'!$G$134,計算!$N$16:$P$26,2,FALSE),1),""),""),"")</f>
        <v/>
      </c>
      <c r="Z59" s="48" t="str">
        <f>IF('2-3.設備仕様入力'!$G$131="ガスヒートポンプ式空調機",IF('2-3.設備仕様入力'!$G$133="LPG",IF('2-3.設備仕様入力'!$G$139="kW",ROUND('2-3.設備仕様入力'!$G$132*'2-3.設備仕様入力'!$G$138*3.6/1000*VLOOKUP('2-3.設備仕様入力'!$G$134,計算!$N$16:$P$26,3,FALSE),1),""),""),"")</f>
        <v/>
      </c>
      <c r="AA59" s="48" t="str">
        <f t="shared" si="13"/>
        <v/>
      </c>
      <c r="AB59" s="48" t="str">
        <f>IF('2-3.設備仕様入力'!$G$131="ガスヒートポンプ式空調機",IF('2-3.設備仕様入力'!$G$133="LPG",IF('2-3.設備仕様入力'!$G$139="kg/h",ROUND('2-3.設備仕様入力'!$G$132*'2-3.設備仕様入力'!$G$137*計算!$C$11/1000*VLOOKUP('2-3.設備仕様入力'!$G$134,計算!$N$16:$P$26,2,FALSE),1),""),""),"")</f>
        <v/>
      </c>
      <c r="AC59" s="48" t="str">
        <f>IF('2-3.設備仕様入力'!$G$131="ガスヒートポンプ式空調機",IF('2-3.設備仕様入力'!$G$133="LPG",IF('2-3.設備仕様入力'!$G$139="kg/h",ROUND('2-3.設備仕様入力'!$G$132*'2-3.設備仕様入力'!$G$138*計算!$C$11/1000*VLOOKUP('2-3.設備仕様入力'!$G$134,計算!$N$16:$P$26,3,FALSE),1),""),""),"")</f>
        <v/>
      </c>
      <c r="AD59" s="48" t="str">
        <f t="shared" si="14"/>
        <v/>
      </c>
    </row>
    <row r="60" spans="6:30" ht="19.5" x14ac:dyDescent="0.45">
      <c r="N60" s="90" t="s">
        <v>126</v>
      </c>
      <c r="O60" s="41" t="str">
        <f>IF(AND('2-3.設備仕様入力'!H$133="電気",'2-3.設備仕様入力'!H$139="kW"),1,IF(AND('2-3.設備仕様入力'!H$133="都市ガス",'2-3.設備仕様入力'!H$139="kW"),2,IF(AND('2-3.設備仕様入力'!H$133="都市ガス",'2-3.設備仕様入力'!H$139="ｍ3N/h"),3,IF(AND('2-3.設備仕様入力'!H$133="LPG",'2-3.設備仕様入力'!H$139="kW"),4,IF(AND('2-3.設備仕様入力'!H$133="LPG",'2-3.設備仕様入力'!H$139="kg/h"),5,"")))))</f>
        <v/>
      </c>
      <c r="P60" s="48" t="str">
        <f>IF(OR('2-3.設備仕様入力'!$H$131="電気式パッケージ形空調機",'2-3.設備仕様入力'!$H$131="ルームエアコン"),ROUND('2-3.設備仕様入力'!$H$137*'2-3.設備仕様入力'!$H$132*計算!$C$3*VLOOKUP('2-3.設備仕様入力'!$H$134,計算!$N$16:$P$26,2,FALSE)/1000,1),"")</f>
        <v/>
      </c>
      <c r="Q60" s="48" t="str">
        <f>IF(OR('2-3.設備仕様入力'!$H$131="電気式パッケージ形空調機",'2-3.設備仕様入力'!$H$131="ルームエアコン"),ROUND('2-3.設備仕様入力'!$H$138*'2-3.設備仕様入力'!$H$132*計算!$C$3*VLOOKUP('2-3.設備仕様入力'!$H$134,計算!$N$16:$P$26,3,FALSE)/1000,1),"")</f>
        <v/>
      </c>
      <c r="R60" s="48" t="str">
        <f t="shared" si="10"/>
        <v/>
      </c>
      <c r="S60" s="48" t="str">
        <f>IF('2-3.設備仕様入力'!$H$131="ガスヒートポンプ式空調機",IF('2-3.設備仕様入力'!$H$133="都市ガス",IF('2-3.設備仕様入力'!$H$139="kW",ROUND('2-3.設備仕様入力'!$H$132*'2-3.設備仕様入力'!$H$137*3.6/1000*VLOOKUP('2-3.設備仕様入力'!$H$134,計算!$N$16:$P$26,2,FALSE),1),""),""),"")</f>
        <v/>
      </c>
      <c r="T60" s="48" t="str">
        <f>IF('2-3.設備仕様入力'!$H$131="ガスヒートポンプ式空調機",IF('2-3.設備仕様入力'!$H$133="都市ガス",IF('2-3.設備仕様入力'!$H$139="kW",ROUND('2-3.設備仕様入力'!$H$132*'2-3.設備仕様入力'!$H$138*3.6/1000*VLOOKUP('2-3.設備仕様入力'!$H$134,計算!$N$16:$P$26,3,FALSE),1),""),""),"")</f>
        <v/>
      </c>
      <c r="U60" s="48" t="str">
        <f t="shared" si="11"/>
        <v/>
      </c>
      <c r="V60" s="48" t="str">
        <f>IF('2-3.設備仕様入力'!$H$131="ガスヒートポンプ式空調機",IF('2-3.設備仕様入力'!$H$139="ｍ3N/h",ROUND('2-3.設備仕様入力'!$H$132*'2-3.設備仕様入力'!$H$137*計算!$C$10/1000*VLOOKUP('2-3.設備仕様入力'!$H$134,計算!$N$16:$P$26,2,FALSE),1),""),"")</f>
        <v/>
      </c>
      <c r="W60" s="48" t="str">
        <f>IF('2-3.設備仕様入力'!$H$131="ガスヒートポンプ式空調機",IF('2-3.設備仕様入力'!$H$139="ｍ3N/h",ROUND('2-3.設備仕様入力'!$H$132*'2-3.設備仕様入力'!$H$138*計算!$C$10/1000*VLOOKUP('2-3.設備仕様入力'!$H$134,計算!$N$16:$P$26,3,FALSE),1),""),"")</f>
        <v/>
      </c>
      <c r="X60" s="48" t="str">
        <f t="shared" si="12"/>
        <v/>
      </c>
      <c r="Y60" s="48" t="str">
        <f>IF('2-3.設備仕様入力'!$H$131="ガスヒートポンプ式空調機",IF('2-3.設備仕様入力'!$H$133="LPG",IF('2-3.設備仕様入力'!$H$139="kW",ROUND('2-3.設備仕様入力'!$H$132*'2-3.設備仕様入力'!$H$137*3.6/1000*VLOOKUP('2-3.設備仕様入力'!$H$134,計算!$N$16:$P$26,2,FALSE),1),""),""),"")</f>
        <v/>
      </c>
      <c r="Z60" s="48" t="str">
        <f>IF('2-3.設備仕様入力'!$H$131="ガスヒートポンプ式空調機",IF('2-3.設備仕様入力'!$H$133="LPG",IF('2-3.設備仕様入力'!$H$139="kW",ROUND('2-3.設備仕様入力'!$H$132*'2-3.設備仕様入力'!$H$138*3.6/1000*VLOOKUP('2-3.設備仕様入力'!$H$134,計算!$N$16:$P$26,3,FALSE),1),""),""),"")</f>
        <v/>
      </c>
      <c r="AA60" s="48" t="str">
        <f t="shared" si="13"/>
        <v/>
      </c>
      <c r="AB60" s="48" t="str">
        <f>IF('2-3.設備仕様入力'!$H$131="ガスヒートポンプ式空調機",IF('2-3.設備仕様入力'!$H$133="LPG",IF('2-3.設備仕様入力'!$H$139="kg/h",ROUND('2-3.設備仕様入力'!$H$132*'2-3.設備仕様入力'!$H$137*計算!$C$11/1000*VLOOKUP('2-3.設備仕様入力'!$H$134,計算!$N$16:$P$26,2,FALSE),1),""),""),"")</f>
        <v/>
      </c>
      <c r="AC60" s="48" t="str">
        <f>IF('2-3.設備仕様入力'!$H$131="ガスヒートポンプ式空調機",IF('2-3.設備仕様入力'!$H$133="LPG",IF('2-3.設備仕様入力'!$H$139="kg/h",ROUND('2-3.設備仕様入力'!$H$132*'2-3.設備仕様入力'!$H$138*計算!$C$11/1000*VLOOKUP('2-3.設備仕様入力'!$H$134,計算!$N$16:$P$26,3,FALSE),1),""),""),"")</f>
        <v/>
      </c>
      <c r="AD60" s="48" t="str">
        <f t="shared" si="14"/>
        <v/>
      </c>
    </row>
    <row r="61" spans="6:30" ht="19.5" x14ac:dyDescent="0.45">
      <c r="N61" s="90" t="s">
        <v>127</v>
      </c>
      <c r="O61" s="41" t="str">
        <f>IF(AND('2-3.設備仕様入力'!I$133="電気",'2-3.設備仕様入力'!I$139="kW"),1,IF(AND('2-3.設備仕様入力'!I$133="都市ガス",'2-3.設備仕様入力'!I$139="kW"),2,IF(AND('2-3.設備仕様入力'!I$133="都市ガス",'2-3.設備仕様入力'!I$139="ｍ3N/h"),3,IF(AND('2-3.設備仕様入力'!I$133="LPG",'2-3.設備仕様入力'!I$139="kW"),4,IF(AND('2-3.設備仕様入力'!I$133="LPG",'2-3.設備仕様入力'!I$139="kg/h"),5,"")))))</f>
        <v/>
      </c>
      <c r="P61" s="48" t="str">
        <f>IF(OR('2-3.設備仕様入力'!$I$131="電気式パッケージ形空調機",'2-3.設備仕様入力'!$I$131="ルームエアコン"),ROUND('2-3.設備仕様入力'!$I$137*'2-3.設備仕様入力'!$I$132*計算!$C$3*VLOOKUP('2-3.設備仕様入力'!$I$134,計算!$N$16:$P$26,2,FALSE)/1000,1),"")</f>
        <v/>
      </c>
      <c r="Q61" s="48" t="str">
        <f>IF(OR('2-3.設備仕様入力'!$I$131="電気式パッケージ形空調機",'2-3.設備仕様入力'!$I$131="ルームエアコン"),ROUND('2-3.設備仕様入力'!$I$138*'2-3.設備仕様入力'!$I$132*計算!$C$3*VLOOKUP('2-3.設備仕様入力'!$I$134,計算!$N$16:$P$26,3,FALSE)/1000,1),"")</f>
        <v/>
      </c>
      <c r="R61" s="48" t="str">
        <f t="shared" si="10"/>
        <v/>
      </c>
      <c r="S61" s="48" t="str">
        <f>IF('2-3.設備仕様入力'!$I$131="ガスヒートポンプ式空調機",IF('2-3.設備仕様入力'!$I$133="都市ガス",IF('2-3.設備仕様入力'!$I$139="kW",ROUND('2-3.設備仕様入力'!$I$132*'2-3.設備仕様入力'!$I$137*3.6/1000*VLOOKUP('2-3.設備仕様入力'!$I$134,計算!$N$16:$P$26,2,FALSE),1),""),""),"")</f>
        <v/>
      </c>
      <c r="T61" s="48" t="str">
        <f>IF('2-3.設備仕様入力'!$I$131="ガスヒートポンプ式空調機",IF('2-3.設備仕様入力'!$I$133="都市ガス",IF('2-3.設備仕様入力'!$I$139="kW",ROUND('2-3.設備仕様入力'!$I$132*'2-3.設備仕様入力'!$I$138*3.6/1000*VLOOKUP('2-3.設備仕様入力'!$I$134,計算!$N$16:$P$26,3,FALSE),1),""),""),"")</f>
        <v/>
      </c>
      <c r="U61" s="48" t="str">
        <f t="shared" si="11"/>
        <v/>
      </c>
      <c r="V61" s="48" t="str">
        <f>IF('2-3.設備仕様入力'!$I$131="ガスヒートポンプ式空調機",IF('2-3.設備仕様入力'!$I$139="ｍ3N/h",ROUND('2-3.設備仕様入力'!$I$132*'2-3.設備仕様入力'!$I$137*計算!$C$10/1000*VLOOKUP('2-3.設備仕様入力'!$I$134,計算!$N$16:$P$26,2,FALSE),1),""),"")</f>
        <v/>
      </c>
      <c r="W61" s="48" t="str">
        <f>IF('2-3.設備仕様入力'!$I$131="ガスヒートポンプ式空調機",IF('2-3.設備仕様入力'!$I$139="ｍ3N/h",ROUND('2-3.設備仕様入力'!$I$132*'2-3.設備仕様入力'!$I$138*計算!$C$10/1000*VLOOKUP('2-3.設備仕様入力'!$I$134,計算!$N$16:$P$26,3,FALSE),1),""),"")</f>
        <v/>
      </c>
      <c r="X61" s="48" t="str">
        <f t="shared" si="12"/>
        <v/>
      </c>
      <c r="Y61" s="48" t="str">
        <f>IF('2-3.設備仕様入力'!$I$131="ガスヒートポンプ式空調機",IF('2-3.設備仕様入力'!$I$133="LPG",IF('2-3.設備仕様入力'!$I$139="kW",ROUND('2-3.設備仕様入力'!$I$132*'2-3.設備仕様入力'!$I$137*3.6/1000*VLOOKUP('2-3.設備仕様入力'!$I$134,計算!$N$16:$P$26,2,FALSE),1),""),""),"")</f>
        <v/>
      </c>
      <c r="Z61" s="48" t="str">
        <f>IF('2-3.設備仕様入力'!$I$131="ガスヒートポンプ式空調機",IF('2-3.設備仕様入力'!$I$133="LPG",IF('2-3.設備仕様入力'!$I$139="kW",ROUND('2-3.設備仕様入力'!$I$132*'2-3.設備仕様入力'!$I$138*3.6/1000*VLOOKUP('2-3.設備仕様入力'!$I$134,計算!$N$16:$P$26,3,FALSE),1),""),""),"")</f>
        <v/>
      </c>
      <c r="AA61" s="48" t="str">
        <f t="shared" si="13"/>
        <v/>
      </c>
      <c r="AB61" s="48" t="str">
        <f>IF('2-3.設備仕様入力'!$I$131="ガスヒートポンプ式空調機",IF('2-3.設備仕様入力'!$I$133="LPG",IF('2-3.設備仕様入力'!$I$139="kg/h",ROUND('2-3.設備仕様入力'!$I$132*'2-3.設備仕様入力'!$I$137*計算!$C$11/1000*VLOOKUP('2-3.設備仕様入力'!$I$134,計算!$N$16:$P$26,2,FALSE),1),""),""),"")</f>
        <v/>
      </c>
      <c r="AC61" s="48" t="str">
        <f>IF('2-3.設備仕様入力'!$I$131="ガスヒートポンプ式空調機",IF('2-3.設備仕様入力'!$I$133="LPG",IF('2-3.設備仕様入力'!$I$139="kg/h",ROUND('2-3.設備仕様入力'!$I$132*'2-3.設備仕様入力'!$I$138*計算!$C$11/1000*VLOOKUP('2-3.設備仕様入力'!$I$134,計算!$N$16:$P$26,3,FALSE),1),""),""),"")</f>
        <v/>
      </c>
      <c r="AD61" s="48" t="str">
        <f t="shared" si="14"/>
        <v/>
      </c>
    </row>
    <row r="62" spans="6:30" ht="19.5" x14ac:dyDescent="0.45">
      <c r="N62" s="90" t="s">
        <v>128</v>
      </c>
      <c r="O62" s="41" t="str">
        <f>IF(AND('2-3.設備仕様入力'!J$133="電気",'2-3.設備仕様入力'!J$139="kW"),1,IF(AND('2-3.設備仕様入力'!J$133="都市ガス",'2-3.設備仕様入力'!J$139="kW"),2,IF(AND('2-3.設備仕様入力'!J$133="都市ガス",'2-3.設備仕様入力'!J$139="ｍ3N/h"),3,IF(AND('2-3.設備仕様入力'!J$133="LPG",'2-3.設備仕様入力'!J$139="kW"),4,IF(AND('2-3.設備仕様入力'!J$133="LPG",'2-3.設備仕様入力'!J$139="kg/h"),5,"")))))</f>
        <v/>
      </c>
      <c r="P62" s="48" t="str">
        <f>IF(OR('2-3.設備仕様入力'!$J$131="電気式パッケージ形空調機",'2-3.設備仕様入力'!$J$131="ルームエアコン"),ROUND('2-3.設備仕様入力'!$J$137*'2-3.設備仕様入力'!$J$132*計算!$C$3*VLOOKUP('2-3.設備仕様入力'!$J$134,計算!$N$16:$P$26,2,FALSE)/1000,1),"")</f>
        <v/>
      </c>
      <c r="Q62" s="48" t="str">
        <f>IF(OR('2-3.設備仕様入力'!$J$131="電気式パッケージ形空調機",'2-3.設備仕様入力'!$J$131="ルームエアコン"),ROUND('2-3.設備仕様入力'!$J$138*'2-3.設備仕様入力'!$J$132*計算!$C$3*VLOOKUP('2-3.設備仕様入力'!$J$134,計算!$N$16:$P$26,3,FALSE)/1000,1),"")</f>
        <v/>
      </c>
      <c r="R62" s="48" t="str">
        <f t="shared" si="10"/>
        <v/>
      </c>
      <c r="S62" s="48" t="str">
        <f>IF('2-3.設備仕様入力'!$J$131="ガスヒートポンプ式空調機",IF('2-3.設備仕様入力'!$J$133="都市ガス",IF('2-3.設備仕様入力'!$J$139="kW",ROUND('2-3.設備仕様入力'!$J$132*'2-3.設備仕様入力'!$J$137*3.6/1000*VLOOKUP('2-3.設備仕様入力'!$J$134,計算!$N$16:$P$26,2,FALSE),1),""),""),"")</f>
        <v/>
      </c>
      <c r="T62" s="48" t="str">
        <f>IF('2-3.設備仕様入力'!$J$131="ガスヒートポンプ式空調機",IF('2-3.設備仕様入力'!$J$133="都市ガス",IF('2-3.設備仕様入力'!$J$139="kW",ROUND('2-3.設備仕様入力'!$J$132*'2-3.設備仕様入力'!$J$138*3.6/1000*VLOOKUP('2-3.設備仕様入力'!$J$134,計算!$N$16:$P$26,3,FALSE),1),""),""),"")</f>
        <v/>
      </c>
      <c r="U62" s="48" t="str">
        <f t="shared" si="11"/>
        <v/>
      </c>
      <c r="V62" s="48" t="str">
        <f>IF('2-3.設備仕様入力'!$J$131="ガスヒートポンプ式空調機",IF('2-3.設備仕様入力'!$J$139="ｍ3N/h",ROUND('2-3.設備仕様入力'!$J$132*'2-3.設備仕様入力'!$J$137*計算!$C$10/1000*VLOOKUP('2-3.設備仕様入力'!$J$134,計算!$N$16:$P$26,2,FALSE),1),""),"")</f>
        <v/>
      </c>
      <c r="W62" s="48" t="str">
        <f>IF('2-3.設備仕様入力'!$J$131="ガスヒートポンプ式空調機",IF('2-3.設備仕様入力'!$J$139="ｍ3N/h",ROUND('2-3.設備仕様入力'!$J$132*'2-3.設備仕様入力'!$J$138*計算!$C$10/1000*VLOOKUP('2-3.設備仕様入力'!$J$134,計算!$N$16:$P$26,3,FALSE),1),""),"")</f>
        <v/>
      </c>
      <c r="X62" s="48" t="str">
        <f t="shared" si="12"/>
        <v/>
      </c>
      <c r="Y62" s="48" t="str">
        <f>IF('2-3.設備仕様入力'!$J$131="ガスヒートポンプ式空調機",IF('2-3.設備仕様入力'!$J$133="LPG",IF('2-3.設備仕様入力'!$J$139="kW",ROUND('2-3.設備仕様入力'!$J$132*'2-3.設備仕様入力'!$J$137*3.6/1000*VLOOKUP('2-3.設備仕様入力'!$J$134,計算!$N$16:$P$26,2,FALSE),1),""),""),"")</f>
        <v/>
      </c>
      <c r="Z62" s="48" t="str">
        <f>IF('2-3.設備仕様入力'!$J$131="ガスヒートポンプ式空調機",IF('2-3.設備仕様入力'!$J$133="LPG",IF('2-3.設備仕様入力'!$J$139="kW",ROUND('2-3.設備仕様入力'!$J$132*'2-3.設備仕様入力'!$J$138*3.6/1000*VLOOKUP('2-3.設備仕様入力'!$J$134,計算!$N$16:$P$26,3,FALSE),1),""),""),"")</f>
        <v/>
      </c>
      <c r="AA62" s="48" t="str">
        <f t="shared" si="13"/>
        <v/>
      </c>
      <c r="AB62" s="48" t="str">
        <f>IF('2-3.設備仕様入力'!$J$131="ガスヒートポンプ式空調機",IF('2-3.設備仕様入力'!$J$133="LPG",IF('2-3.設備仕様入力'!$J$139="kg/h",ROUND('2-3.設備仕様入力'!$J$132*'2-3.設備仕様入力'!$J$137*計算!$C$11/1000*VLOOKUP('2-3.設備仕様入力'!$J$134,計算!$N$16:$P$26,2,FALSE),1),""),""),"")</f>
        <v/>
      </c>
      <c r="AC62" s="48" t="str">
        <f>IF('2-3.設備仕様入力'!$J$131="ガスヒートポンプ式空調機",IF('2-3.設備仕様入力'!$J$133="LPG",IF('2-3.設備仕様入力'!$J$139="kg/h",ROUND('2-3.設備仕様入力'!$J$132*'2-3.設備仕様入力'!$J$138*計算!$C$11/1000*VLOOKUP('2-3.設備仕様入力'!$J$134,計算!$N$16:$P$26,3,FALSE),1),""),""),"")</f>
        <v/>
      </c>
      <c r="AD62" s="48" t="str">
        <f t="shared" si="14"/>
        <v/>
      </c>
    </row>
    <row r="63" spans="6:30" ht="19.5" x14ac:dyDescent="0.45">
      <c r="N63" s="90" t="s">
        <v>129</v>
      </c>
      <c r="O63" s="41" t="str">
        <f>IF(AND('2-3.設備仕様入力'!K$133="電気",'2-3.設備仕様入力'!K$139="kW"),1,IF(AND('2-3.設備仕様入力'!K$133="都市ガス",'2-3.設備仕様入力'!K$139="kW"),2,IF(AND('2-3.設備仕様入力'!K$133="都市ガス",'2-3.設備仕様入力'!K$139="ｍ3N/h"),3,IF(AND('2-3.設備仕様入力'!K$133="LPG",'2-3.設備仕様入力'!K$139="kW"),4,IF(AND('2-3.設備仕様入力'!K$133="LPG",'2-3.設備仕様入力'!K$139="kg/h"),5,"")))))</f>
        <v/>
      </c>
      <c r="P63" s="48" t="str">
        <f>IF(OR('2-3.設備仕様入力'!$K$131="電気式パッケージ形空調機",'2-3.設備仕様入力'!$K$131="ルームエアコン"),ROUND('2-3.設備仕様入力'!$K$137*'2-3.設備仕様入力'!$K$132*計算!$C$3*VLOOKUP('2-3.設備仕様入力'!$K$134,計算!$N$16:$P$26,2,FALSE)/1000,1),"")</f>
        <v/>
      </c>
      <c r="Q63" s="48" t="str">
        <f>IF(OR('2-3.設備仕様入力'!$K$131="電気式パッケージ形空調機",'2-3.設備仕様入力'!$K$131="ルームエアコン"),ROUND('2-3.設備仕様入力'!$K$138*'2-3.設備仕様入力'!$K$132*計算!$C$3*VLOOKUP('2-3.設備仕様入力'!$K$134,計算!$N$16:$P$26,3,FALSE)/1000,1),"")</f>
        <v/>
      </c>
      <c r="R63" s="48" t="str">
        <f t="shared" si="10"/>
        <v/>
      </c>
      <c r="S63" s="48" t="str">
        <f>IF('2-3.設備仕様入力'!$K$131="ガスヒートポンプ式空調機",IF('2-3.設備仕様入力'!$K$133="都市ガス",IF('2-3.設備仕様入力'!$K$139="kW",ROUND('2-3.設備仕様入力'!$K$132*'2-3.設備仕様入力'!$K$137*3.6/1000*VLOOKUP('2-3.設備仕様入力'!$K$134,計算!$N$16:$P$26,2,FALSE),1),""),""),"")</f>
        <v/>
      </c>
      <c r="T63" s="48" t="str">
        <f>IF('2-3.設備仕様入力'!$K$131="ガスヒートポンプ式空調機",IF('2-3.設備仕様入力'!$K$133="都市ガス",IF('2-3.設備仕様入力'!$K$139="kW",ROUND('2-3.設備仕様入力'!$K$132*'2-3.設備仕様入力'!$K$138*3.6/1000*VLOOKUP('2-3.設備仕様入力'!$K$134,計算!$N$16:$P$26,3,FALSE),1),""),""),"")</f>
        <v/>
      </c>
      <c r="U63" s="48" t="str">
        <f t="shared" si="11"/>
        <v/>
      </c>
      <c r="V63" s="48" t="str">
        <f>IF('2-3.設備仕様入力'!$K$131="ガスヒートポンプ式空調機",IF('2-3.設備仕様入力'!$K$139="ｍ3N/h",ROUND('2-3.設備仕様入力'!$K$132*'2-3.設備仕様入力'!$K$137*計算!$C$10/1000*VLOOKUP('2-3.設備仕様入力'!$K$134,計算!$N$16:$P$26,2,FALSE),1),""),"")</f>
        <v/>
      </c>
      <c r="W63" s="48" t="str">
        <f>IF('2-3.設備仕様入力'!$K$131="ガスヒートポンプ式空調機",IF('2-3.設備仕様入力'!$K$139="ｍ3N/h",ROUND('2-3.設備仕様入力'!$K$132*'2-3.設備仕様入力'!$K$138*計算!$C$10/1000*VLOOKUP('2-3.設備仕様入力'!$K$134,計算!$N$16:$P$26,3,FALSE),1),""),"")</f>
        <v/>
      </c>
      <c r="X63" s="48" t="str">
        <f t="shared" si="12"/>
        <v/>
      </c>
      <c r="Y63" s="48" t="str">
        <f>IF('2-3.設備仕様入力'!$K$131="ガスヒートポンプ式空調機",IF('2-3.設備仕様入力'!$K$133="LPG",IF('2-3.設備仕様入力'!$K$139="kW",ROUND('2-3.設備仕様入力'!$K$132*'2-3.設備仕様入力'!$K$137*3.6/1000*VLOOKUP('2-3.設備仕様入力'!$K$134,計算!$N$16:$P$26,2,FALSE),1),""),""),"")</f>
        <v/>
      </c>
      <c r="Z63" s="48" t="str">
        <f>IF('2-3.設備仕様入力'!$K$131="ガスヒートポンプ式空調機",IF('2-3.設備仕様入力'!$K$133="LPG",IF('2-3.設備仕様入力'!$K$139="kW",ROUND('2-3.設備仕様入力'!$K$132*'2-3.設備仕様入力'!$K$138*3.6/1000*VLOOKUP('2-3.設備仕様入力'!$K$134,計算!$N$16:$P$26,3,FALSE),1),""),""),"")</f>
        <v/>
      </c>
      <c r="AA63" s="48" t="str">
        <f t="shared" si="13"/>
        <v/>
      </c>
      <c r="AB63" s="48" t="str">
        <f>IF('2-3.設備仕様入力'!$K$131="ガスヒートポンプ式空調機",IF('2-3.設備仕様入力'!$K$133="LPG",IF('2-3.設備仕様入力'!$K$139="kg/h",ROUND('2-3.設備仕様入力'!$K$132*'2-3.設備仕様入力'!$K$137*計算!$C$11/1000*VLOOKUP('2-3.設備仕様入力'!$K$134,計算!$N$16:$P$26,2,FALSE),1),""),""),"")</f>
        <v/>
      </c>
      <c r="AC63" s="48" t="str">
        <f>IF('2-3.設備仕様入力'!$K$131="ガスヒートポンプ式空調機",IF('2-3.設備仕様入力'!$K$133="LPG",IF('2-3.設備仕様入力'!$K$139="kg/h",ROUND('2-3.設備仕様入力'!$K$132*'2-3.設備仕様入力'!$K$138*計算!$C$11/1000*VLOOKUP('2-3.設備仕様入力'!$K$134,計算!$N$16:$P$26,3,FALSE),1),""),""),"")</f>
        <v/>
      </c>
      <c r="AD63" s="48" t="str">
        <f t="shared" si="14"/>
        <v/>
      </c>
    </row>
    <row r="64" spans="6:30" ht="19.5" x14ac:dyDescent="0.45">
      <c r="N64" s="90" t="s">
        <v>130</v>
      </c>
      <c r="O64" s="41" t="str">
        <f>IF(AND('2-3.設備仕様入力'!L$133="電気",'2-3.設備仕様入力'!L$139="kW"),1,IF(AND('2-3.設備仕様入力'!L$133="都市ガス",'2-3.設備仕様入力'!L$139="kW"),2,IF(AND('2-3.設備仕様入力'!L$133="都市ガス",'2-3.設備仕様入力'!L$139="ｍ3N/h"),3,IF(AND('2-3.設備仕様入力'!L$133="LPG",'2-3.設備仕様入力'!L$139="kW"),4,IF(AND('2-3.設備仕様入力'!L$133="LPG",'2-3.設備仕様入力'!L$139="kg/h"),5,"")))))</f>
        <v/>
      </c>
      <c r="P64" s="48" t="str">
        <f>IF(OR('2-3.設備仕様入力'!$L$131="電気式パッケージ形空調機",'2-3.設備仕様入力'!$L$131="ルームエアコン"),ROUND('2-3.設備仕様入力'!$L$137*'2-3.設備仕様入力'!$L$132*計算!$C$3*VLOOKUP('2-3.設備仕様入力'!$L$134,計算!$N$16:$P$26,2,FALSE)/1000,1),"")</f>
        <v/>
      </c>
      <c r="Q64" s="48" t="str">
        <f>IF(OR('2-3.設備仕様入力'!$L$131="電気式パッケージ形空調機",'2-3.設備仕様入力'!$L$131="ルームエアコン"),ROUND('2-3.設備仕様入力'!$L$138*'2-3.設備仕様入力'!$L$132*計算!$C$3*VLOOKUP('2-3.設備仕様入力'!$L$134,計算!$N$16:$P$26,3,FALSE)/1000,1),"")</f>
        <v/>
      </c>
      <c r="R64" s="48" t="str">
        <f t="shared" si="10"/>
        <v/>
      </c>
      <c r="S64" s="48" t="str">
        <f>IF('2-3.設備仕様入力'!$L$131="ガスヒートポンプ式空調機",IF('2-3.設備仕様入力'!$L$133="都市ガス",IF('2-3.設備仕様入力'!$L$139="kW",ROUND('2-3.設備仕様入力'!$L$132*'2-3.設備仕様入力'!$L$137*3.6/1000*VLOOKUP('2-3.設備仕様入力'!$L$134,計算!$N$16:$P$26,2,FALSE),1),""),""),"")</f>
        <v/>
      </c>
      <c r="T64" s="48" t="str">
        <f>IF('2-3.設備仕様入力'!$L$131="ガスヒートポンプ式空調機",IF('2-3.設備仕様入力'!$L$133="都市ガス",IF('2-3.設備仕様入力'!$L$139="kW",ROUND('2-3.設備仕様入力'!$L$132*'2-3.設備仕様入力'!$L$138*3.6/1000*VLOOKUP('2-3.設備仕様入力'!$L$134,計算!$N$16:$P$26,3,FALSE),1),""),""),"")</f>
        <v/>
      </c>
      <c r="U64" s="48" t="str">
        <f t="shared" si="11"/>
        <v/>
      </c>
      <c r="V64" s="48" t="str">
        <f>IF('2-3.設備仕様入力'!$L$131="ガスヒートポンプ式空調機",IF('2-3.設備仕様入力'!$L$139="ｍ3N/h",ROUND('2-3.設備仕様入力'!$L$132*'2-3.設備仕様入力'!$L$137*計算!$C$10/1000*VLOOKUP('2-3.設備仕様入力'!$L$134,計算!$N$16:$P$26,2,FALSE),1),""),"")</f>
        <v/>
      </c>
      <c r="W64" s="48" t="str">
        <f>IF('2-3.設備仕様入力'!$L$131="ガスヒートポンプ式空調機",IF('2-3.設備仕様入力'!$L$139="ｍ3N/h",ROUND('2-3.設備仕様入力'!$L$132*'2-3.設備仕様入力'!$L$138*計算!$C$10/1000*VLOOKUP('2-3.設備仕様入力'!$L$134,計算!$N$16:$P$26,3,FALSE),1),""),"")</f>
        <v/>
      </c>
      <c r="X64" s="48" t="str">
        <f t="shared" si="12"/>
        <v/>
      </c>
      <c r="Y64" s="48" t="str">
        <f>IF('2-3.設備仕様入力'!$L$131="ガスヒートポンプ式空調機",IF('2-3.設備仕様入力'!$L$133="LPG",IF('2-3.設備仕様入力'!$L$139="kW",ROUND('2-3.設備仕様入力'!$L$132*'2-3.設備仕様入力'!$L$137*3.6/1000*VLOOKUP('2-3.設備仕様入力'!$L$134,計算!$N$16:$P$26,2,FALSE),1),""),""),"")</f>
        <v/>
      </c>
      <c r="Z64" s="48" t="str">
        <f>IF('2-3.設備仕様入力'!$L$131="ガスヒートポンプ式空調機",IF('2-3.設備仕様入力'!$L$133="LPG",IF('2-3.設備仕様入力'!$L$139="kW",ROUND('2-3.設備仕様入力'!$L$132*'2-3.設備仕様入力'!$L$138*3.6/1000*VLOOKUP('2-3.設備仕様入力'!$L$134,計算!$N$16:$P$26,3,FALSE),1),""),""),"")</f>
        <v/>
      </c>
      <c r="AA64" s="48" t="str">
        <f t="shared" si="13"/>
        <v/>
      </c>
      <c r="AB64" s="48" t="str">
        <f>IF('2-3.設備仕様入力'!$L$131="ガスヒートポンプ式空調機",IF('2-3.設備仕様入力'!$L$133="LPG",IF('2-3.設備仕様入力'!$L$139="kg/h",ROUND('2-3.設備仕様入力'!$L$132*'2-3.設備仕様入力'!$L$137*計算!$C$11/1000*VLOOKUP('2-3.設備仕様入力'!$L$134,計算!$N$16:$P$26,2,FALSE),1),""),""),"")</f>
        <v/>
      </c>
      <c r="AC64" s="48" t="str">
        <f>IF('2-3.設備仕様入力'!$L$131="ガスヒートポンプ式空調機",IF('2-3.設備仕様入力'!$L$133="LPG",IF('2-3.設備仕様入力'!$L$139="kg/h",ROUND('2-3.設備仕様入力'!$L$132*'2-3.設備仕様入力'!$L$138*計算!$C$11/1000*VLOOKUP('2-3.設備仕様入力'!$L$134,計算!$N$16:$P$26,3,FALSE),1),""),""),"")</f>
        <v/>
      </c>
      <c r="AD64" s="48" t="str">
        <f t="shared" si="14"/>
        <v/>
      </c>
    </row>
    <row r="65" spans="14:30" ht="19.5" x14ac:dyDescent="0.45">
      <c r="N65" s="90" t="s">
        <v>131</v>
      </c>
      <c r="O65" s="41" t="str">
        <f>IF(AND('2-3.設備仕様入力'!M$133="電気",'2-3.設備仕様入力'!M$139="kW"),1,IF(AND('2-3.設備仕様入力'!M$133="都市ガス",'2-3.設備仕様入力'!M$139="kW"),2,IF(AND('2-3.設備仕様入力'!M$133="都市ガス",'2-3.設備仕様入力'!M$139="ｍ3N/h"),3,IF(AND('2-3.設備仕様入力'!M$133="LPG",'2-3.設備仕様入力'!M$139="kW"),4,IF(AND('2-3.設備仕様入力'!M$133="LPG",'2-3.設備仕様入力'!M$139="kg/h"),5,"")))))</f>
        <v/>
      </c>
      <c r="P65" s="48" t="str">
        <f>IF(OR('2-3.設備仕様入力'!$M$131="電気式パッケージ形空調機",'2-3.設備仕様入力'!$M$131="ルームエアコン"),ROUND('2-3.設備仕様入力'!$M$137*'2-3.設備仕様入力'!$M$132*計算!$C$3*VLOOKUP('2-3.設備仕様入力'!$M$134,計算!$N$16:$P$26,2,FALSE)/1000,1),"")</f>
        <v/>
      </c>
      <c r="Q65" s="48" t="str">
        <f>IF(OR('2-3.設備仕様入力'!$M$131="電気式パッケージ形空調機",'2-3.設備仕様入力'!$M$131="ルームエアコン"),ROUND('2-3.設備仕様入力'!$M$138*'2-3.設備仕様入力'!$M$132*計算!$C$3*VLOOKUP('2-3.設備仕様入力'!$M$134,計算!$N$16:$P$26,3,FALSE)/1000,1),"")</f>
        <v/>
      </c>
      <c r="R65" s="48" t="str">
        <f t="shared" si="10"/>
        <v/>
      </c>
      <c r="S65" s="48" t="str">
        <f>IF('2-3.設備仕様入力'!$M$131="ガスヒートポンプ式空調機",IF('2-3.設備仕様入力'!$M$133="都市ガス",IF('2-3.設備仕様入力'!$M$139="kW",ROUND('2-3.設備仕様入力'!$M$132*'2-3.設備仕様入力'!$M$137*3.6/1000*VLOOKUP('2-3.設備仕様入力'!$M$134,計算!$N$16:$P$26,2,FALSE),1),""),""),"")</f>
        <v/>
      </c>
      <c r="T65" s="48" t="str">
        <f>IF('2-3.設備仕様入力'!$M$131="ガスヒートポンプ式空調機",IF('2-3.設備仕様入力'!$M$133="都市ガス",IF('2-3.設備仕様入力'!$M$139="kW",ROUND('2-3.設備仕様入力'!$M$132*'2-3.設備仕様入力'!$M$138*3.6/1000*VLOOKUP('2-3.設備仕様入力'!$M$134,計算!$N$16:$P$26,3,FALSE),1),""),""),"")</f>
        <v/>
      </c>
      <c r="U65" s="48" t="str">
        <f t="shared" si="11"/>
        <v/>
      </c>
      <c r="V65" s="48" t="str">
        <f>IF('2-3.設備仕様入力'!$M$131="ガスヒートポンプ式空調機",IF('2-3.設備仕様入力'!$M$139="ｍ3N/h",ROUND('2-3.設備仕様入力'!$M$132*'2-3.設備仕様入力'!$M$137*計算!$C$10/1000*VLOOKUP('2-3.設備仕様入力'!$M$134,計算!$N$16:$P$26,2,FALSE),1),""),"")</f>
        <v/>
      </c>
      <c r="W65" s="48" t="str">
        <f>IF('2-3.設備仕様入力'!$M$131="ガスヒートポンプ式空調機",IF('2-3.設備仕様入力'!$M$139="ｍ3N/h",ROUND('2-3.設備仕様入力'!$M$132*'2-3.設備仕様入力'!$M$138*計算!$C$10/1000*VLOOKUP('2-3.設備仕様入力'!$M$134,計算!$N$16:$P$26,3,FALSE),1),""),"")</f>
        <v/>
      </c>
      <c r="X65" s="48" t="str">
        <f t="shared" si="12"/>
        <v/>
      </c>
      <c r="Y65" s="48" t="str">
        <f>IF('2-3.設備仕様入力'!$M$131="ガスヒートポンプ式空調機",IF('2-3.設備仕様入力'!$M$133="LPG",IF('2-3.設備仕様入力'!$M$139="kW",ROUND('2-3.設備仕様入力'!$M$132*'2-3.設備仕様入力'!$M$137*3.6/1000*VLOOKUP('2-3.設備仕様入力'!$M$134,計算!$N$16:$P$26,2,FALSE),1),""),""),"")</f>
        <v/>
      </c>
      <c r="Z65" s="48" t="str">
        <f>IF('2-3.設備仕様入力'!$M$131="ガスヒートポンプ式空調機",IF('2-3.設備仕様入力'!$M$133="LPG",IF('2-3.設備仕様入力'!$M$139="kW",ROUND('2-3.設備仕様入力'!$M$132*'2-3.設備仕様入力'!$M$138*3.6/1000*VLOOKUP('2-3.設備仕様入力'!$M$134,計算!$N$16:$P$26,3,FALSE),1),""),""),"")</f>
        <v/>
      </c>
      <c r="AA65" s="48" t="str">
        <f t="shared" si="13"/>
        <v/>
      </c>
      <c r="AB65" s="48" t="str">
        <f>IF('2-3.設備仕様入力'!$M$131="ガスヒートポンプ式空調機",IF('2-3.設備仕様入力'!$M$133="LPG",IF('2-3.設備仕様入力'!$M$139="kg/h",ROUND('2-3.設備仕様入力'!$M$132*'2-3.設備仕様入力'!$M$137*計算!$C$11/1000*VLOOKUP('2-3.設備仕様入力'!$M$134,計算!$N$16:$P$26,2,FALSE),1),""),""),"")</f>
        <v/>
      </c>
      <c r="AC65" s="48" t="str">
        <f>IF('2-3.設備仕様入力'!$M$131="ガスヒートポンプ式空調機",IF('2-3.設備仕様入力'!$M$133="LPG",IF('2-3.設備仕様入力'!$M$139="kg/h",ROUND('2-3.設備仕様入力'!$M$132*'2-3.設備仕様入力'!$M$138*計算!$C$11/1000*VLOOKUP('2-3.設備仕様入力'!$M$134,計算!$N$16:$P$26,3,FALSE),1),""),""),"")</f>
        <v/>
      </c>
      <c r="AD65" s="48" t="str">
        <f t="shared" si="14"/>
        <v/>
      </c>
    </row>
    <row r="66" spans="14:30" ht="19.5" x14ac:dyDescent="0.45">
      <c r="N66" s="90" t="s">
        <v>401</v>
      </c>
      <c r="O66" s="41" t="str">
        <f>IF(AND('2-3.設備仕様入力'!N$133="電気",'2-3.設備仕様入力'!N$139="kW"),1,IF(AND('2-3.設備仕様入力'!N$133="都市ガス",'2-3.設備仕様入力'!N$139="kW"),2,IF(AND('2-3.設備仕様入力'!N$133="都市ガス",'2-3.設備仕様入力'!N$139="ｍ3N/h"),3,IF(AND('2-3.設備仕様入力'!N$133="LPG",'2-3.設備仕様入力'!N$139="kW"),4,IF(AND('2-3.設備仕様入力'!N$133="LPG",'2-3.設備仕様入力'!N$139="kg/h"),5,"")))))</f>
        <v/>
      </c>
      <c r="P66" s="48" t="str">
        <f>IF(OR('2-3.設備仕様入力'!$N$131="電気式パッケージ形空調機",'2-3.設備仕様入力'!$N$131="ルームエアコン"),ROUND('2-3.設備仕様入力'!$N$137*'2-3.設備仕様入力'!$N$132*計算!$C$3*VLOOKUP('2-3.設備仕様入力'!$N$134,計算!$N$16:$P$26,2,FALSE)/1000,1),"")</f>
        <v/>
      </c>
      <c r="Q66" s="48" t="str">
        <f>IF(OR('2-3.設備仕様入力'!$N$131="電気式パッケージ形空調機",'2-3.設備仕様入力'!$N$131="ルームエアコン"),ROUND('2-3.設備仕様入力'!$N$138*'2-3.設備仕様入力'!$N$132*計算!$C$3*VLOOKUP('2-3.設備仕様入力'!$N$134,計算!$N$16:$P$26,3,FALSE)/1000,1),"")</f>
        <v/>
      </c>
      <c r="R66" s="48" t="str">
        <f t="shared" ref="R66:R75" si="15">IF(AND(P66="",Q66=""),"",P66+Q66)</f>
        <v/>
      </c>
      <c r="S66" s="48" t="str">
        <f>IF('2-3.設備仕様入力'!$N$131="ガスヒートポンプ式空調機",IF('2-3.設備仕様入力'!$N$133="都市ガス",IF('2-3.設備仕様入力'!$N$139="kW",ROUND('2-3.設備仕様入力'!$N$132*'2-3.設備仕様入力'!$N$137*3.6/1000*VLOOKUP('2-3.設備仕様入力'!$N$134,計算!$N$16:$P$26,2,FALSE),1),""),""),"")</f>
        <v/>
      </c>
      <c r="T66" s="48" t="str">
        <f>IF('2-3.設備仕様入力'!$N$131="ガスヒートポンプ式空調機",IF('2-3.設備仕様入力'!$N$133="都市ガス",IF('2-3.設備仕様入力'!$N$139="kW",ROUND('2-3.設備仕様入力'!$N$132*'2-3.設備仕様入力'!$N$138*3.6/1000*VLOOKUP('2-3.設備仕様入力'!$N$134,計算!$N$16:$P$26,3,FALSE),1),""),""),"")</f>
        <v/>
      </c>
      <c r="U66" s="48" t="str">
        <f t="shared" ref="U66:U75" si="16">IF(AND(S66="",T66=""),"",S66+T66)</f>
        <v/>
      </c>
      <c r="V66" s="48" t="str">
        <f>IF('2-3.設備仕様入力'!$N$131="ガスヒートポンプ式空調機",IF('2-3.設備仕様入力'!$N$139="ｍ3N/h",ROUND('2-3.設備仕様入力'!$N$132*'2-3.設備仕様入力'!$N$137*計算!$C$10/1000*VLOOKUP('2-3.設備仕様入力'!$N$134,計算!$N$16:$P$26,2,FALSE),1),""),"")</f>
        <v/>
      </c>
      <c r="W66" s="48" t="str">
        <f>IF('2-3.設備仕様入力'!$N$131="ガスヒートポンプ式空調機",IF('2-3.設備仕様入力'!$N$139="ｍ3N/h",ROUND('2-3.設備仕様入力'!$N$132*'2-3.設備仕様入力'!$N$138*計算!$C$10/1000*VLOOKUP('2-3.設備仕様入力'!$N$134,計算!$N$16:$P$26,3,FALSE),1),""),"")</f>
        <v/>
      </c>
      <c r="X66" s="48" t="str">
        <f t="shared" ref="X66:X75" si="17">IF(AND(V66="",W66=""),"",V66+W66)</f>
        <v/>
      </c>
      <c r="Y66" s="48" t="str">
        <f>IF('2-3.設備仕様入力'!$N$131="ガスヒートポンプ式空調機",IF('2-3.設備仕様入力'!$N$133="LPG",IF('2-3.設備仕様入力'!$N$139="kW",ROUND('2-3.設備仕様入力'!$N$132*'2-3.設備仕様入力'!$N$137*3.6/1000*VLOOKUP('2-3.設備仕様入力'!$N$134,計算!$N$16:$P$26,2,FALSE),1),""),""),"")</f>
        <v/>
      </c>
      <c r="Z66" s="48" t="str">
        <f>IF('2-3.設備仕様入力'!$N$131="ガスヒートポンプ式空調機",IF('2-3.設備仕様入力'!$N$133="LPG",IF('2-3.設備仕様入力'!$N$139="kW",ROUND('2-3.設備仕様入力'!$N$132*'2-3.設備仕様入力'!$N$138*3.6/1000*VLOOKUP('2-3.設備仕様入力'!$N$134,計算!$N$16:$P$26,3,FALSE),1),""),""),"")</f>
        <v/>
      </c>
      <c r="AA66" s="48" t="str">
        <f t="shared" ref="AA66:AA75" si="18">IF(AND(Y66="",Z66=""),"",Y66+Z66)</f>
        <v/>
      </c>
      <c r="AB66" s="48" t="str">
        <f>IF('2-3.設備仕様入力'!$N$131="ガスヒートポンプ式空調機",IF('2-3.設備仕様入力'!$N$133="LPG",IF('2-3.設備仕様入力'!$N$139="kg/h",ROUND('2-3.設備仕様入力'!$N$132*'2-3.設備仕様入力'!$N$137*計算!$C$11/1000*VLOOKUP('2-3.設備仕様入力'!$N$134,計算!$N$16:$P$26,2,FALSE),1),""),""),"")</f>
        <v/>
      </c>
      <c r="AC66" s="48" t="str">
        <f>IF('2-3.設備仕様入力'!$N$131="ガスヒートポンプ式空調機",IF('2-3.設備仕様入力'!$N$133="LPG",IF('2-3.設備仕様入力'!$N$139="kg/h",ROUND('2-3.設備仕様入力'!$N$132*'2-3.設備仕様入力'!$N$138*計算!$C$11/1000*VLOOKUP('2-3.設備仕様入力'!$N$134,計算!$N$16:$P$26,3,FALSE),1),""),""),"")</f>
        <v/>
      </c>
      <c r="AD66" s="48" t="str">
        <f t="shared" ref="AD66:AD75" si="19">IF(AND(AB66="",AC66=""),"",AB66+AC66)</f>
        <v/>
      </c>
    </row>
    <row r="67" spans="14:30" ht="19.5" x14ac:dyDescent="0.45">
      <c r="N67" s="90" t="s">
        <v>402</v>
      </c>
      <c r="O67" s="41" t="str">
        <f>IF(AND('2-3.設備仕様入力'!O$133="電気",'2-3.設備仕様入力'!O$139="kW"),1,IF(AND('2-3.設備仕様入力'!O$133="都市ガス",'2-3.設備仕様入力'!O$139="kW"),2,IF(AND('2-3.設備仕様入力'!O$133="都市ガス",'2-3.設備仕様入力'!O$139="ｍ3N/h"),3,IF(AND('2-3.設備仕様入力'!O$133="LPG",'2-3.設備仕様入力'!O$139="kW"),4,IF(AND('2-3.設備仕様入力'!O$133="LPG",'2-3.設備仕様入力'!O$139="kg/h"),5,"")))))</f>
        <v/>
      </c>
      <c r="P67" s="48" t="str">
        <f>IF(OR('2-3.設備仕様入力'!$O$131="電気式パッケージ形空調機",'2-3.設備仕様入力'!$O$131="ルームエアコン"),ROUND('2-3.設備仕様入力'!$O$137*'2-3.設備仕様入力'!$O$132*計算!$C$3*VLOOKUP('2-3.設備仕様入力'!$O$134,計算!$N$16:$P$26,2,FALSE)/1000,1),"")</f>
        <v/>
      </c>
      <c r="Q67" s="48" t="str">
        <f>IF(OR('2-3.設備仕様入力'!$O$131="電気式パッケージ形空調機",'2-3.設備仕様入力'!$O$131="ルームエアコン"),ROUND('2-3.設備仕様入力'!$O$138*'2-3.設備仕様入力'!$O$132*計算!$C$3*VLOOKUP('2-3.設備仕様入力'!$O$134,計算!$N$16:$P$26,3,FALSE)/1000,1),"")</f>
        <v/>
      </c>
      <c r="R67" s="48" t="str">
        <f t="shared" si="15"/>
        <v/>
      </c>
      <c r="S67" s="48" t="str">
        <f>IF('2-3.設備仕様入力'!$O$131="ガスヒートポンプ式空調機",IF('2-3.設備仕様入力'!$O$133="都市ガス",IF('2-3.設備仕様入力'!$O$139="kW",ROUND('2-3.設備仕様入力'!$O$132*'2-3.設備仕様入力'!$O$137*3.6/1000*VLOOKUP('2-3.設備仕様入力'!$O$134,計算!$N$16:$P$26,2,FALSE),1),""),""),"")</f>
        <v/>
      </c>
      <c r="T67" s="48" t="str">
        <f>IF('2-3.設備仕様入力'!$O$131="ガスヒートポンプ式空調機",IF('2-3.設備仕様入力'!$O$133="都市ガス",IF('2-3.設備仕様入力'!$O$139="kW",ROUND('2-3.設備仕様入力'!$O$132*'2-3.設備仕様入力'!$O$138*3.6/1000*VLOOKUP('2-3.設備仕様入力'!$O$134,計算!$N$16:$P$26,3,FALSE),1),""),""),"")</f>
        <v/>
      </c>
      <c r="U67" s="48" t="str">
        <f t="shared" si="16"/>
        <v/>
      </c>
      <c r="V67" s="48" t="str">
        <f>IF('2-3.設備仕様入力'!$O$131="ガスヒートポンプ式空調機",IF('2-3.設備仕様入力'!$O$139="ｍ3N/h",ROUND('2-3.設備仕様入力'!$O$132*'2-3.設備仕様入力'!$O$137*計算!$C$10/1000*VLOOKUP('2-3.設備仕様入力'!$O$134,計算!$N$16:$P$26,2,FALSE),1),""),"")</f>
        <v/>
      </c>
      <c r="W67" s="48" t="str">
        <f>IF('2-3.設備仕様入力'!$O$131="ガスヒートポンプ式空調機",IF('2-3.設備仕様入力'!$O$139="ｍ3N/h",ROUND('2-3.設備仕様入力'!$O$132*'2-3.設備仕様入力'!$O$138*計算!$C$10/1000*VLOOKUP('2-3.設備仕様入力'!$O$134,計算!$N$16:$P$26,3,FALSE),1),""),"")</f>
        <v/>
      </c>
      <c r="X67" s="48" t="str">
        <f t="shared" si="17"/>
        <v/>
      </c>
      <c r="Y67" s="48" t="str">
        <f>IF('2-3.設備仕様入力'!$O$131="ガスヒートポンプ式空調機",IF('2-3.設備仕様入力'!$O$133="LPG",IF('2-3.設備仕様入力'!$O$139="kW",ROUND('2-3.設備仕様入力'!$O$132*'2-3.設備仕様入力'!$O$137*3.6/1000*VLOOKUP('2-3.設備仕様入力'!$O$134,計算!$N$16:$P$26,2,FALSE),1),""),""),"")</f>
        <v/>
      </c>
      <c r="Z67" s="48" t="str">
        <f>IF('2-3.設備仕様入力'!$O$131="ガスヒートポンプ式空調機",IF('2-3.設備仕様入力'!$O$133="LPG",IF('2-3.設備仕様入力'!$O$139="kW",ROUND('2-3.設備仕様入力'!$O$132*'2-3.設備仕様入力'!$O$138*3.6/1000*VLOOKUP('2-3.設備仕様入力'!$O$134,計算!$N$16:$P$26,3,FALSE),1),""),""),"")</f>
        <v/>
      </c>
      <c r="AA67" s="48" t="str">
        <f t="shared" si="18"/>
        <v/>
      </c>
      <c r="AB67" s="48" t="str">
        <f>IF('2-3.設備仕様入力'!$O$131="ガスヒートポンプ式空調機",IF('2-3.設備仕様入力'!$O$133="LPG",IF('2-3.設備仕様入力'!$O$139="kg/h",ROUND('2-3.設備仕様入力'!$O$132*'2-3.設備仕様入力'!$O$137*計算!$C$11/1000*VLOOKUP('2-3.設備仕様入力'!$O$134,計算!$N$16:$P$26,2,FALSE),1),""),""),"")</f>
        <v/>
      </c>
      <c r="AC67" s="48" t="str">
        <f>IF('2-3.設備仕様入力'!$O$131="ガスヒートポンプ式空調機",IF('2-3.設備仕様入力'!$O$133="LPG",IF('2-3.設備仕様入力'!$O$139="kg/h",ROUND('2-3.設備仕様入力'!$O$132*'2-3.設備仕様入力'!$O$138*計算!$C$11/1000*VLOOKUP('2-3.設備仕様入力'!$O$134,計算!$N$16:$P$26,3,FALSE),1),""),""),"")</f>
        <v/>
      </c>
      <c r="AD67" s="48" t="str">
        <f t="shared" si="19"/>
        <v/>
      </c>
    </row>
    <row r="68" spans="14:30" ht="19.5" x14ac:dyDescent="0.45">
      <c r="N68" s="90" t="s">
        <v>403</v>
      </c>
      <c r="O68" s="41" t="str">
        <f>IF(AND('2-3.設備仕様入力'!P$133="電気",'2-3.設備仕様入力'!P$139="kW"),1,IF(AND('2-3.設備仕様入力'!P$133="都市ガス",'2-3.設備仕様入力'!P$139="kW"),2,IF(AND('2-3.設備仕様入力'!P$133="都市ガス",'2-3.設備仕様入力'!P$139="ｍ3N/h"),3,IF(AND('2-3.設備仕様入力'!P$133="LPG",'2-3.設備仕様入力'!P$139="kW"),4,IF(AND('2-3.設備仕様入力'!P$133="LPG",'2-3.設備仕様入力'!P$139="kg/h"),5,"")))))</f>
        <v/>
      </c>
      <c r="P68" s="48" t="str">
        <f>IF(OR('2-3.設備仕様入力'!$P$131="電気式パッケージ形空調機",'2-3.設備仕様入力'!$P$131="ルームエアコン"),ROUND('2-3.設備仕様入力'!$P$137*'2-3.設備仕様入力'!$P$132*計算!$C$3*VLOOKUP('2-3.設備仕様入力'!$P$134,計算!$N$16:$P$26,2,FALSE)/1000,1),"")</f>
        <v/>
      </c>
      <c r="Q68" s="48" t="str">
        <f>IF(OR('2-3.設備仕様入力'!$P$131="電気式パッケージ形空調機",'2-3.設備仕様入力'!$P$131="ルームエアコン"),ROUND('2-3.設備仕様入力'!$P$138*'2-3.設備仕様入力'!$P$132*計算!$C$3*VLOOKUP('2-3.設備仕様入力'!$P$134,計算!$N$16:$P$26,3,FALSE)/1000,1),"")</f>
        <v/>
      </c>
      <c r="R68" s="48" t="str">
        <f t="shared" si="15"/>
        <v/>
      </c>
      <c r="S68" s="48" t="str">
        <f>IF('2-3.設備仕様入力'!$P$131="ガスヒートポンプ式空調機",IF('2-3.設備仕様入力'!$P$133="都市ガス",IF('2-3.設備仕様入力'!$P$139="kW",ROUND('2-3.設備仕様入力'!$P$132*'2-3.設備仕様入力'!$P$137*3.6/1000*VLOOKUP('2-3.設備仕様入力'!$P$134,計算!$N$16:$P$26,2,FALSE),1),""),""),"")</f>
        <v/>
      </c>
      <c r="T68" s="48" t="str">
        <f>IF('2-3.設備仕様入力'!$P$131="ガスヒートポンプ式空調機",IF('2-3.設備仕様入力'!$P$133="都市ガス",IF('2-3.設備仕様入力'!$P$139="kW",ROUND('2-3.設備仕様入力'!$P$132*'2-3.設備仕様入力'!$P$138*3.6/1000*VLOOKUP('2-3.設備仕様入力'!$P$134,計算!$N$16:$P$26,3,FALSE),1),""),""),"")</f>
        <v/>
      </c>
      <c r="U68" s="48" t="str">
        <f t="shared" si="16"/>
        <v/>
      </c>
      <c r="V68" s="48" t="str">
        <f>IF('2-3.設備仕様入力'!$P$131="ガスヒートポンプ式空調機",IF('2-3.設備仕様入力'!$P$139="ｍ3N/h",ROUND('2-3.設備仕様入力'!$P$132*'2-3.設備仕様入力'!$P$137*計算!$C$10/1000*VLOOKUP('2-3.設備仕様入力'!$P$134,計算!$N$16:$P$26,2,FALSE),1),""),"")</f>
        <v/>
      </c>
      <c r="W68" s="48" t="str">
        <f>IF('2-3.設備仕様入力'!$P$131="ガスヒートポンプ式空調機",IF('2-3.設備仕様入力'!$P$139="ｍ3N/h",ROUND('2-3.設備仕様入力'!$P$132*'2-3.設備仕様入力'!$P$138*計算!$C$10/1000*VLOOKUP('2-3.設備仕様入力'!$P$134,計算!$N$16:$P$26,3,FALSE),1),""),"")</f>
        <v/>
      </c>
      <c r="X68" s="48" t="str">
        <f t="shared" si="17"/>
        <v/>
      </c>
      <c r="Y68" s="48" t="str">
        <f>IF('2-3.設備仕様入力'!$P$131="ガスヒートポンプ式空調機",IF('2-3.設備仕様入力'!$P$133="LPG",IF('2-3.設備仕様入力'!$P$139="kW",ROUND('2-3.設備仕様入力'!$P$132*'2-3.設備仕様入力'!$P$137*3.6/1000*VLOOKUP('2-3.設備仕様入力'!$P$134,計算!$N$16:$P$26,2,FALSE),1),""),""),"")</f>
        <v/>
      </c>
      <c r="Z68" s="48" t="str">
        <f>IF('2-3.設備仕様入力'!$P$131="ガスヒートポンプ式空調機",IF('2-3.設備仕様入力'!$P$133="LPG",IF('2-3.設備仕様入力'!$P$139="kW",ROUND('2-3.設備仕様入力'!$P$132*'2-3.設備仕様入力'!$P$138*3.6/1000*VLOOKUP('2-3.設備仕様入力'!$P$134,計算!$N$16:$P$26,3,FALSE),1),""),""),"")</f>
        <v/>
      </c>
      <c r="AA68" s="48" t="str">
        <f t="shared" si="18"/>
        <v/>
      </c>
      <c r="AB68" s="48" t="str">
        <f>IF('2-3.設備仕様入力'!$P$131="ガスヒートポンプ式空調機",IF('2-3.設備仕様入力'!$P$133="LPG",IF('2-3.設備仕様入力'!$P$139="kg/h",ROUND('2-3.設備仕様入力'!$P$132*'2-3.設備仕様入力'!$P$137*計算!$C$11/1000*VLOOKUP('2-3.設備仕様入力'!$P$134,計算!$N$16:$P$26,2,FALSE),1),""),""),"")</f>
        <v/>
      </c>
      <c r="AC68" s="48" t="str">
        <f>IF('2-3.設備仕様入力'!$P$131="ガスヒートポンプ式空調機",IF('2-3.設備仕様入力'!$P$133="LPG",IF('2-3.設備仕様入力'!$P$139="kg/h",ROUND('2-3.設備仕様入力'!$P$132*'2-3.設備仕様入力'!$P$138*計算!$C$11/1000*VLOOKUP('2-3.設備仕様入力'!$P$134,計算!$N$16:$P$26,3,FALSE),1),""),""),"")</f>
        <v/>
      </c>
      <c r="AD68" s="48" t="str">
        <f t="shared" si="19"/>
        <v/>
      </c>
    </row>
    <row r="69" spans="14:30" ht="19.5" x14ac:dyDescent="0.45">
      <c r="N69" s="90" t="s">
        <v>404</v>
      </c>
      <c r="O69" s="41" t="str">
        <f>IF(AND('2-3.設備仕様入力'!Q$133="電気",'2-3.設備仕様入力'!Q$139="kW"),1,IF(AND('2-3.設備仕様入力'!Q$133="都市ガス",'2-3.設備仕様入力'!Q$139="kW"),2,IF(AND('2-3.設備仕様入力'!Q$133="都市ガス",'2-3.設備仕様入力'!Q$139="ｍ3N/h"),3,IF(AND('2-3.設備仕様入力'!Q$133="LPG",'2-3.設備仕様入力'!Q$139="kW"),4,IF(AND('2-3.設備仕様入力'!Q$133="LPG",'2-3.設備仕様入力'!Q$139="kg/h"),5,"")))))</f>
        <v/>
      </c>
      <c r="P69" s="48" t="str">
        <f>IF(OR('2-3.設備仕様入力'!$Q$131="電気式パッケージ形空調機",'2-3.設備仕様入力'!$Q$131="ルームエアコン"),ROUND('2-3.設備仕様入力'!$Q$137*'2-3.設備仕様入力'!$Q$132*計算!$C$3*VLOOKUP('2-3.設備仕様入力'!$Q$134,計算!$N$16:$P$26,2,FALSE)/1000,1),"")</f>
        <v/>
      </c>
      <c r="Q69" s="48" t="str">
        <f>IF(OR('2-3.設備仕様入力'!$Q$131="電気式パッケージ形空調機",'2-3.設備仕様入力'!$Q$131="ルームエアコン"),ROUND('2-3.設備仕様入力'!$Q$138*'2-3.設備仕様入力'!$Q$132*計算!$C$3*VLOOKUP('2-3.設備仕様入力'!$Q$134,計算!$N$16:$P$26,3,FALSE)/1000,1),"")</f>
        <v/>
      </c>
      <c r="R69" s="48" t="str">
        <f t="shared" si="15"/>
        <v/>
      </c>
      <c r="S69" s="48" t="str">
        <f>IF('2-3.設備仕様入力'!$Q$131="ガスヒートポンプ式空調機",IF('2-3.設備仕様入力'!$Q$133="都市ガス",IF('2-3.設備仕様入力'!$Q$139="kW",ROUND('2-3.設備仕様入力'!$Q$132*'2-3.設備仕様入力'!$Q$137*3.6/1000*VLOOKUP('2-3.設備仕様入力'!$Q$134,計算!$N$16:$P$26,2,FALSE),1),""),""),"")</f>
        <v/>
      </c>
      <c r="T69" s="48" t="str">
        <f>IF('2-3.設備仕様入力'!$Q$131="ガスヒートポンプ式空調機",IF('2-3.設備仕様入力'!$Q$133="都市ガス",IF('2-3.設備仕様入力'!$Q$139="kW",ROUND('2-3.設備仕様入力'!$Q$132*'2-3.設備仕様入力'!$Q$138*3.6/1000*VLOOKUP('2-3.設備仕様入力'!$Q$134,計算!$N$16:$P$26,3,FALSE),1),""),""),"")</f>
        <v/>
      </c>
      <c r="U69" s="48" t="str">
        <f t="shared" si="16"/>
        <v/>
      </c>
      <c r="V69" s="48" t="str">
        <f>IF('2-3.設備仕様入力'!$Q$131="ガスヒートポンプ式空調機",IF('2-3.設備仕様入力'!$Q$139="ｍ3N/h",ROUND('2-3.設備仕様入力'!$Q$132*'2-3.設備仕様入力'!$Q$137*計算!$C$10/1000*VLOOKUP('2-3.設備仕様入力'!$Q$134,計算!$N$16:$P$26,2,FALSE),1),""),"")</f>
        <v/>
      </c>
      <c r="W69" s="48" t="str">
        <f>IF('2-3.設備仕様入力'!$Q$131="ガスヒートポンプ式空調機",IF('2-3.設備仕様入力'!$Q$139="ｍ3N/h",ROUND('2-3.設備仕様入力'!$Q$132*'2-3.設備仕様入力'!$Q$138*計算!$C$10/1000*VLOOKUP('2-3.設備仕様入力'!$Q$134,計算!$N$16:$P$26,3,FALSE),1),""),"")</f>
        <v/>
      </c>
      <c r="X69" s="48" t="str">
        <f t="shared" si="17"/>
        <v/>
      </c>
      <c r="Y69" s="48" t="str">
        <f>IF('2-3.設備仕様入力'!$Q$131="ガスヒートポンプ式空調機",IF('2-3.設備仕様入力'!$Q$133="LPG",IF('2-3.設備仕様入力'!$Q$139="kW",ROUND('2-3.設備仕様入力'!$Q$132*'2-3.設備仕様入力'!$Q$137*3.6/1000*VLOOKUP('2-3.設備仕様入力'!$Q$134,計算!$N$16:$P$26,2,FALSE),1),""),""),"")</f>
        <v/>
      </c>
      <c r="Z69" s="48" t="str">
        <f>IF('2-3.設備仕様入力'!$Q$131="ガスヒートポンプ式空調機",IF('2-3.設備仕様入力'!$Q$133="LPG",IF('2-3.設備仕様入力'!$Q$139="kW",ROUND('2-3.設備仕様入力'!$Q$132*'2-3.設備仕様入力'!$Q$138*3.6/1000*VLOOKUP('2-3.設備仕様入力'!$Q$134,計算!$N$16:$P$26,3,FALSE),1),""),""),"")</f>
        <v/>
      </c>
      <c r="AA69" s="48" t="str">
        <f t="shared" si="18"/>
        <v/>
      </c>
      <c r="AB69" s="48" t="str">
        <f>IF('2-3.設備仕様入力'!$Q$131="ガスヒートポンプ式空調機",IF('2-3.設備仕様入力'!$Q$133="LPG",IF('2-3.設備仕様入力'!$Q$139="kg/h",ROUND('2-3.設備仕様入力'!$Q$132*'2-3.設備仕様入力'!$Q$137*計算!$C$11/1000*VLOOKUP('2-3.設備仕様入力'!$Q$134,計算!$N$16:$P$26,2,FALSE),1),""),""),"")</f>
        <v/>
      </c>
      <c r="AC69" s="48" t="str">
        <f>IF('2-3.設備仕様入力'!$Q$131="ガスヒートポンプ式空調機",IF('2-3.設備仕様入力'!$Q$133="LPG",IF('2-3.設備仕様入力'!$Q$139="kg/h",ROUND('2-3.設備仕様入力'!$Q$132*'2-3.設備仕様入力'!$Q$138*計算!$C$11/1000*VLOOKUP('2-3.設備仕様入力'!$Q$134,計算!$N$16:$P$26,3,FALSE),1),""),""),"")</f>
        <v/>
      </c>
      <c r="AD69" s="48" t="str">
        <f t="shared" si="19"/>
        <v/>
      </c>
    </row>
    <row r="70" spans="14:30" ht="19.5" x14ac:dyDescent="0.45">
      <c r="N70" s="90" t="s">
        <v>405</v>
      </c>
      <c r="O70" s="41" t="str">
        <f>IF(AND('2-3.設備仕様入力'!R$133="電気",'2-3.設備仕様入力'!R$139="kW"),1,IF(AND('2-3.設備仕様入力'!R$133="都市ガス",'2-3.設備仕様入力'!R$139="kW"),2,IF(AND('2-3.設備仕様入力'!R$133="都市ガス",'2-3.設備仕様入力'!R$139="ｍ3N/h"),3,IF(AND('2-3.設備仕様入力'!R$133="LPG",'2-3.設備仕様入力'!R$139="kW"),4,IF(AND('2-3.設備仕様入力'!R$133="LPG",'2-3.設備仕様入力'!R$139="kg/h"),5,"")))))</f>
        <v/>
      </c>
      <c r="P70" s="48" t="str">
        <f>IF(OR('2-3.設備仕様入力'!$R$131="電気式パッケージ形空調機",'2-3.設備仕様入力'!$R$131="ルームエアコン"),ROUND('2-3.設備仕様入力'!$R$137*'2-3.設備仕様入力'!$R$132*計算!$C$3*VLOOKUP('2-3.設備仕様入力'!$R$134,計算!$N$16:$P$26,2,FALSE)/1000,1),"")</f>
        <v/>
      </c>
      <c r="Q70" s="48" t="str">
        <f>IF(OR('2-3.設備仕様入力'!$R$131="電気式パッケージ形空調機",'2-3.設備仕様入力'!$R$131="ルームエアコン"),ROUND('2-3.設備仕様入力'!$R$138*'2-3.設備仕様入力'!$R$132*計算!$C$3*VLOOKUP('2-3.設備仕様入力'!$R$134,計算!$N$16:$P$26,3,FALSE)/1000,1),"")</f>
        <v/>
      </c>
      <c r="R70" s="48" t="str">
        <f t="shared" si="15"/>
        <v/>
      </c>
      <c r="S70" s="48" t="str">
        <f>IF('2-3.設備仕様入力'!$R$131="ガスヒートポンプ式空調機",IF('2-3.設備仕様入力'!$R$133="都市ガス",IF('2-3.設備仕様入力'!$R$139="kW",ROUND('2-3.設備仕様入力'!$R$132*'2-3.設備仕様入力'!$R$137*3.6/1000*VLOOKUP('2-3.設備仕様入力'!$R$134,計算!$N$16:$P$26,2,FALSE),1),""),""),"")</f>
        <v/>
      </c>
      <c r="T70" s="48" t="str">
        <f>IF('2-3.設備仕様入力'!$R$131="ガスヒートポンプ式空調機",IF('2-3.設備仕様入力'!$R$133="都市ガス",IF('2-3.設備仕様入力'!$R$139="kW",ROUND('2-3.設備仕様入力'!$R$132*'2-3.設備仕様入力'!$R$138*3.6/1000*VLOOKUP('2-3.設備仕様入力'!$R$134,計算!$N$16:$P$26,3,FALSE),1),""),""),"")</f>
        <v/>
      </c>
      <c r="U70" s="48" t="str">
        <f t="shared" si="16"/>
        <v/>
      </c>
      <c r="V70" s="48" t="str">
        <f>IF('2-3.設備仕様入力'!$R$131="ガスヒートポンプ式空調機",IF('2-3.設備仕様入力'!$R$139="ｍ3N/h",ROUND('2-3.設備仕様入力'!$R$132*'2-3.設備仕様入力'!$R$137*計算!$C$10/1000*VLOOKUP('2-3.設備仕様入力'!$R$134,計算!$N$16:$P$26,2,FALSE),1),""),"")</f>
        <v/>
      </c>
      <c r="W70" s="48" t="str">
        <f>IF('2-3.設備仕様入力'!$R$131="ガスヒートポンプ式空調機",IF('2-3.設備仕様入力'!$R$139="ｍ3N/h",ROUND('2-3.設備仕様入力'!$R$132*'2-3.設備仕様入力'!$R$138*計算!$C$10/1000*VLOOKUP('2-3.設備仕様入力'!$R$134,計算!$N$16:$P$26,3,FALSE),1),""),"")</f>
        <v/>
      </c>
      <c r="X70" s="48" t="str">
        <f t="shared" si="17"/>
        <v/>
      </c>
      <c r="Y70" s="48" t="str">
        <f>IF('2-3.設備仕様入力'!$R$131="ガスヒートポンプ式空調機",IF('2-3.設備仕様入力'!$R$133="LPG",IF('2-3.設備仕様入力'!$R$139="kW",ROUND('2-3.設備仕様入力'!$R$132*'2-3.設備仕様入力'!$R$137*3.6/1000*VLOOKUP('2-3.設備仕様入力'!$R$134,計算!$N$16:$P$26,2,FALSE),1),""),""),"")</f>
        <v/>
      </c>
      <c r="Z70" s="48" t="str">
        <f>IF('2-3.設備仕様入力'!$R$131="ガスヒートポンプ式空調機",IF('2-3.設備仕様入力'!$R$133="LPG",IF('2-3.設備仕様入力'!$R$139="kW",ROUND('2-3.設備仕様入力'!$R$132*'2-3.設備仕様入力'!$R$138*3.6/1000*VLOOKUP('2-3.設備仕様入力'!$R$134,計算!$N$16:$P$26,3,FALSE),1),""),""),"")</f>
        <v/>
      </c>
      <c r="AA70" s="48" t="str">
        <f t="shared" si="18"/>
        <v/>
      </c>
      <c r="AB70" s="48" t="str">
        <f>IF('2-3.設備仕様入力'!$R$131="ガスヒートポンプ式空調機",IF('2-3.設備仕様入力'!$R$133="LPG",IF('2-3.設備仕様入力'!$R$139="kg/h",ROUND('2-3.設備仕様入力'!$R$132*'2-3.設備仕様入力'!$R$137*計算!$C$11/1000*VLOOKUP('2-3.設備仕様入力'!$R$134,計算!$N$16:$P$26,2,FALSE),1),""),""),"")</f>
        <v/>
      </c>
      <c r="AC70" s="48" t="str">
        <f>IF('2-3.設備仕様入力'!$R$131="ガスヒートポンプ式空調機",IF('2-3.設備仕様入力'!$R$133="LPG",IF('2-3.設備仕様入力'!$R$139="kg/h",ROUND('2-3.設備仕様入力'!$R$132*'2-3.設備仕様入力'!$R$138*計算!$C$11/1000*VLOOKUP('2-3.設備仕様入力'!$R$134,計算!$N$16:$P$26,3,FALSE),1),""),""),"")</f>
        <v/>
      </c>
      <c r="AD70" s="48" t="str">
        <f t="shared" si="19"/>
        <v/>
      </c>
    </row>
    <row r="71" spans="14:30" ht="19.5" x14ac:dyDescent="0.45">
      <c r="N71" s="90" t="s">
        <v>406</v>
      </c>
      <c r="O71" s="41" t="str">
        <f>IF(AND('2-3.設備仕様入力'!S$133="電気",'2-3.設備仕様入力'!S$139="kW"),1,IF(AND('2-3.設備仕様入力'!S$133="都市ガス",'2-3.設備仕様入力'!S$139="kW"),2,IF(AND('2-3.設備仕様入力'!S$133="都市ガス",'2-3.設備仕様入力'!S$139="ｍ3N/h"),3,IF(AND('2-3.設備仕様入力'!S$133="LPG",'2-3.設備仕様入力'!S$139="kW"),4,IF(AND('2-3.設備仕様入力'!S$133="LPG",'2-3.設備仕様入力'!S$139="kg/h"),5,"")))))</f>
        <v/>
      </c>
      <c r="P71" s="48" t="str">
        <f>IF(OR('2-3.設備仕様入力'!$S$131="電気式パッケージ形空調機",'2-3.設備仕様入力'!$S$131="ルームエアコン"),ROUND('2-3.設備仕様入力'!$S$137*'2-3.設備仕様入力'!$S$132*計算!$C$3*VLOOKUP('2-3.設備仕様入力'!$S$134,計算!$N$16:$P$26,2,FALSE)/1000,1),"")</f>
        <v/>
      </c>
      <c r="Q71" s="48" t="str">
        <f>IF(OR('2-3.設備仕様入力'!$S$131="電気式パッケージ形空調機",'2-3.設備仕様入力'!$S$131="ルームエアコン"),ROUND('2-3.設備仕様入力'!$S$138*'2-3.設備仕様入力'!$S$132*計算!$C$3*VLOOKUP('2-3.設備仕様入力'!$S$134,計算!$N$16:$P$26,3,FALSE)/1000,1),"")</f>
        <v/>
      </c>
      <c r="R71" s="48" t="str">
        <f t="shared" si="15"/>
        <v/>
      </c>
      <c r="S71" s="48" t="str">
        <f>IF('2-3.設備仕様入力'!$S$131="ガスヒートポンプ式空調機",IF('2-3.設備仕様入力'!$S$133="都市ガス",IF('2-3.設備仕様入力'!$S$139="kW",ROUND('2-3.設備仕様入力'!$S$132*'2-3.設備仕様入力'!$S$137*3.6/1000*VLOOKUP('2-3.設備仕様入力'!$S$134,計算!$N$16:$P$26,2,FALSE),1),""),""),"")</f>
        <v/>
      </c>
      <c r="T71" s="48" t="str">
        <f>IF('2-3.設備仕様入力'!$S$131="ガスヒートポンプ式空調機",IF('2-3.設備仕様入力'!$S$133="都市ガス",IF('2-3.設備仕様入力'!$S$139="kW",ROUND('2-3.設備仕様入力'!$S$132*'2-3.設備仕様入力'!$S$138*3.6/1000*VLOOKUP('2-3.設備仕様入力'!$S$134,計算!$N$16:$P$26,3,FALSE),1),""),""),"")</f>
        <v/>
      </c>
      <c r="U71" s="48" t="str">
        <f t="shared" si="16"/>
        <v/>
      </c>
      <c r="V71" s="48" t="str">
        <f>IF('2-3.設備仕様入力'!$S$131="ガスヒートポンプ式空調機",IF('2-3.設備仕様入力'!$S$139="ｍ3N/h",ROUND('2-3.設備仕様入力'!$S$132*'2-3.設備仕様入力'!$S$137*計算!$C$10/1000*VLOOKUP('2-3.設備仕様入力'!$S$134,計算!$N$16:$P$26,2,FALSE),1),""),"")</f>
        <v/>
      </c>
      <c r="W71" s="48" t="str">
        <f>IF('2-3.設備仕様入力'!$S$131="ガスヒートポンプ式空調機",IF('2-3.設備仕様入力'!$S$139="ｍ3N/h",ROUND('2-3.設備仕様入力'!$S$132*'2-3.設備仕様入力'!$S$138*計算!$C$10/1000*VLOOKUP('2-3.設備仕様入力'!$S$134,計算!$N$16:$P$26,3,FALSE),1),""),"")</f>
        <v/>
      </c>
      <c r="X71" s="48" t="str">
        <f t="shared" si="17"/>
        <v/>
      </c>
      <c r="Y71" s="48" t="str">
        <f>IF('2-3.設備仕様入力'!$S$131="ガスヒートポンプ式空調機",IF('2-3.設備仕様入力'!$S$133="LPG",IF('2-3.設備仕様入力'!$S$139="kW",ROUND('2-3.設備仕様入力'!$S$132*'2-3.設備仕様入力'!$S$137*3.6/1000*VLOOKUP('2-3.設備仕様入力'!$S$134,計算!$N$16:$P$26,2,FALSE),1),""),""),"")</f>
        <v/>
      </c>
      <c r="Z71" s="48" t="str">
        <f>IF('2-3.設備仕様入力'!$S$131="ガスヒートポンプ式空調機",IF('2-3.設備仕様入力'!$S$133="LPG",IF('2-3.設備仕様入力'!$S$139="kW",ROUND('2-3.設備仕様入力'!$S$132*'2-3.設備仕様入力'!$S$138*3.6/1000*VLOOKUP('2-3.設備仕様入力'!$S$134,計算!$N$16:$P$26,3,FALSE),1),""),""),"")</f>
        <v/>
      </c>
      <c r="AA71" s="48" t="str">
        <f t="shared" si="18"/>
        <v/>
      </c>
      <c r="AB71" s="48" t="str">
        <f>IF('2-3.設備仕様入力'!$S$131="ガスヒートポンプ式空調機",IF('2-3.設備仕様入力'!$S$133="LPG",IF('2-3.設備仕様入力'!$S$139="kg/h",ROUND('2-3.設備仕様入力'!$S$132*'2-3.設備仕様入力'!$S$137*計算!$C$11/1000*VLOOKUP('2-3.設備仕様入力'!$S$134,計算!$N$16:$P$26,2,FALSE),1),""),""),"")</f>
        <v/>
      </c>
      <c r="AC71" s="48" t="str">
        <f>IF('2-3.設備仕様入力'!$S$131="ガスヒートポンプ式空調機",IF('2-3.設備仕様入力'!$S$133="LPG",IF('2-3.設備仕様入力'!$S$139="kg/h",ROUND('2-3.設備仕様入力'!$S$132*'2-3.設備仕様入力'!$S$138*計算!$C$11/1000*VLOOKUP('2-3.設備仕様入力'!$S$134,計算!$N$16:$P$26,3,FALSE),1),""),""),"")</f>
        <v/>
      </c>
      <c r="AD71" s="48" t="str">
        <f t="shared" si="19"/>
        <v/>
      </c>
    </row>
    <row r="72" spans="14:30" ht="19.5" x14ac:dyDescent="0.45">
      <c r="N72" s="90" t="s">
        <v>407</v>
      </c>
      <c r="O72" s="41" t="str">
        <f>IF(AND('2-3.設備仕様入力'!T$133="電気",'2-3.設備仕様入力'!T$139="kW"),1,IF(AND('2-3.設備仕様入力'!T$133="都市ガス",'2-3.設備仕様入力'!T$139="kW"),2,IF(AND('2-3.設備仕様入力'!T$133="都市ガス",'2-3.設備仕様入力'!T$139="ｍ3N/h"),3,IF(AND('2-3.設備仕様入力'!T$133="LPG",'2-3.設備仕様入力'!T$139="kW"),4,IF(AND('2-3.設備仕様入力'!T$133="LPG",'2-3.設備仕様入力'!T$139="kg/h"),5,"")))))</f>
        <v/>
      </c>
      <c r="P72" s="48" t="str">
        <f>IF(OR('2-3.設備仕様入力'!$T$131="電気式パッケージ形空調機",'2-3.設備仕様入力'!$T$131="ルームエアコン"),ROUND('2-3.設備仕様入力'!$T$137*'2-3.設備仕様入力'!$T$132*計算!$C$3*VLOOKUP('2-3.設備仕様入力'!$T$134,計算!$N$16:$P$26,2,FALSE)/1000,1),"")</f>
        <v/>
      </c>
      <c r="Q72" s="48" t="str">
        <f>IF(OR('2-3.設備仕様入力'!$T$131="電気式パッケージ形空調機",'2-3.設備仕様入力'!$T$131="ルームエアコン"),ROUND('2-3.設備仕様入力'!$T$138*'2-3.設備仕様入力'!$T$132*計算!$C$3*VLOOKUP('2-3.設備仕様入力'!$T$134,計算!$N$16:$P$26,3,FALSE)/1000,1),"")</f>
        <v/>
      </c>
      <c r="R72" s="48" t="str">
        <f t="shared" si="15"/>
        <v/>
      </c>
      <c r="S72" s="48" t="str">
        <f>IF('2-3.設備仕様入力'!$T$131="ガスヒートポンプ式空調機",IF('2-3.設備仕様入力'!$T$133="都市ガス",IF('2-3.設備仕様入力'!$T$139="kW",ROUND('2-3.設備仕様入力'!$T$132*'2-3.設備仕様入力'!$T$137*3.6/1000*VLOOKUP('2-3.設備仕様入力'!$T$134,計算!$N$16:$P$26,2,FALSE),1),""),""),"")</f>
        <v/>
      </c>
      <c r="T72" s="48" t="str">
        <f>IF('2-3.設備仕様入力'!$T$131="ガスヒートポンプ式空調機",IF('2-3.設備仕様入力'!$T$133="都市ガス",IF('2-3.設備仕様入力'!$T$139="kW",ROUND('2-3.設備仕様入力'!$T$132*'2-3.設備仕様入力'!$T$138*3.6/1000*VLOOKUP('2-3.設備仕様入力'!$T$134,計算!$N$16:$P$26,3,FALSE),1),""),""),"")</f>
        <v/>
      </c>
      <c r="U72" s="48" t="str">
        <f t="shared" si="16"/>
        <v/>
      </c>
      <c r="V72" s="48" t="str">
        <f>IF('2-3.設備仕様入力'!$T$131="ガスヒートポンプ式空調機",IF('2-3.設備仕様入力'!$T$139="ｍ3N/h",ROUND('2-3.設備仕様入力'!$T$132*'2-3.設備仕様入力'!$T$137*計算!$C$10/1000*VLOOKUP('2-3.設備仕様入力'!$T$134,計算!$N$16:$P$26,2,FALSE),1),""),"")</f>
        <v/>
      </c>
      <c r="W72" s="48" t="str">
        <f>IF('2-3.設備仕様入力'!$T$131="ガスヒートポンプ式空調機",IF('2-3.設備仕様入力'!$T$139="ｍ3N/h",ROUND('2-3.設備仕様入力'!$T$132*'2-3.設備仕様入力'!$T$138*計算!$C$10/1000*VLOOKUP('2-3.設備仕様入力'!$T$134,計算!$N$16:$P$26,3,FALSE),1),""),"")</f>
        <v/>
      </c>
      <c r="X72" s="48" t="str">
        <f t="shared" si="17"/>
        <v/>
      </c>
      <c r="Y72" s="48" t="str">
        <f>IF('2-3.設備仕様入力'!$T$131="ガスヒートポンプ式空調機",IF('2-3.設備仕様入力'!$T$133="LPG",IF('2-3.設備仕様入力'!$T$139="kW",ROUND('2-3.設備仕様入力'!$T$132*'2-3.設備仕様入力'!$T$137*3.6/1000*VLOOKUP('2-3.設備仕様入力'!$T$134,計算!$N$16:$P$26,2,FALSE),1),""),""),"")</f>
        <v/>
      </c>
      <c r="Z72" s="48" t="str">
        <f>IF('2-3.設備仕様入力'!$T$131="ガスヒートポンプ式空調機",IF('2-3.設備仕様入力'!$T$133="LPG",IF('2-3.設備仕様入力'!$T$139="kW",ROUND('2-3.設備仕様入力'!$T$132*'2-3.設備仕様入力'!$T$138*3.6/1000*VLOOKUP('2-3.設備仕様入力'!$T$134,計算!$N$16:$P$26,3,FALSE),1),""),""),"")</f>
        <v/>
      </c>
      <c r="AA72" s="48" t="str">
        <f t="shared" si="18"/>
        <v/>
      </c>
      <c r="AB72" s="48" t="str">
        <f>IF('2-3.設備仕様入力'!$T$131="ガスヒートポンプ式空調機",IF('2-3.設備仕様入力'!$T$133="LPG",IF('2-3.設備仕様入力'!$T$139="kg/h",ROUND('2-3.設備仕様入力'!$T$132*'2-3.設備仕様入力'!$T$137*計算!$C$11/1000*VLOOKUP('2-3.設備仕様入力'!$T$134,計算!$N$16:$P$26,2,FALSE),1),""),""),"")</f>
        <v/>
      </c>
      <c r="AC72" s="48" t="str">
        <f>IF('2-3.設備仕様入力'!$T$131="ガスヒートポンプ式空調機",IF('2-3.設備仕様入力'!$T$133="LPG",IF('2-3.設備仕様入力'!$T$139="kg/h",ROUND('2-3.設備仕様入力'!$T$132*'2-3.設備仕様入力'!$T$138*計算!$C$11/1000*VLOOKUP('2-3.設備仕様入力'!$T$134,計算!$N$16:$P$26,3,FALSE),1),""),""),"")</f>
        <v/>
      </c>
      <c r="AD72" s="48" t="str">
        <f t="shared" si="19"/>
        <v/>
      </c>
    </row>
    <row r="73" spans="14:30" ht="19.5" x14ac:dyDescent="0.45">
      <c r="N73" s="90" t="s">
        <v>408</v>
      </c>
      <c r="O73" s="41" t="str">
        <f>IF(AND('2-3.設備仕様入力'!U$133="電気",'2-3.設備仕様入力'!U$139="kW"),1,IF(AND('2-3.設備仕様入力'!U$133="都市ガス",'2-3.設備仕様入力'!U$139="kW"),2,IF(AND('2-3.設備仕様入力'!U$133="都市ガス",'2-3.設備仕様入力'!U$139="ｍ3N/h"),3,IF(AND('2-3.設備仕様入力'!U$133="LPG",'2-3.設備仕様入力'!U$139="kW"),4,IF(AND('2-3.設備仕様入力'!U$133="LPG",'2-3.設備仕様入力'!U$139="kg/h"),5,"")))))</f>
        <v/>
      </c>
      <c r="P73" s="48" t="str">
        <f>IF(OR('2-3.設備仕様入力'!$U$131="電気式パッケージ形空調機",'2-3.設備仕様入力'!$U$131="ルームエアコン"),ROUND('2-3.設備仕様入力'!$U$137*'2-3.設備仕様入力'!$U$132*計算!$C$3*VLOOKUP('2-3.設備仕様入力'!$U$134,計算!$N$16:$P$26,2,FALSE)/1000,1),"")</f>
        <v/>
      </c>
      <c r="Q73" s="48" t="str">
        <f>IF(OR('2-3.設備仕様入力'!$U$131="電気式パッケージ形空調機",'2-3.設備仕様入力'!$U$131="ルームエアコン"),ROUND('2-3.設備仕様入力'!$U$138*'2-3.設備仕様入力'!$U$132*計算!$C$3*VLOOKUP('2-3.設備仕様入力'!$U$134,計算!$N$16:$P$26,3,FALSE)/1000,1),"")</f>
        <v/>
      </c>
      <c r="R73" s="48" t="str">
        <f t="shared" si="15"/>
        <v/>
      </c>
      <c r="S73" s="48" t="str">
        <f>IF('2-3.設備仕様入力'!$U$131="ガスヒートポンプ式空調機",IF('2-3.設備仕様入力'!$U$133="都市ガス",IF('2-3.設備仕様入力'!$U$139="kW",ROUND('2-3.設備仕様入力'!$U$132*'2-3.設備仕様入力'!$U$137*3.6/1000*VLOOKUP('2-3.設備仕様入力'!$U$134,計算!$N$16:$P$26,2,FALSE),1),""),""),"")</f>
        <v/>
      </c>
      <c r="T73" s="48" t="str">
        <f>IF('2-3.設備仕様入力'!$U$131="ガスヒートポンプ式空調機",IF('2-3.設備仕様入力'!$U$133="都市ガス",IF('2-3.設備仕様入力'!$U$139="kW",ROUND('2-3.設備仕様入力'!$U$132*'2-3.設備仕様入力'!$U$138*3.6/1000*VLOOKUP('2-3.設備仕様入力'!$U$134,計算!$N$16:$P$26,3,FALSE),1),""),""),"")</f>
        <v/>
      </c>
      <c r="U73" s="48" t="str">
        <f t="shared" si="16"/>
        <v/>
      </c>
      <c r="V73" s="48" t="str">
        <f>IF('2-3.設備仕様入力'!$U$131="ガスヒートポンプ式空調機",IF('2-3.設備仕様入力'!$U$139="ｍ3N/h",ROUND('2-3.設備仕様入力'!$U$132*'2-3.設備仕様入力'!$U$137*計算!$C$10/1000*VLOOKUP('2-3.設備仕様入力'!$U$134,計算!$N$16:$P$26,2,FALSE),1),""),"")</f>
        <v/>
      </c>
      <c r="W73" s="48" t="str">
        <f>IF('2-3.設備仕様入力'!$U$131="ガスヒートポンプ式空調機",IF('2-3.設備仕様入力'!$U$139="ｍ3N/h",ROUND('2-3.設備仕様入力'!$U$132*'2-3.設備仕様入力'!$U$138*計算!$C$10/1000*VLOOKUP('2-3.設備仕様入力'!$U$134,計算!$N$16:$P$26,3,FALSE),1),""),"")</f>
        <v/>
      </c>
      <c r="X73" s="48" t="str">
        <f t="shared" si="17"/>
        <v/>
      </c>
      <c r="Y73" s="48" t="str">
        <f>IF('2-3.設備仕様入力'!$U$131="ガスヒートポンプ式空調機",IF('2-3.設備仕様入力'!$U$133="LPG",IF('2-3.設備仕様入力'!$U$139="kW",ROUND('2-3.設備仕様入力'!$U$132*'2-3.設備仕様入力'!$U$137*3.6/1000*VLOOKUP('2-3.設備仕様入力'!$U$134,計算!$N$16:$P$26,2,FALSE),1),""),""),"")</f>
        <v/>
      </c>
      <c r="Z73" s="48" t="str">
        <f>IF('2-3.設備仕様入力'!$U$131="ガスヒートポンプ式空調機",IF('2-3.設備仕様入力'!$U$133="LPG",IF('2-3.設備仕様入力'!$U$139="kW",ROUND('2-3.設備仕様入力'!$U$132*'2-3.設備仕様入力'!$U$138*3.6/1000*VLOOKUP('2-3.設備仕様入力'!$U$134,計算!$N$16:$P$26,3,FALSE),1),""),""),"")</f>
        <v/>
      </c>
      <c r="AA73" s="48" t="str">
        <f t="shared" si="18"/>
        <v/>
      </c>
      <c r="AB73" s="48" t="str">
        <f>IF('2-3.設備仕様入力'!$U$131="ガスヒートポンプ式空調機",IF('2-3.設備仕様入力'!$U$133="LPG",IF('2-3.設備仕様入力'!$U$139="kg/h",ROUND('2-3.設備仕様入力'!$U$132*'2-3.設備仕様入力'!$U$137*計算!$C$11/1000*VLOOKUP('2-3.設備仕様入力'!$U$134,計算!$N$16:$P$26,2,FALSE),1),""),""),"")</f>
        <v/>
      </c>
      <c r="AC73" s="48" t="str">
        <f>IF('2-3.設備仕様入力'!$U$131="ガスヒートポンプ式空調機",IF('2-3.設備仕様入力'!$U$133="LPG",IF('2-3.設備仕様入力'!$U$139="kg/h",ROUND('2-3.設備仕様入力'!$U$132*'2-3.設備仕様入力'!$U$138*計算!$C$11/1000*VLOOKUP('2-3.設備仕様入力'!$U$134,計算!$N$16:$P$26,3,FALSE),1),""),""),"")</f>
        <v/>
      </c>
      <c r="AD73" s="48" t="str">
        <f t="shared" si="19"/>
        <v/>
      </c>
    </row>
    <row r="74" spans="14:30" ht="19.5" x14ac:dyDescent="0.45">
      <c r="N74" s="90" t="s">
        <v>409</v>
      </c>
      <c r="O74" s="41" t="str">
        <f>IF(AND('2-3.設備仕様入力'!V$133="電気",'2-3.設備仕様入力'!V$139="kW"),1,IF(AND('2-3.設備仕様入力'!V$133="都市ガス",'2-3.設備仕様入力'!V$139="kW"),2,IF(AND('2-3.設備仕様入力'!V$133="都市ガス",'2-3.設備仕様入力'!V$139="ｍ3N/h"),3,IF(AND('2-3.設備仕様入力'!V$133="LPG",'2-3.設備仕様入力'!V$139="kW"),4,IF(AND('2-3.設備仕様入力'!V$133="LPG",'2-3.設備仕様入力'!V$139="kg/h"),5,"")))))</f>
        <v/>
      </c>
      <c r="P74" s="48" t="str">
        <f>IF(OR('2-3.設備仕様入力'!$V$131="電気式パッケージ形空調機",'2-3.設備仕様入力'!$V$131="ルームエアコン"),ROUND('2-3.設備仕様入力'!$V$137*'2-3.設備仕様入力'!$V$132*計算!$C$3*VLOOKUP('2-3.設備仕様入力'!$V$134,計算!$N$16:$P$26,2,FALSE)/1000,1),"")</f>
        <v/>
      </c>
      <c r="Q74" s="48" t="str">
        <f>IF(OR('2-3.設備仕様入力'!$V$131="電気式パッケージ形空調機",'2-3.設備仕様入力'!$V$131="ルームエアコン"),ROUND('2-3.設備仕様入力'!$V$138*'2-3.設備仕様入力'!$V$132*計算!$C$3*VLOOKUP('2-3.設備仕様入力'!$V$134,計算!$N$16:$P$26,3,FALSE)/1000,1),"")</f>
        <v/>
      </c>
      <c r="R74" s="48" t="str">
        <f t="shared" si="15"/>
        <v/>
      </c>
      <c r="S74" s="48" t="str">
        <f>IF('2-3.設備仕様入力'!$V$131="ガスヒートポンプ式空調機",IF('2-3.設備仕様入力'!$V$133="都市ガス",IF('2-3.設備仕様入力'!$V$139="kW",ROUND('2-3.設備仕様入力'!$V$132*'2-3.設備仕様入力'!$V$137*3.6/1000*VLOOKUP('2-3.設備仕様入力'!$V$134,計算!$N$16:$P$26,2,FALSE),1),""),""),"")</f>
        <v/>
      </c>
      <c r="T74" s="48" t="str">
        <f>IF('2-3.設備仕様入力'!$V$131="ガスヒートポンプ式空調機",IF('2-3.設備仕様入力'!$V$133="都市ガス",IF('2-3.設備仕様入力'!$V$139="kW",ROUND('2-3.設備仕様入力'!$V$132*'2-3.設備仕様入力'!$V$138*3.6/1000*VLOOKUP('2-3.設備仕様入力'!$V$134,計算!$N$16:$P$26,3,FALSE),1),""),""),"")</f>
        <v/>
      </c>
      <c r="U74" s="48" t="str">
        <f t="shared" si="16"/>
        <v/>
      </c>
      <c r="V74" s="48" t="str">
        <f>IF('2-3.設備仕様入力'!$V$131="ガスヒートポンプ式空調機",IF('2-3.設備仕様入力'!$V$139="ｍ3N/h",ROUND('2-3.設備仕様入力'!$V$132*'2-3.設備仕様入力'!$V$137*計算!$C$10/1000*VLOOKUP('2-3.設備仕様入力'!$V$134,計算!$N$16:$P$26,2,FALSE),1),""),"")</f>
        <v/>
      </c>
      <c r="W74" s="48" t="str">
        <f>IF('2-3.設備仕様入力'!$V$131="ガスヒートポンプ式空調機",IF('2-3.設備仕様入力'!$V$139="ｍ3N/h",ROUND('2-3.設備仕様入力'!$V$132*'2-3.設備仕様入力'!$V$138*計算!$C$10/1000*VLOOKUP('2-3.設備仕様入力'!$V$134,計算!$N$16:$P$26,3,FALSE),1),""),"")</f>
        <v/>
      </c>
      <c r="X74" s="48" t="str">
        <f t="shared" si="17"/>
        <v/>
      </c>
      <c r="Y74" s="48" t="str">
        <f>IF('2-3.設備仕様入力'!$V$131="ガスヒートポンプ式空調機",IF('2-3.設備仕様入力'!$V$133="LPG",IF('2-3.設備仕様入力'!$V$139="kW",ROUND('2-3.設備仕様入力'!$V$132*'2-3.設備仕様入力'!$V$137*3.6/1000*VLOOKUP('2-3.設備仕様入力'!$V$134,計算!$N$16:$P$26,2,FALSE),1),""),""),"")</f>
        <v/>
      </c>
      <c r="Z74" s="48" t="str">
        <f>IF('2-3.設備仕様入力'!$V$131="ガスヒートポンプ式空調機",IF('2-3.設備仕様入力'!$V$133="LPG",IF('2-3.設備仕様入力'!$V$139="kW",ROUND('2-3.設備仕様入力'!$V$132*'2-3.設備仕様入力'!$V$138*3.6/1000*VLOOKUP('2-3.設備仕様入力'!$V$134,計算!$N$16:$P$26,3,FALSE),1),""),""),"")</f>
        <v/>
      </c>
      <c r="AA74" s="48" t="str">
        <f t="shared" si="18"/>
        <v/>
      </c>
      <c r="AB74" s="48" t="str">
        <f>IF('2-3.設備仕様入力'!$V$131="ガスヒートポンプ式空調機",IF('2-3.設備仕様入力'!$V$133="LPG",IF('2-3.設備仕様入力'!$V$139="kg/h",ROUND('2-3.設備仕様入力'!$V$132*'2-3.設備仕様入力'!$V$137*計算!$C$11/1000*VLOOKUP('2-3.設備仕様入力'!$V$134,計算!$N$16:$P$26,2,FALSE),1),""),""),"")</f>
        <v/>
      </c>
      <c r="AC74" s="48" t="str">
        <f>IF('2-3.設備仕様入力'!$V$131="ガスヒートポンプ式空調機",IF('2-3.設備仕様入力'!$V$133="LPG",IF('2-3.設備仕様入力'!$V$139="kg/h",ROUND('2-3.設備仕様入力'!$V$132*'2-3.設備仕様入力'!$V$138*計算!$C$11/1000*VLOOKUP('2-3.設備仕様入力'!$V$134,計算!$N$16:$P$26,3,FALSE),1),""),""),"")</f>
        <v/>
      </c>
      <c r="AD74" s="48" t="str">
        <f t="shared" si="19"/>
        <v/>
      </c>
    </row>
    <row r="75" spans="14:30" ht="19.5" x14ac:dyDescent="0.45">
      <c r="N75" s="90" t="s">
        <v>410</v>
      </c>
      <c r="O75" s="41" t="str">
        <f>IF(AND('2-3.設備仕様入力'!W$133="電気",'2-3.設備仕様入力'!W$139="kW"),1,IF(AND('2-3.設備仕様入力'!W$133="都市ガス",'2-3.設備仕様入力'!W$139="kW"),2,IF(AND('2-3.設備仕様入力'!W$133="都市ガス",'2-3.設備仕様入力'!W$139="ｍ3N/h"),3,IF(AND('2-3.設備仕様入力'!W$133="LPG",'2-3.設備仕様入力'!W$139="kW"),4,IF(AND('2-3.設備仕様入力'!W$133="LPG",'2-3.設備仕様入力'!W$139="kg/h"),5,"")))))</f>
        <v/>
      </c>
      <c r="P75" s="48" t="str">
        <f>IF(OR('2-3.設備仕様入力'!$W$131="電気式パッケージ形空調機",'2-3.設備仕様入力'!$W$131="ルームエアコン"),ROUND('2-3.設備仕様入力'!$W$137*'2-3.設備仕様入力'!$W$132*計算!$C$3*VLOOKUP('2-3.設備仕様入力'!$W$134,計算!$N$16:$P$26,2,FALSE)/1000,1),"")</f>
        <v/>
      </c>
      <c r="Q75" s="48" t="str">
        <f>IF(OR('2-3.設備仕様入力'!$W$131="電気式パッケージ形空調機",'2-3.設備仕様入力'!$W$131="ルームエアコン"),ROUND('2-3.設備仕様入力'!$W$138*'2-3.設備仕様入力'!$W$132*計算!$C$3*VLOOKUP('2-3.設備仕様入力'!$W$134,計算!$N$16:$P$26,3,FALSE)/1000,1),"")</f>
        <v/>
      </c>
      <c r="R75" s="48" t="str">
        <f t="shared" si="15"/>
        <v/>
      </c>
      <c r="S75" s="48" t="str">
        <f>IF('2-3.設備仕様入力'!$W$131="ガスヒートポンプ式空調機",IF('2-3.設備仕様入力'!$W$133="都市ガス",IF('2-3.設備仕様入力'!$W$139="kW",ROUND('2-3.設備仕様入力'!$W$132*'2-3.設備仕様入力'!$W$137*3.6/1000*VLOOKUP('2-3.設備仕様入力'!$W$134,計算!$N$16:$P$26,2,FALSE),1),""),""),"")</f>
        <v/>
      </c>
      <c r="T75" s="48" t="str">
        <f>IF('2-3.設備仕様入力'!$W$131="ガスヒートポンプ式空調機",IF('2-3.設備仕様入力'!$W$133="都市ガス",IF('2-3.設備仕様入力'!$W$139="kW",ROUND('2-3.設備仕様入力'!$W$132*'2-3.設備仕様入力'!$W$138*3.6/1000*VLOOKUP('2-3.設備仕様入力'!$W$134,計算!$N$16:$P$26,3,FALSE),1),""),""),"")</f>
        <v/>
      </c>
      <c r="U75" s="48" t="str">
        <f t="shared" si="16"/>
        <v/>
      </c>
      <c r="V75" s="48" t="str">
        <f>IF('2-3.設備仕様入力'!$W$131="ガスヒートポンプ式空調機",IF('2-3.設備仕様入力'!$W$139="ｍ3N/h",ROUND('2-3.設備仕様入力'!$W$132*'2-3.設備仕様入力'!$W$137*計算!$C$10/1000*VLOOKUP('2-3.設備仕様入力'!$W$134,計算!$N$16:$P$26,2,FALSE),1),""),"")</f>
        <v/>
      </c>
      <c r="W75" s="48" t="str">
        <f>IF('2-3.設備仕様入力'!$W$131="ガスヒートポンプ式空調機",IF('2-3.設備仕様入力'!$W$139="ｍ3N/h",ROUND('2-3.設備仕様入力'!$W$132*'2-3.設備仕様入力'!$W$138*計算!$C$10/1000*VLOOKUP('2-3.設備仕様入力'!$W$134,計算!$N$16:$P$26,3,FALSE),1),""),"")</f>
        <v/>
      </c>
      <c r="X75" s="48" t="str">
        <f t="shared" si="17"/>
        <v/>
      </c>
      <c r="Y75" s="48" t="str">
        <f>IF('2-3.設備仕様入力'!$W$131="ガスヒートポンプ式空調機",IF('2-3.設備仕様入力'!$W$133="LPG",IF('2-3.設備仕様入力'!$W$139="kW",ROUND('2-3.設備仕様入力'!$W$132*'2-3.設備仕様入力'!$W$137*3.6/1000*VLOOKUP('2-3.設備仕様入力'!$W$134,計算!$N$16:$P$26,2,FALSE),1),""),""),"")</f>
        <v/>
      </c>
      <c r="Z75" s="48" t="str">
        <f>IF('2-3.設備仕様入力'!$W$131="ガスヒートポンプ式空調機",IF('2-3.設備仕様入力'!$W$133="LPG",IF('2-3.設備仕様入力'!$W$139="kW",ROUND('2-3.設備仕様入力'!$W$132*'2-3.設備仕様入力'!$W$138*3.6/1000*VLOOKUP('2-3.設備仕様入力'!$W$134,計算!$N$16:$P$26,3,FALSE),1),""),""),"")</f>
        <v/>
      </c>
      <c r="AA75" s="48" t="str">
        <f t="shared" si="18"/>
        <v/>
      </c>
      <c r="AB75" s="48" t="str">
        <f>IF('2-3.設備仕様入力'!$W$131="ガスヒートポンプ式空調機",IF('2-3.設備仕様入力'!$W$133="LPG",IF('2-3.設備仕様入力'!$W$139="kg/h",ROUND('2-3.設備仕様入力'!$W$132*'2-3.設備仕様入力'!$W$137*計算!$C$11/1000*VLOOKUP('2-3.設備仕様入力'!$W$134,計算!$N$16:$P$26,2,FALSE),1),""),""),"")</f>
        <v/>
      </c>
      <c r="AC75" s="48" t="str">
        <f>IF('2-3.設備仕様入力'!$W$131="ガスヒートポンプ式空調機",IF('2-3.設備仕様入力'!$W$133="LPG",IF('2-3.設備仕様入力'!$W$139="kg/h",ROUND('2-3.設備仕様入力'!$W$132*'2-3.設備仕様入力'!$W$138*計算!$C$11/1000*VLOOKUP('2-3.設備仕様入力'!$W$134,計算!$N$16:$P$26,3,FALSE),1),""),""),"")</f>
        <v/>
      </c>
      <c r="AD75" s="48" t="str">
        <f t="shared" si="19"/>
        <v/>
      </c>
    </row>
    <row r="76" spans="14:30" ht="19.5" x14ac:dyDescent="0.45">
      <c r="P76" s="164"/>
      <c r="Q76" s="164"/>
      <c r="R76" s="164"/>
      <c r="S76" s="164"/>
      <c r="T76" s="164"/>
      <c r="U76" s="164"/>
      <c r="V76" s="164"/>
      <c r="W76" s="164"/>
      <c r="X76" s="164"/>
      <c r="Y76" s="164"/>
      <c r="Z76" s="164"/>
      <c r="AA76" s="164"/>
      <c r="AB76" s="164"/>
      <c r="AC76" s="164"/>
      <c r="AD76" s="164"/>
    </row>
  </sheetData>
  <mergeCells count="13">
    <mergeCell ref="J1:K1"/>
    <mergeCell ref="P28:AD28"/>
    <mergeCell ref="Y29:AA29"/>
    <mergeCell ref="AB29:AD29"/>
    <mergeCell ref="P29:R29"/>
    <mergeCell ref="S29:U29"/>
    <mergeCell ref="V29:X29"/>
    <mergeCell ref="P53:AD53"/>
    <mergeCell ref="P54:R54"/>
    <mergeCell ref="S54:U54"/>
    <mergeCell ref="V54:X54"/>
    <mergeCell ref="Y54:AA54"/>
    <mergeCell ref="AB54:AD54"/>
  </mergeCells>
  <phoneticPr fontId="2"/>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pageSetUpPr fitToPage="1"/>
  </sheetPr>
  <dimension ref="B1:BO54"/>
  <sheetViews>
    <sheetView tabSelected="1" zoomScale="70" zoomScaleNormal="70" workbookViewId="0">
      <selection activeCell="E24" sqref="E24"/>
    </sheetView>
  </sheetViews>
  <sheetFormatPr defaultColWidth="7.19921875" defaultRowHeight="19.5" x14ac:dyDescent="0.45"/>
  <cols>
    <col min="1" max="1" width="2.19921875" style="46" customWidth="1"/>
    <col min="2" max="2" width="14.8984375" style="46" customWidth="1"/>
    <col min="3" max="3" width="4.796875" style="46" customWidth="1"/>
    <col min="4" max="4" width="4" style="46" customWidth="1"/>
    <col min="5" max="13" width="9.796875" style="46" customWidth="1"/>
    <col min="14" max="14" width="9.796875" style="46" customWidth="1" collapsed="1"/>
    <col min="15" max="28" width="9.796875" style="46" customWidth="1"/>
    <col min="29" max="29" width="9.796875" style="46" customWidth="1" collapsed="1"/>
    <col min="30" max="36" width="9.796875" style="46" customWidth="1"/>
    <col min="37" max="37" width="9.796875" style="53" customWidth="1"/>
    <col min="38" max="54" width="9.796875" style="46" customWidth="1"/>
    <col min="55" max="65" width="9.8984375" style="46" customWidth="1"/>
    <col min="66" max="16384" width="7.19921875" style="46"/>
  </cols>
  <sheetData>
    <row r="1" spans="2:34" s="67" customFormat="1" ht="18.75" x14ac:dyDescent="0.45"/>
    <row r="2" spans="2:34" s="23" customFormat="1" x14ac:dyDescent="0.45">
      <c r="B2" s="58" t="s">
        <v>234</v>
      </c>
      <c r="C2" s="58"/>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2:34" s="67" customFormat="1" x14ac:dyDescent="0.45">
      <c r="B3" s="83" t="s">
        <v>235</v>
      </c>
      <c r="C3" s="46"/>
      <c r="D3" s="46"/>
      <c r="E3" s="46"/>
      <c r="F3" s="46"/>
      <c r="G3" s="46"/>
      <c r="H3" s="46"/>
      <c r="I3" s="46"/>
      <c r="J3" s="46"/>
      <c r="K3" s="59"/>
      <c r="L3" s="46"/>
      <c r="M3" s="46"/>
      <c r="N3" s="46"/>
      <c r="O3" s="46"/>
      <c r="P3" s="46"/>
      <c r="Q3" s="46"/>
      <c r="R3" s="46"/>
      <c r="S3" s="46"/>
      <c r="T3" s="46"/>
      <c r="U3" s="46"/>
      <c r="V3" s="46"/>
      <c r="W3" s="46"/>
      <c r="X3" s="46"/>
      <c r="Y3" s="46"/>
      <c r="Z3" s="46"/>
      <c r="AA3" s="46"/>
      <c r="AB3" s="46"/>
      <c r="AC3" s="46"/>
      <c r="AD3" s="46"/>
      <c r="AE3" s="46"/>
      <c r="AF3" s="46"/>
      <c r="AG3" s="46"/>
      <c r="AH3" s="46"/>
    </row>
    <row r="4" spans="2:34" s="67" customFormat="1" x14ac:dyDescent="0.45">
      <c r="B4" s="83"/>
      <c r="C4" s="46"/>
      <c r="D4" s="46"/>
      <c r="E4" s="46"/>
      <c r="F4" s="46"/>
      <c r="G4" s="46"/>
      <c r="H4" s="46"/>
      <c r="I4" s="46"/>
      <c r="J4" s="46"/>
      <c r="K4" s="59"/>
      <c r="L4" s="46"/>
      <c r="M4" s="46"/>
      <c r="N4" s="46"/>
      <c r="O4" s="46"/>
      <c r="P4" s="46"/>
      <c r="Q4" s="46"/>
      <c r="R4" s="46"/>
      <c r="S4" s="46"/>
      <c r="T4" s="46"/>
      <c r="U4" s="46"/>
      <c r="V4" s="46"/>
      <c r="W4" s="46"/>
      <c r="X4" s="46"/>
      <c r="Y4" s="46"/>
      <c r="Z4" s="46"/>
      <c r="AA4" s="46"/>
      <c r="AB4" s="46"/>
      <c r="AC4" s="46"/>
      <c r="AD4" s="46"/>
      <c r="AE4" s="46"/>
      <c r="AF4" s="46"/>
      <c r="AG4" s="46"/>
      <c r="AH4" s="46"/>
    </row>
    <row r="5" spans="2:34" s="23" customFormat="1" x14ac:dyDescent="0.45">
      <c r="B5" s="58" t="s">
        <v>180</v>
      </c>
      <c r="C5" s="58"/>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2:34" s="67" customFormat="1" x14ac:dyDescent="0.45">
      <c r="B6" s="135" t="s">
        <v>436</v>
      </c>
      <c r="C6" s="46"/>
      <c r="D6" s="46"/>
      <c r="E6" s="46"/>
      <c r="F6" s="46"/>
      <c r="G6" s="46"/>
      <c r="H6" s="46"/>
      <c r="I6" s="46"/>
      <c r="J6" s="46"/>
      <c r="K6" s="59"/>
      <c r="L6" s="46"/>
      <c r="M6" s="46"/>
      <c r="N6" s="46"/>
      <c r="O6" s="46"/>
      <c r="P6" s="46"/>
      <c r="Q6" s="46"/>
      <c r="R6" s="46"/>
      <c r="S6" s="46"/>
      <c r="T6" s="46"/>
      <c r="U6" s="46"/>
      <c r="V6" s="46"/>
      <c r="W6" s="46"/>
      <c r="X6" s="46"/>
      <c r="Y6" s="46"/>
      <c r="Z6" s="46"/>
      <c r="AA6" s="46"/>
      <c r="AB6" s="46"/>
      <c r="AC6" s="46"/>
      <c r="AD6" s="46"/>
      <c r="AE6" s="46"/>
      <c r="AF6" s="46"/>
      <c r="AG6" s="46"/>
      <c r="AH6" s="46"/>
    </row>
    <row r="7" spans="2:34" s="67" customFormat="1" x14ac:dyDescent="0.45">
      <c r="B7" s="135" t="s">
        <v>432</v>
      </c>
      <c r="C7" s="46"/>
      <c r="D7" s="46"/>
      <c r="E7" s="46"/>
      <c r="F7" s="46"/>
      <c r="G7" s="46"/>
      <c r="H7" s="46"/>
      <c r="I7" s="46"/>
      <c r="J7" s="46"/>
      <c r="K7" s="59"/>
      <c r="L7" s="46"/>
      <c r="M7" s="46"/>
      <c r="N7" s="46"/>
      <c r="O7" s="46"/>
      <c r="P7" s="46"/>
      <c r="Q7" s="46"/>
      <c r="R7" s="46"/>
      <c r="S7" s="46"/>
      <c r="T7" s="46"/>
      <c r="U7" s="46"/>
      <c r="V7" s="46"/>
      <c r="W7" s="46"/>
      <c r="X7" s="46"/>
      <c r="Y7" s="46"/>
      <c r="Z7" s="46"/>
      <c r="AA7" s="46"/>
      <c r="AB7" s="46"/>
      <c r="AC7" s="46"/>
      <c r="AD7" s="46"/>
      <c r="AE7" s="46"/>
      <c r="AF7" s="46"/>
      <c r="AG7" s="46"/>
      <c r="AH7" s="46"/>
    </row>
    <row r="8" spans="2:34" s="67" customFormat="1" x14ac:dyDescent="0.45">
      <c r="B8" s="135" t="s">
        <v>435</v>
      </c>
      <c r="C8" s="46"/>
      <c r="D8" s="46"/>
      <c r="E8" s="46"/>
      <c r="F8" s="46"/>
      <c r="G8" s="46"/>
      <c r="H8" s="46"/>
      <c r="I8" s="46"/>
      <c r="J8" s="46"/>
      <c r="K8" s="59"/>
      <c r="L8" s="46"/>
      <c r="M8" s="46"/>
      <c r="N8" s="46"/>
      <c r="O8" s="46"/>
      <c r="P8" s="46"/>
      <c r="Q8" s="46"/>
      <c r="R8" s="46"/>
      <c r="S8" s="46"/>
      <c r="T8" s="46"/>
      <c r="U8" s="46"/>
      <c r="V8" s="46"/>
      <c r="W8" s="46"/>
      <c r="X8" s="46"/>
      <c r="Y8" s="46"/>
      <c r="Z8" s="46"/>
      <c r="AA8" s="46"/>
      <c r="AB8" s="46"/>
      <c r="AC8" s="46"/>
      <c r="AD8" s="46"/>
      <c r="AE8" s="46"/>
      <c r="AF8" s="46"/>
      <c r="AG8" s="46"/>
      <c r="AH8" s="46"/>
    </row>
    <row r="9" spans="2:34" s="67" customFormat="1" x14ac:dyDescent="0.45">
      <c r="B9" s="135" t="s">
        <v>515</v>
      </c>
      <c r="C9" s="46"/>
      <c r="D9" s="99"/>
      <c r="E9" s="99"/>
      <c r="F9" s="99"/>
      <c r="G9" s="46"/>
      <c r="H9" s="46"/>
      <c r="I9" s="46"/>
      <c r="J9" s="46"/>
      <c r="K9" s="59"/>
      <c r="L9" s="46"/>
      <c r="M9" s="46"/>
      <c r="N9" s="46"/>
      <c r="O9" s="46"/>
      <c r="P9" s="46"/>
      <c r="Q9" s="46"/>
      <c r="R9" s="46"/>
      <c r="S9" s="46"/>
      <c r="T9" s="46"/>
      <c r="U9" s="46"/>
      <c r="V9" s="46"/>
      <c r="W9" s="46"/>
      <c r="X9" s="46"/>
      <c r="Y9" s="46"/>
      <c r="Z9" s="46"/>
      <c r="AA9" s="46"/>
      <c r="AB9" s="46"/>
      <c r="AC9" s="46"/>
      <c r="AD9" s="46"/>
      <c r="AE9" s="46"/>
      <c r="AF9" s="46"/>
      <c r="AG9" s="46"/>
      <c r="AH9" s="46"/>
    </row>
    <row r="10" spans="2:34" s="67" customFormat="1" x14ac:dyDescent="0.45">
      <c r="B10" s="135" t="s">
        <v>516</v>
      </c>
      <c r="C10" s="46"/>
      <c r="D10" s="46"/>
      <c r="E10" s="46"/>
      <c r="F10" s="46"/>
      <c r="G10" s="46"/>
      <c r="H10" s="46"/>
      <c r="I10" s="46"/>
      <c r="J10" s="46"/>
      <c r="K10" s="59"/>
      <c r="L10" s="46"/>
      <c r="M10" s="46"/>
      <c r="N10" s="46"/>
      <c r="O10" s="46"/>
      <c r="P10" s="46"/>
      <c r="Q10" s="46"/>
      <c r="R10" s="46"/>
      <c r="S10" s="46"/>
      <c r="T10" s="46"/>
      <c r="U10" s="46"/>
      <c r="V10" s="46"/>
      <c r="W10" s="46"/>
      <c r="X10" s="46"/>
      <c r="Y10" s="46"/>
      <c r="Z10" s="46"/>
      <c r="AA10" s="46"/>
      <c r="AB10" s="46"/>
      <c r="AC10" s="46"/>
      <c r="AD10" s="46"/>
      <c r="AE10" s="46"/>
      <c r="AF10" s="46"/>
      <c r="AG10" s="46"/>
      <c r="AH10" s="46"/>
    </row>
    <row r="11" spans="2:34" s="67" customFormat="1" x14ac:dyDescent="0.45">
      <c r="B11" s="135" t="s">
        <v>434</v>
      </c>
      <c r="C11" s="46"/>
      <c r="D11" s="46"/>
      <c r="E11" s="46"/>
      <c r="F11" s="46"/>
      <c r="G11" s="46"/>
      <c r="H11" s="46"/>
      <c r="I11" s="46"/>
      <c r="J11" s="46"/>
      <c r="K11" s="59"/>
      <c r="L11" s="46"/>
      <c r="M11" s="46"/>
      <c r="N11" s="46"/>
      <c r="O11" s="46"/>
      <c r="P11" s="46"/>
      <c r="Q11" s="46"/>
      <c r="R11" s="46"/>
      <c r="S11" s="46"/>
      <c r="T11" s="46"/>
      <c r="U11" s="46"/>
      <c r="V11" s="46"/>
      <c r="W11" s="46"/>
      <c r="X11" s="46"/>
      <c r="Y11" s="46"/>
      <c r="Z11" s="46"/>
      <c r="AA11" s="46"/>
      <c r="AB11" s="46"/>
      <c r="AC11" s="46"/>
      <c r="AD11" s="46"/>
      <c r="AE11" s="46"/>
      <c r="AF11" s="46"/>
      <c r="AG11" s="46"/>
      <c r="AH11" s="46"/>
    </row>
    <row r="12" spans="2:34" s="67" customFormat="1" x14ac:dyDescent="0.45">
      <c r="B12" s="135" t="s">
        <v>433</v>
      </c>
      <c r="C12" s="46"/>
      <c r="D12" s="46"/>
      <c r="E12" s="46"/>
      <c r="F12" s="46"/>
      <c r="G12" s="46"/>
      <c r="H12" s="46"/>
      <c r="I12" s="46"/>
      <c r="J12" s="46"/>
      <c r="K12" s="59"/>
      <c r="L12" s="46"/>
      <c r="M12" s="46"/>
      <c r="N12" s="46"/>
      <c r="O12" s="46"/>
      <c r="P12" s="46"/>
      <c r="Q12" s="46"/>
      <c r="R12" s="46"/>
      <c r="S12" s="46"/>
      <c r="T12" s="46"/>
      <c r="U12" s="46"/>
      <c r="V12" s="46"/>
      <c r="W12" s="46"/>
      <c r="X12" s="46"/>
      <c r="Y12" s="46"/>
      <c r="Z12" s="46"/>
      <c r="AA12" s="46"/>
      <c r="AB12" s="46"/>
      <c r="AC12" s="46"/>
      <c r="AD12" s="46"/>
      <c r="AE12" s="46"/>
      <c r="AF12" s="46"/>
      <c r="AG12" s="46"/>
      <c r="AH12" s="46"/>
    </row>
    <row r="13" spans="2:34" s="67" customFormat="1" x14ac:dyDescent="0.45">
      <c r="B13" s="154" t="s">
        <v>431</v>
      </c>
      <c r="C13" s="46"/>
      <c r="D13" s="46"/>
      <c r="E13" s="46"/>
      <c r="F13" s="46"/>
      <c r="G13" s="46"/>
      <c r="H13" s="46"/>
      <c r="I13" s="46"/>
      <c r="J13" s="46"/>
      <c r="K13" s="59"/>
      <c r="L13" s="46"/>
      <c r="M13" s="46"/>
      <c r="N13" s="46"/>
      <c r="O13" s="46"/>
      <c r="P13" s="46"/>
      <c r="Q13" s="46"/>
      <c r="R13" s="46"/>
      <c r="S13" s="46"/>
      <c r="T13" s="46"/>
      <c r="U13" s="46"/>
      <c r="V13" s="46"/>
      <c r="W13" s="46"/>
      <c r="X13" s="46"/>
      <c r="Y13" s="46"/>
      <c r="Z13" s="46"/>
      <c r="AA13" s="46"/>
      <c r="AB13" s="46"/>
      <c r="AC13" s="46"/>
      <c r="AD13" s="46"/>
      <c r="AE13" s="46"/>
      <c r="AF13" s="46"/>
      <c r="AG13" s="46"/>
      <c r="AH13" s="46"/>
    </row>
    <row r="14" spans="2:34" s="23" customFormat="1" x14ac:dyDescent="0.45">
      <c r="B14" s="58"/>
      <c r="C14" s="58"/>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row>
    <row r="15" spans="2:34" s="23" customFormat="1" x14ac:dyDescent="0.45">
      <c r="B15" s="101" t="s">
        <v>181</v>
      </c>
      <c r="C15" s="60"/>
      <c r="D15" s="59" t="s">
        <v>232</v>
      </c>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row>
    <row r="16" spans="2:34" s="23" customFormat="1" x14ac:dyDescent="0.45">
      <c r="B16" s="61"/>
      <c r="C16" s="62"/>
      <c r="D16" s="59" t="s">
        <v>137</v>
      </c>
      <c r="F16" s="59"/>
      <c r="G16" s="59"/>
      <c r="H16" s="59"/>
      <c r="I16" s="59"/>
      <c r="J16" s="59"/>
      <c r="K16" s="63"/>
      <c r="L16" s="59"/>
      <c r="M16" s="59"/>
      <c r="N16" s="63"/>
      <c r="O16" s="63"/>
      <c r="P16" s="63"/>
      <c r="Q16" s="63"/>
      <c r="R16" s="63"/>
      <c r="S16" s="63"/>
      <c r="T16" s="63"/>
      <c r="U16" s="63"/>
      <c r="V16" s="63"/>
      <c r="W16" s="63"/>
      <c r="X16" s="63"/>
      <c r="Y16" s="63"/>
      <c r="Z16" s="63"/>
      <c r="AA16" s="63"/>
      <c r="AB16" s="63"/>
      <c r="AC16" s="63"/>
      <c r="AD16" s="63"/>
      <c r="AE16" s="63"/>
      <c r="AF16" s="63"/>
      <c r="AG16" s="63"/>
      <c r="AH16" s="63"/>
    </row>
    <row r="17" spans="2:67" s="23" customFormat="1" x14ac:dyDescent="0.45">
      <c r="B17" s="61"/>
      <c r="C17" s="64"/>
      <c r="D17" s="59" t="s">
        <v>368</v>
      </c>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row>
    <row r="18" spans="2:67" s="23" customFormat="1" x14ac:dyDescent="0.45">
      <c r="B18" s="61"/>
      <c r="C18" s="61"/>
      <c r="D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row>
    <row r="19" spans="2:67" s="23" customFormat="1" x14ac:dyDescent="0.45">
      <c r="B19" s="61" t="s">
        <v>525</v>
      </c>
      <c r="C19" s="61"/>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row>
    <row r="20" spans="2:67" ht="24.75" customHeight="1" x14ac:dyDescent="0.45">
      <c r="AI20" s="131"/>
    </row>
    <row r="21" spans="2:67" ht="49.5" customHeight="1" x14ac:dyDescent="0.45">
      <c r="B21" s="103" t="s">
        <v>207</v>
      </c>
      <c r="C21" s="103"/>
      <c r="D21" s="103"/>
      <c r="E21" s="103"/>
      <c r="F21" s="103"/>
      <c r="G21" s="229" t="s">
        <v>278</v>
      </c>
      <c r="H21" s="230"/>
      <c r="I21" s="226" t="str">
        <f>IF(SUM($E40:$BL40)=120,"",IF(I42="入力確認","比較表の入力をご確認ください。",IF(SUM(E41:BL41)=0,"必要換気量に係る要件を満たしています。","必要換気量に係る要件を満たしていないため、申請できません。")))</f>
        <v/>
      </c>
      <c r="J21" s="227"/>
      <c r="K21" s="227"/>
      <c r="L21" s="227"/>
      <c r="M21" s="227"/>
      <c r="N21" s="227"/>
      <c r="O21" s="227"/>
      <c r="P21" s="227"/>
      <c r="Q21" s="228"/>
    </row>
    <row r="22" spans="2:67" ht="24.75" customHeight="1" x14ac:dyDescent="0.5">
      <c r="B22" s="102"/>
      <c r="C22" s="102"/>
      <c r="D22" s="102"/>
      <c r="E22" s="102"/>
      <c r="F22" s="102"/>
      <c r="G22" s="102"/>
      <c r="H22" s="102"/>
      <c r="I22" s="102"/>
      <c r="J22" s="102"/>
      <c r="K22" s="102"/>
      <c r="L22" s="102"/>
      <c r="M22" s="102"/>
      <c r="N22" s="128"/>
      <c r="O22" s="153"/>
      <c r="P22" s="153"/>
      <c r="Q22" s="153"/>
      <c r="R22" s="153"/>
      <c r="S22" s="153"/>
      <c r="T22" s="153"/>
      <c r="U22" s="153"/>
      <c r="V22" s="153"/>
      <c r="W22" s="153"/>
      <c r="X22" s="153"/>
      <c r="Y22" s="153"/>
      <c r="Z22" s="153"/>
      <c r="AA22" s="153"/>
      <c r="AB22" s="153"/>
      <c r="AC22" s="153"/>
      <c r="AD22" s="153"/>
      <c r="AE22" s="153"/>
      <c r="AF22" s="153"/>
      <c r="AG22" s="153"/>
      <c r="AH22" s="153"/>
    </row>
    <row r="23" spans="2:67" ht="42" customHeight="1" x14ac:dyDescent="0.45">
      <c r="B23" s="236" t="s">
        <v>139</v>
      </c>
      <c r="C23" s="236"/>
      <c r="D23" s="236"/>
      <c r="E23" s="152" t="s">
        <v>338</v>
      </c>
      <c r="F23" s="152" t="s">
        <v>339</v>
      </c>
      <c r="G23" s="152" t="s">
        <v>340</v>
      </c>
      <c r="H23" s="152" t="s">
        <v>341</v>
      </c>
      <c r="I23" s="152" t="s">
        <v>342</v>
      </c>
      <c r="J23" s="152" t="s">
        <v>343</v>
      </c>
      <c r="K23" s="152" t="s">
        <v>344</v>
      </c>
      <c r="L23" s="152" t="s">
        <v>345</v>
      </c>
      <c r="M23" s="152" t="s">
        <v>346</v>
      </c>
      <c r="N23" s="152" t="s">
        <v>347</v>
      </c>
      <c r="O23" s="152" t="s">
        <v>348</v>
      </c>
      <c r="P23" s="152" t="s">
        <v>349</v>
      </c>
      <c r="Q23" s="152" t="s">
        <v>350</v>
      </c>
      <c r="R23" s="152" t="s">
        <v>351</v>
      </c>
      <c r="S23" s="152" t="s">
        <v>352</v>
      </c>
      <c r="T23" s="152" t="s">
        <v>353</v>
      </c>
      <c r="U23" s="152" t="s">
        <v>354</v>
      </c>
      <c r="V23" s="152" t="s">
        <v>355</v>
      </c>
      <c r="W23" s="152" t="s">
        <v>356</v>
      </c>
      <c r="X23" s="152" t="s">
        <v>357</v>
      </c>
      <c r="Y23" s="152" t="s">
        <v>358</v>
      </c>
      <c r="Z23" s="152" t="s">
        <v>359</v>
      </c>
      <c r="AA23" s="152" t="s">
        <v>360</v>
      </c>
      <c r="AB23" s="152" t="s">
        <v>361</v>
      </c>
      <c r="AC23" s="152" t="s">
        <v>362</v>
      </c>
      <c r="AD23" s="152" t="s">
        <v>363</v>
      </c>
      <c r="AE23" s="152" t="s">
        <v>364</v>
      </c>
      <c r="AF23" s="152" t="s">
        <v>365</v>
      </c>
      <c r="AG23" s="152" t="s">
        <v>366</v>
      </c>
      <c r="AH23" s="152" t="s">
        <v>367</v>
      </c>
      <c r="AI23" s="152" t="s">
        <v>411</v>
      </c>
      <c r="AJ23" s="152" t="s">
        <v>412</v>
      </c>
      <c r="AK23" s="152" t="s">
        <v>413</v>
      </c>
      <c r="AL23" s="152" t="s">
        <v>414</v>
      </c>
      <c r="AM23" s="152" t="s">
        <v>415</v>
      </c>
      <c r="AN23" s="152" t="s">
        <v>416</v>
      </c>
      <c r="AO23" s="152" t="s">
        <v>417</v>
      </c>
      <c r="AP23" s="152" t="s">
        <v>418</v>
      </c>
      <c r="AQ23" s="152" t="s">
        <v>419</v>
      </c>
      <c r="AR23" s="152" t="s">
        <v>420</v>
      </c>
      <c r="AS23" s="152" t="s">
        <v>421</v>
      </c>
      <c r="AT23" s="152" t="s">
        <v>422</v>
      </c>
      <c r="AU23" s="152" t="s">
        <v>423</v>
      </c>
      <c r="AV23" s="152" t="s">
        <v>424</v>
      </c>
      <c r="AW23" s="152" t="s">
        <v>425</v>
      </c>
      <c r="AX23" s="152" t="s">
        <v>426</v>
      </c>
      <c r="AY23" s="152" t="s">
        <v>427</v>
      </c>
      <c r="AZ23" s="152" t="s">
        <v>428</v>
      </c>
      <c r="BA23" s="152" t="s">
        <v>429</v>
      </c>
      <c r="BB23" s="152" t="s">
        <v>430</v>
      </c>
      <c r="BC23" s="152" t="s">
        <v>446</v>
      </c>
      <c r="BD23" s="152" t="s">
        <v>447</v>
      </c>
      <c r="BE23" s="152" t="s">
        <v>448</v>
      </c>
      <c r="BF23" s="152" t="s">
        <v>449</v>
      </c>
      <c r="BG23" s="152" t="s">
        <v>450</v>
      </c>
      <c r="BH23" s="152" t="s">
        <v>451</v>
      </c>
      <c r="BI23" s="152" t="s">
        <v>452</v>
      </c>
      <c r="BJ23" s="152" t="s">
        <v>453</v>
      </c>
      <c r="BK23" s="152" t="s">
        <v>454</v>
      </c>
      <c r="BL23" s="152" t="s">
        <v>455</v>
      </c>
      <c r="BO23" s="53"/>
    </row>
    <row r="24" spans="2:67" ht="58.5" customHeight="1" x14ac:dyDescent="0.45">
      <c r="B24" s="236" t="s">
        <v>140</v>
      </c>
      <c r="C24" s="236"/>
      <c r="D24" s="236"/>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N24" s="135"/>
      <c r="BO24" s="53"/>
    </row>
    <row r="25" spans="2:67" ht="49.5" customHeight="1" x14ac:dyDescent="0.45">
      <c r="B25" s="237" t="s">
        <v>144</v>
      </c>
      <c r="C25" s="237"/>
      <c r="D25" s="237"/>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O25" s="53"/>
    </row>
    <row r="26" spans="2:67" ht="49.5" customHeight="1" x14ac:dyDescent="0.45">
      <c r="B26" s="237" t="s">
        <v>147</v>
      </c>
      <c r="C26" s="237"/>
      <c r="D26" s="237"/>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O26" s="53"/>
    </row>
    <row r="27" spans="2:67" ht="49.5" customHeight="1" x14ac:dyDescent="0.45">
      <c r="B27" s="237" t="s">
        <v>187</v>
      </c>
      <c r="C27" s="237"/>
      <c r="D27" s="237"/>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N27" s="135"/>
      <c r="BO27" s="53"/>
    </row>
    <row r="28" spans="2:67" ht="49.5" customHeight="1" x14ac:dyDescent="0.45">
      <c r="B28" s="234" t="s">
        <v>369</v>
      </c>
      <c r="C28" s="237" t="s">
        <v>150</v>
      </c>
      <c r="D28" s="237"/>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O28" s="53"/>
    </row>
    <row r="29" spans="2:67" ht="49.5" customHeight="1" x14ac:dyDescent="0.45">
      <c r="B29" s="235"/>
      <c r="C29" s="237" t="s">
        <v>182</v>
      </c>
      <c r="D29" s="237"/>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O29" s="53"/>
    </row>
    <row r="30" spans="2:67" ht="49.5" customHeight="1" x14ac:dyDescent="0.45">
      <c r="B30" s="234" t="s">
        <v>188</v>
      </c>
      <c r="C30" s="237" t="s">
        <v>150</v>
      </c>
      <c r="D30" s="237"/>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O30" s="53"/>
    </row>
    <row r="31" spans="2:67" ht="49.5" customHeight="1" x14ac:dyDescent="0.45">
      <c r="B31" s="235"/>
      <c r="C31" s="237" t="s">
        <v>182</v>
      </c>
      <c r="D31" s="237"/>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O31" s="53"/>
    </row>
    <row r="32" spans="2:67" ht="49.5" customHeight="1" x14ac:dyDescent="0.45">
      <c r="B32" s="234" t="s">
        <v>154</v>
      </c>
      <c r="C32" s="237" t="s">
        <v>150</v>
      </c>
      <c r="D32" s="237"/>
      <c r="E32" s="219" t="str">
        <f>IF(E40&lt;&gt;0,"",IF(E27="自然換気",0,IF(ISERROR(E30/E28),"入力確認",E30/E28)))</f>
        <v/>
      </c>
      <c r="F32" s="219" t="str">
        <f t="shared" ref="F32:BL32" si="0">IF(F40&lt;&gt;0,"",IF(F27="自然換気",0,IF(ISERROR(F30/F28),"入力確認",F30/F28)))</f>
        <v/>
      </c>
      <c r="G32" s="219" t="str">
        <f t="shared" si="0"/>
        <v/>
      </c>
      <c r="H32" s="219" t="str">
        <f t="shared" si="0"/>
        <v/>
      </c>
      <c r="I32" s="219" t="str">
        <f t="shared" si="0"/>
        <v/>
      </c>
      <c r="J32" s="219" t="str">
        <f t="shared" si="0"/>
        <v/>
      </c>
      <c r="K32" s="219" t="str">
        <f t="shared" si="0"/>
        <v/>
      </c>
      <c r="L32" s="219" t="str">
        <f t="shared" si="0"/>
        <v/>
      </c>
      <c r="M32" s="219" t="str">
        <f t="shared" si="0"/>
        <v/>
      </c>
      <c r="N32" s="219" t="str">
        <f t="shared" si="0"/>
        <v/>
      </c>
      <c r="O32" s="219" t="str">
        <f t="shared" si="0"/>
        <v/>
      </c>
      <c r="P32" s="219" t="str">
        <f t="shared" si="0"/>
        <v/>
      </c>
      <c r="Q32" s="219" t="str">
        <f t="shared" si="0"/>
        <v/>
      </c>
      <c r="R32" s="219" t="str">
        <f t="shared" si="0"/>
        <v/>
      </c>
      <c r="S32" s="219" t="str">
        <f t="shared" si="0"/>
        <v/>
      </c>
      <c r="T32" s="219" t="str">
        <f t="shared" si="0"/>
        <v/>
      </c>
      <c r="U32" s="219" t="str">
        <f t="shared" si="0"/>
        <v/>
      </c>
      <c r="V32" s="219" t="str">
        <f t="shared" si="0"/>
        <v/>
      </c>
      <c r="W32" s="219" t="str">
        <f t="shared" si="0"/>
        <v/>
      </c>
      <c r="X32" s="219" t="str">
        <f t="shared" si="0"/>
        <v/>
      </c>
      <c r="Y32" s="219" t="str">
        <f t="shared" si="0"/>
        <v/>
      </c>
      <c r="Z32" s="219" t="str">
        <f t="shared" si="0"/>
        <v/>
      </c>
      <c r="AA32" s="219" t="str">
        <f t="shared" si="0"/>
        <v/>
      </c>
      <c r="AB32" s="219" t="str">
        <f t="shared" si="0"/>
        <v/>
      </c>
      <c r="AC32" s="219" t="str">
        <f t="shared" si="0"/>
        <v/>
      </c>
      <c r="AD32" s="219" t="str">
        <f t="shared" si="0"/>
        <v/>
      </c>
      <c r="AE32" s="219" t="str">
        <f t="shared" si="0"/>
        <v/>
      </c>
      <c r="AF32" s="219" t="str">
        <f t="shared" si="0"/>
        <v/>
      </c>
      <c r="AG32" s="219" t="str">
        <f t="shared" si="0"/>
        <v/>
      </c>
      <c r="AH32" s="219" t="str">
        <f t="shared" si="0"/>
        <v/>
      </c>
      <c r="AI32" s="219" t="str">
        <f t="shared" si="0"/>
        <v/>
      </c>
      <c r="AJ32" s="219" t="str">
        <f t="shared" si="0"/>
        <v/>
      </c>
      <c r="AK32" s="219" t="str">
        <f t="shared" si="0"/>
        <v/>
      </c>
      <c r="AL32" s="219" t="str">
        <f t="shared" si="0"/>
        <v/>
      </c>
      <c r="AM32" s="219" t="str">
        <f t="shared" si="0"/>
        <v/>
      </c>
      <c r="AN32" s="219" t="str">
        <f t="shared" si="0"/>
        <v/>
      </c>
      <c r="AO32" s="219" t="str">
        <f t="shared" si="0"/>
        <v/>
      </c>
      <c r="AP32" s="219" t="str">
        <f t="shared" si="0"/>
        <v/>
      </c>
      <c r="AQ32" s="219" t="str">
        <f t="shared" si="0"/>
        <v/>
      </c>
      <c r="AR32" s="219" t="str">
        <f t="shared" si="0"/>
        <v/>
      </c>
      <c r="AS32" s="219" t="str">
        <f t="shared" si="0"/>
        <v/>
      </c>
      <c r="AT32" s="219" t="str">
        <f t="shared" si="0"/>
        <v/>
      </c>
      <c r="AU32" s="219" t="str">
        <f t="shared" si="0"/>
        <v/>
      </c>
      <c r="AV32" s="219" t="str">
        <f t="shared" si="0"/>
        <v/>
      </c>
      <c r="AW32" s="219" t="str">
        <f t="shared" si="0"/>
        <v/>
      </c>
      <c r="AX32" s="219" t="str">
        <f t="shared" si="0"/>
        <v/>
      </c>
      <c r="AY32" s="219" t="str">
        <f t="shared" si="0"/>
        <v/>
      </c>
      <c r="AZ32" s="219" t="str">
        <f t="shared" si="0"/>
        <v/>
      </c>
      <c r="BA32" s="219" t="str">
        <f t="shared" si="0"/>
        <v/>
      </c>
      <c r="BB32" s="219" t="str">
        <f t="shared" si="0"/>
        <v/>
      </c>
      <c r="BC32" s="219" t="str">
        <f t="shared" si="0"/>
        <v/>
      </c>
      <c r="BD32" s="219" t="str">
        <f t="shared" si="0"/>
        <v/>
      </c>
      <c r="BE32" s="219" t="str">
        <f t="shared" si="0"/>
        <v/>
      </c>
      <c r="BF32" s="219" t="str">
        <f t="shared" si="0"/>
        <v/>
      </c>
      <c r="BG32" s="219" t="str">
        <f t="shared" si="0"/>
        <v/>
      </c>
      <c r="BH32" s="219" t="str">
        <f t="shared" si="0"/>
        <v/>
      </c>
      <c r="BI32" s="219" t="str">
        <f t="shared" si="0"/>
        <v/>
      </c>
      <c r="BJ32" s="219" t="str">
        <f t="shared" si="0"/>
        <v/>
      </c>
      <c r="BK32" s="219" t="str">
        <f t="shared" si="0"/>
        <v/>
      </c>
      <c r="BL32" s="219" t="str">
        <f t="shared" si="0"/>
        <v/>
      </c>
      <c r="BO32" s="53"/>
    </row>
    <row r="33" spans="2:67" ht="49.5" customHeight="1" x14ac:dyDescent="0.45">
      <c r="B33" s="235"/>
      <c r="C33" s="237" t="s">
        <v>182</v>
      </c>
      <c r="D33" s="237"/>
      <c r="E33" s="219" t="str">
        <f>IF(E40&lt;&gt;0,"",IF(ISERROR(E31/E29),"入力確認",E31/E29))</f>
        <v/>
      </c>
      <c r="F33" s="219" t="str">
        <f t="shared" ref="F33:BL33" si="1">IF(F40&lt;&gt;0,"",IF(ISERROR(F31/F29),"入力確認",F31/F29))</f>
        <v/>
      </c>
      <c r="G33" s="219" t="str">
        <f t="shared" si="1"/>
        <v/>
      </c>
      <c r="H33" s="219" t="str">
        <f t="shared" si="1"/>
        <v/>
      </c>
      <c r="I33" s="219" t="str">
        <f t="shared" si="1"/>
        <v/>
      </c>
      <c r="J33" s="219" t="str">
        <f t="shared" si="1"/>
        <v/>
      </c>
      <c r="K33" s="219" t="str">
        <f t="shared" si="1"/>
        <v/>
      </c>
      <c r="L33" s="219" t="str">
        <f t="shared" si="1"/>
        <v/>
      </c>
      <c r="M33" s="219" t="str">
        <f>IF(M40&lt;&gt;0,"",IF(ISERROR(M31/M29),"入力確認",M31/M29))</f>
        <v/>
      </c>
      <c r="N33" s="219" t="str">
        <f t="shared" si="1"/>
        <v/>
      </c>
      <c r="O33" s="219" t="str">
        <f t="shared" si="1"/>
        <v/>
      </c>
      <c r="P33" s="219" t="str">
        <f t="shared" si="1"/>
        <v/>
      </c>
      <c r="Q33" s="219" t="str">
        <f t="shared" si="1"/>
        <v/>
      </c>
      <c r="R33" s="219" t="str">
        <f t="shared" si="1"/>
        <v/>
      </c>
      <c r="S33" s="219" t="str">
        <f t="shared" si="1"/>
        <v/>
      </c>
      <c r="T33" s="219" t="str">
        <f t="shared" si="1"/>
        <v/>
      </c>
      <c r="U33" s="219" t="str">
        <f t="shared" si="1"/>
        <v/>
      </c>
      <c r="V33" s="219" t="str">
        <f t="shared" si="1"/>
        <v/>
      </c>
      <c r="W33" s="219" t="str">
        <f t="shared" si="1"/>
        <v/>
      </c>
      <c r="X33" s="219" t="str">
        <f t="shared" si="1"/>
        <v/>
      </c>
      <c r="Y33" s="219" t="str">
        <f t="shared" si="1"/>
        <v/>
      </c>
      <c r="Z33" s="219" t="str">
        <f t="shared" si="1"/>
        <v/>
      </c>
      <c r="AA33" s="219" t="str">
        <f t="shared" si="1"/>
        <v/>
      </c>
      <c r="AB33" s="219" t="str">
        <f t="shared" si="1"/>
        <v/>
      </c>
      <c r="AC33" s="219" t="str">
        <f t="shared" si="1"/>
        <v/>
      </c>
      <c r="AD33" s="219" t="str">
        <f t="shared" si="1"/>
        <v/>
      </c>
      <c r="AE33" s="219" t="str">
        <f t="shared" si="1"/>
        <v/>
      </c>
      <c r="AF33" s="219" t="str">
        <f t="shared" si="1"/>
        <v/>
      </c>
      <c r="AG33" s="219" t="str">
        <f t="shared" si="1"/>
        <v/>
      </c>
      <c r="AH33" s="219" t="str">
        <f t="shared" si="1"/>
        <v/>
      </c>
      <c r="AI33" s="219" t="str">
        <f t="shared" si="1"/>
        <v/>
      </c>
      <c r="AJ33" s="219" t="str">
        <f t="shared" si="1"/>
        <v/>
      </c>
      <c r="AK33" s="219" t="str">
        <f t="shared" si="1"/>
        <v/>
      </c>
      <c r="AL33" s="219" t="str">
        <f t="shared" si="1"/>
        <v/>
      </c>
      <c r="AM33" s="219" t="str">
        <f t="shared" si="1"/>
        <v/>
      </c>
      <c r="AN33" s="219" t="str">
        <f t="shared" si="1"/>
        <v/>
      </c>
      <c r="AO33" s="219" t="str">
        <f t="shared" si="1"/>
        <v/>
      </c>
      <c r="AP33" s="219" t="str">
        <f t="shared" si="1"/>
        <v/>
      </c>
      <c r="AQ33" s="219" t="str">
        <f t="shared" si="1"/>
        <v/>
      </c>
      <c r="AR33" s="219" t="str">
        <f t="shared" si="1"/>
        <v/>
      </c>
      <c r="AS33" s="219" t="str">
        <f t="shared" si="1"/>
        <v/>
      </c>
      <c r="AT33" s="219" t="str">
        <f t="shared" si="1"/>
        <v/>
      </c>
      <c r="AU33" s="219" t="str">
        <f t="shared" si="1"/>
        <v/>
      </c>
      <c r="AV33" s="219" t="str">
        <f t="shared" si="1"/>
        <v/>
      </c>
      <c r="AW33" s="219" t="str">
        <f t="shared" si="1"/>
        <v/>
      </c>
      <c r="AX33" s="219" t="str">
        <f t="shared" si="1"/>
        <v/>
      </c>
      <c r="AY33" s="219" t="str">
        <f t="shared" si="1"/>
        <v/>
      </c>
      <c r="AZ33" s="219" t="str">
        <f t="shared" si="1"/>
        <v/>
      </c>
      <c r="BA33" s="219" t="str">
        <f t="shared" si="1"/>
        <v/>
      </c>
      <c r="BB33" s="219" t="str">
        <f t="shared" si="1"/>
        <v/>
      </c>
      <c r="BC33" s="219" t="str">
        <f t="shared" si="1"/>
        <v/>
      </c>
      <c r="BD33" s="219" t="str">
        <f t="shared" si="1"/>
        <v/>
      </c>
      <c r="BE33" s="219" t="str">
        <f t="shared" si="1"/>
        <v/>
      </c>
      <c r="BF33" s="219" t="str">
        <f t="shared" si="1"/>
        <v/>
      </c>
      <c r="BG33" s="219" t="str">
        <f t="shared" si="1"/>
        <v/>
      </c>
      <c r="BH33" s="219" t="str">
        <f t="shared" si="1"/>
        <v/>
      </c>
      <c r="BI33" s="219" t="str">
        <f t="shared" si="1"/>
        <v/>
      </c>
      <c r="BJ33" s="219" t="str">
        <f t="shared" si="1"/>
        <v/>
      </c>
      <c r="BK33" s="219" t="str">
        <f t="shared" si="1"/>
        <v/>
      </c>
      <c r="BL33" s="219" t="str">
        <f t="shared" si="1"/>
        <v/>
      </c>
      <c r="BO33" s="53"/>
    </row>
    <row r="34" spans="2:67" ht="49.5" customHeight="1" x14ac:dyDescent="0.45">
      <c r="B34" s="231" t="s">
        <v>225</v>
      </c>
      <c r="C34" s="232"/>
      <c r="D34" s="233"/>
      <c r="E34" s="104" t="str">
        <f>IF(E40&lt;&gt;0,"",IF((E31-E30)&lt;0,"不適合","適合"))</f>
        <v/>
      </c>
      <c r="F34" s="104" t="str">
        <f t="shared" ref="F34:BL34" si="2">IF(F40&lt;&gt;0,"",IF((F31-F30)&lt;0,"不適合","適合"))</f>
        <v/>
      </c>
      <c r="G34" s="104" t="str">
        <f t="shared" si="2"/>
        <v/>
      </c>
      <c r="H34" s="104" t="str">
        <f t="shared" si="2"/>
        <v/>
      </c>
      <c r="I34" s="104" t="str">
        <f t="shared" si="2"/>
        <v/>
      </c>
      <c r="J34" s="104" t="str">
        <f t="shared" si="2"/>
        <v/>
      </c>
      <c r="K34" s="104" t="str">
        <f t="shared" si="2"/>
        <v/>
      </c>
      <c r="L34" s="104" t="str">
        <f t="shared" si="2"/>
        <v/>
      </c>
      <c r="M34" s="104" t="str">
        <f t="shared" si="2"/>
        <v/>
      </c>
      <c r="N34" s="104" t="str">
        <f t="shared" si="2"/>
        <v/>
      </c>
      <c r="O34" s="104" t="str">
        <f t="shared" si="2"/>
        <v/>
      </c>
      <c r="P34" s="104" t="str">
        <f t="shared" si="2"/>
        <v/>
      </c>
      <c r="Q34" s="104" t="str">
        <f t="shared" si="2"/>
        <v/>
      </c>
      <c r="R34" s="104" t="str">
        <f t="shared" si="2"/>
        <v/>
      </c>
      <c r="S34" s="104" t="str">
        <f t="shared" si="2"/>
        <v/>
      </c>
      <c r="T34" s="104" t="str">
        <f t="shared" si="2"/>
        <v/>
      </c>
      <c r="U34" s="104" t="str">
        <f t="shared" si="2"/>
        <v/>
      </c>
      <c r="V34" s="104" t="str">
        <f t="shared" si="2"/>
        <v/>
      </c>
      <c r="W34" s="104" t="str">
        <f t="shared" si="2"/>
        <v/>
      </c>
      <c r="X34" s="104" t="str">
        <f t="shared" si="2"/>
        <v/>
      </c>
      <c r="Y34" s="104" t="str">
        <f t="shared" si="2"/>
        <v/>
      </c>
      <c r="Z34" s="104" t="str">
        <f t="shared" si="2"/>
        <v/>
      </c>
      <c r="AA34" s="104" t="str">
        <f t="shared" si="2"/>
        <v/>
      </c>
      <c r="AB34" s="104" t="str">
        <f t="shared" si="2"/>
        <v/>
      </c>
      <c r="AC34" s="104" t="str">
        <f t="shared" si="2"/>
        <v/>
      </c>
      <c r="AD34" s="104" t="str">
        <f t="shared" si="2"/>
        <v/>
      </c>
      <c r="AE34" s="104" t="str">
        <f t="shared" si="2"/>
        <v/>
      </c>
      <c r="AF34" s="104" t="str">
        <f t="shared" si="2"/>
        <v/>
      </c>
      <c r="AG34" s="104" t="str">
        <f t="shared" si="2"/>
        <v/>
      </c>
      <c r="AH34" s="104" t="str">
        <f t="shared" si="2"/>
        <v/>
      </c>
      <c r="AI34" s="104" t="str">
        <f t="shared" si="2"/>
        <v/>
      </c>
      <c r="AJ34" s="104" t="str">
        <f t="shared" si="2"/>
        <v/>
      </c>
      <c r="AK34" s="104" t="str">
        <f t="shared" si="2"/>
        <v/>
      </c>
      <c r="AL34" s="104" t="str">
        <f t="shared" si="2"/>
        <v/>
      </c>
      <c r="AM34" s="104" t="str">
        <f t="shared" si="2"/>
        <v/>
      </c>
      <c r="AN34" s="104" t="str">
        <f t="shared" si="2"/>
        <v/>
      </c>
      <c r="AO34" s="104" t="str">
        <f t="shared" si="2"/>
        <v/>
      </c>
      <c r="AP34" s="104" t="str">
        <f t="shared" si="2"/>
        <v/>
      </c>
      <c r="AQ34" s="104" t="str">
        <f t="shared" si="2"/>
        <v/>
      </c>
      <c r="AR34" s="104" t="str">
        <f t="shared" si="2"/>
        <v/>
      </c>
      <c r="AS34" s="104" t="str">
        <f t="shared" si="2"/>
        <v/>
      </c>
      <c r="AT34" s="104" t="str">
        <f t="shared" si="2"/>
        <v/>
      </c>
      <c r="AU34" s="104" t="str">
        <f t="shared" si="2"/>
        <v/>
      </c>
      <c r="AV34" s="104" t="str">
        <f t="shared" si="2"/>
        <v/>
      </c>
      <c r="AW34" s="104" t="str">
        <f t="shared" si="2"/>
        <v/>
      </c>
      <c r="AX34" s="104" t="str">
        <f t="shared" si="2"/>
        <v/>
      </c>
      <c r="AY34" s="104" t="str">
        <f t="shared" si="2"/>
        <v/>
      </c>
      <c r="AZ34" s="104" t="str">
        <f t="shared" si="2"/>
        <v/>
      </c>
      <c r="BA34" s="104" t="str">
        <f t="shared" si="2"/>
        <v/>
      </c>
      <c r="BB34" s="104" t="str">
        <f t="shared" si="2"/>
        <v/>
      </c>
      <c r="BC34" s="104" t="str">
        <f t="shared" si="2"/>
        <v/>
      </c>
      <c r="BD34" s="104" t="str">
        <f t="shared" si="2"/>
        <v/>
      </c>
      <c r="BE34" s="104" t="str">
        <f t="shared" si="2"/>
        <v/>
      </c>
      <c r="BF34" s="104" t="str">
        <f t="shared" si="2"/>
        <v/>
      </c>
      <c r="BG34" s="104" t="str">
        <f t="shared" si="2"/>
        <v/>
      </c>
      <c r="BH34" s="104" t="str">
        <f t="shared" si="2"/>
        <v/>
      </c>
      <c r="BI34" s="104" t="str">
        <f t="shared" si="2"/>
        <v/>
      </c>
      <c r="BJ34" s="104" t="str">
        <f t="shared" si="2"/>
        <v/>
      </c>
      <c r="BK34" s="104" t="str">
        <f t="shared" si="2"/>
        <v/>
      </c>
      <c r="BL34" s="104" t="str">
        <f t="shared" si="2"/>
        <v/>
      </c>
      <c r="BO34" s="53"/>
    </row>
    <row r="35" spans="2:67" ht="49.5" customHeight="1" x14ac:dyDescent="0.45">
      <c r="B35" s="231" t="s">
        <v>226</v>
      </c>
      <c r="C35" s="232"/>
      <c r="D35" s="233"/>
      <c r="E35" s="104" t="str">
        <f>IF(E40&lt;&gt;0,"",IF(ISERROR(AND((E33-E32)&gt;=0,E33&gt;=30)),"不適合",IF(AND((E33-E32)&gt;=0,E33&gt;=30),"適合","不適合")))</f>
        <v/>
      </c>
      <c r="F35" s="104" t="str">
        <f t="shared" ref="F35:BL35" si="3">IF(F40&lt;&gt;0,"",IF(ISERROR(AND((F33-F32)&gt;=0,F33&gt;=30)),"不適合",IF(AND((F33-F32)&gt;=0,F33&gt;=30),"適合","不適合")))</f>
        <v/>
      </c>
      <c r="G35" s="104" t="str">
        <f t="shared" si="3"/>
        <v/>
      </c>
      <c r="H35" s="104" t="str">
        <f t="shared" si="3"/>
        <v/>
      </c>
      <c r="I35" s="104" t="str">
        <f t="shared" si="3"/>
        <v/>
      </c>
      <c r="J35" s="104" t="str">
        <f t="shared" si="3"/>
        <v/>
      </c>
      <c r="K35" s="104" t="str">
        <f t="shared" si="3"/>
        <v/>
      </c>
      <c r="L35" s="104" t="str">
        <f t="shared" si="3"/>
        <v/>
      </c>
      <c r="M35" s="104" t="str">
        <f>IF(M40&lt;&gt;0,"",IF(ISERROR(AND((M33-M32)&gt;=0,M33&gt;=30)),"不適合",IF(AND((M33-M32)&gt;=0,M33&gt;=30),"適合","不適合")))</f>
        <v/>
      </c>
      <c r="N35" s="104" t="str">
        <f t="shared" si="3"/>
        <v/>
      </c>
      <c r="O35" s="104" t="str">
        <f t="shared" si="3"/>
        <v/>
      </c>
      <c r="P35" s="104" t="str">
        <f t="shared" si="3"/>
        <v/>
      </c>
      <c r="Q35" s="104" t="str">
        <f t="shared" si="3"/>
        <v/>
      </c>
      <c r="R35" s="104" t="str">
        <f t="shared" si="3"/>
        <v/>
      </c>
      <c r="S35" s="104" t="str">
        <f t="shared" si="3"/>
        <v/>
      </c>
      <c r="T35" s="104" t="str">
        <f t="shared" si="3"/>
        <v/>
      </c>
      <c r="U35" s="104" t="str">
        <f t="shared" si="3"/>
        <v/>
      </c>
      <c r="V35" s="104" t="str">
        <f t="shared" si="3"/>
        <v/>
      </c>
      <c r="W35" s="104" t="str">
        <f t="shared" si="3"/>
        <v/>
      </c>
      <c r="X35" s="104" t="str">
        <f t="shared" si="3"/>
        <v/>
      </c>
      <c r="Y35" s="104" t="str">
        <f t="shared" si="3"/>
        <v/>
      </c>
      <c r="Z35" s="104" t="str">
        <f t="shared" si="3"/>
        <v/>
      </c>
      <c r="AA35" s="104" t="str">
        <f t="shared" si="3"/>
        <v/>
      </c>
      <c r="AB35" s="104" t="str">
        <f t="shared" si="3"/>
        <v/>
      </c>
      <c r="AC35" s="104" t="str">
        <f t="shared" si="3"/>
        <v/>
      </c>
      <c r="AD35" s="104" t="str">
        <f t="shared" si="3"/>
        <v/>
      </c>
      <c r="AE35" s="104" t="str">
        <f t="shared" si="3"/>
        <v/>
      </c>
      <c r="AF35" s="104" t="str">
        <f t="shared" si="3"/>
        <v/>
      </c>
      <c r="AG35" s="104" t="str">
        <f t="shared" si="3"/>
        <v/>
      </c>
      <c r="AH35" s="104" t="str">
        <f t="shared" si="3"/>
        <v/>
      </c>
      <c r="AI35" s="104" t="str">
        <f t="shared" si="3"/>
        <v/>
      </c>
      <c r="AJ35" s="104" t="str">
        <f t="shared" si="3"/>
        <v/>
      </c>
      <c r="AK35" s="104" t="str">
        <f t="shared" si="3"/>
        <v/>
      </c>
      <c r="AL35" s="104" t="str">
        <f t="shared" si="3"/>
        <v/>
      </c>
      <c r="AM35" s="104" t="str">
        <f t="shared" si="3"/>
        <v/>
      </c>
      <c r="AN35" s="104" t="str">
        <f t="shared" si="3"/>
        <v/>
      </c>
      <c r="AO35" s="104" t="str">
        <f t="shared" si="3"/>
        <v/>
      </c>
      <c r="AP35" s="104" t="str">
        <f t="shared" si="3"/>
        <v/>
      </c>
      <c r="AQ35" s="104" t="str">
        <f t="shared" si="3"/>
        <v/>
      </c>
      <c r="AR35" s="104" t="str">
        <f t="shared" si="3"/>
        <v/>
      </c>
      <c r="AS35" s="104" t="str">
        <f t="shared" si="3"/>
        <v/>
      </c>
      <c r="AT35" s="104" t="str">
        <f t="shared" si="3"/>
        <v/>
      </c>
      <c r="AU35" s="104" t="str">
        <f t="shared" si="3"/>
        <v/>
      </c>
      <c r="AV35" s="104" t="str">
        <f t="shared" si="3"/>
        <v/>
      </c>
      <c r="AW35" s="104" t="str">
        <f t="shared" si="3"/>
        <v/>
      </c>
      <c r="AX35" s="104" t="str">
        <f t="shared" si="3"/>
        <v/>
      </c>
      <c r="AY35" s="104" t="str">
        <f t="shared" si="3"/>
        <v/>
      </c>
      <c r="AZ35" s="104" t="str">
        <f t="shared" si="3"/>
        <v/>
      </c>
      <c r="BA35" s="104" t="str">
        <f t="shared" si="3"/>
        <v/>
      </c>
      <c r="BB35" s="104" t="str">
        <f t="shared" si="3"/>
        <v/>
      </c>
      <c r="BC35" s="104" t="str">
        <f t="shared" si="3"/>
        <v/>
      </c>
      <c r="BD35" s="104" t="str">
        <f t="shared" si="3"/>
        <v/>
      </c>
      <c r="BE35" s="104" t="str">
        <f t="shared" si="3"/>
        <v/>
      </c>
      <c r="BF35" s="104" t="str">
        <f t="shared" si="3"/>
        <v/>
      </c>
      <c r="BG35" s="104" t="str">
        <f t="shared" si="3"/>
        <v/>
      </c>
      <c r="BH35" s="104" t="str">
        <f t="shared" si="3"/>
        <v/>
      </c>
      <c r="BI35" s="104" t="str">
        <f t="shared" si="3"/>
        <v/>
      </c>
      <c r="BJ35" s="104" t="str">
        <f t="shared" si="3"/>
        <v/>
      </c>
      <c r="BK35" s="104" t="str">
        <f t="shared" si="3"/>
        <v/>
      </c>
      <c r="BL35" s="104" t="str">
        <f t="shared" si="3"/>
        <v/>
      </c>
      <c r="BO35" s="53"/>
    </row>
    <row r="36" spans="2:67" ht="24.75" hidden="1" customHeight="1" x14ac:dyDescent="0.45">
      <c r="B36" s="240" t="s">
        <v>519</v>
      </c>
      <c r="C36" s="240"/>
      <c r="D36" s="240"/>
      <c r="E36" s="217">
        <f t="shared" ref="E36:AJ36" si="4">IF(E24="",0,1)</f>
        <v>0</v>
      </c>
      <c r="F36" s="217">
        <f t="shared" si="4"/>
        <v>0</v>
      </c>
      <c r="G36" s="217">
        <f t="shared" si="4"/>
        <v>0</v>
      </c>
      <c r="H36" s="217">
        <f t="shared" si="4"/>
        <v>0</v>
      </c>
      <c r="I36" s="217">
        <f t="shared" si="4"/>
        <v>0</v>
      </c>
      <c r="J36" s="217">
        <f t="shared" si="4"/>
        <v>0</v>
      </c>
      <c r="K36" s="217">
        <f t="shared" si="4"/>
        <v>0</v>
      </c>
      <c r="L36" s="217">
        <f t="shared" si="4"/>
        <v>0</v>
      </c>
      <c r="M36" s="217">
        <f t="shared" si="4"/>
        <v>0</v>
      </c>
      <c r="N36" s="217">
        <f t="shared" si="4"/>
        <v>0</v>
      </c>
      <c r="O36" s="217">
        <f t="shared" si="4"/>
        <v>0</v>
      </c>
      <c r="P36" s="217">
        <f t="shared" si="4"/>
        <v>0</v>
      </c>
      <c r="Q36" s="217">
        <f t="shared" si="4"/>
        <v>0</v>
      </c>
      <c r="R36" s="217">
        <f t="shared" si="4"/>
        <v>0</v>
      </c>
      <c r="S36" s="217">
        <f t="shared" si="4"/>
        <v>0</v>
      </c>
      <c r="T36" s="217">
        <f t="shared" si="4"/>
        <v>0</v>
      </c>
      <c r="U36" s="217">
        <f t="shared" si="4"/>
        <v>0</v>
      </c>
      <c r="V36" s="217">
        <f t="shared" si="4"/>
        <v>0</v>
      </c>
      <c r="W36" s="217">
        <f t="shared" si="4"/>
        <v>0</v>
      </c>
      <c r="X36" s="217">
        <f t="shared" si="4"/>
        <v>0</v>
      </c>
      <c r="Y36" s="217">
        <f t="shared" si="4"/>
        <v>0</v>
      </c>
      <c r="Z36" s="217">
        <f t="shared" si="4"/>
        <v>0</v>
      </c>
      <c r="AA36" s="217">
        <f t="shared" si="4"/>
        <v>0</v>
      </c>
      <c r="AB36" s="217">
        <f t="shared" si="4"/>
        <v>0</v>
      </c>
      <c r="AC36" s="217">
        <f t="shared" si="4"/>
        <v>0</v>
      </c>
      <c r="AD36" s="217">
        <f t="shared" si="4"/>
        <v>0</v>
      </c>
      <c r="AE36" s="217">
        <f t="shared" si="4"/>
        <v>0</v>
      </c>
      <c r="AF36" s="217">
        <f t="shared" si="4"/>
        <v>0</v>
      </c>
      <c r="AG36" s="217">
        <f t="shared" si="4"/>
        <v>0</v>
      </c>
      <c r="AH36" s="217">
        <f t="shared" si="4"/>
        <v>0</v>
      </c>
      <c r="AI36" s="217">
        <f t="shared" si="4"/>
        <v>0</v>
      </c>
      <c r="AJ36" s="217">
        <f t="shared" si="4"/>
        <v>0</v>
      </c>
      <c r="AK36" s="217">
        <f t="shared" ref="AK36:BL36" si="5">IF(AK24="",0,1)</f>
        <v>0</v>
      </c>
      <c r="AL36" s="217">
        <f t="shared" si="5"/>
        <v>0</v>
      </c>
      <c r="AM36" s="217">
        <f t="shared" si="5"/>
        <v>0</v>
      </c>
      <c r="AN36" s="217">
        <f t="shared" si="5"/>
        <v>0</v>
      </c>
      <c r="AO36" s="217">
        <f t="shared" si="5"/>
        <v>0</v>
      </c>
      <c r="AP36" s="217">
        <f t="shared" si="5"/>
        <v>0</v>
      </c>
      <c r="AQ36" s="217">
        <f t="shared" si="5"/>
        <v>0</v>
      </c>
      <c r="AR36" s="217">
        <f t="shared" si="5"/>
        <v>0</v>
      </c>
      <c r="AS36" s="217">
        <f t="shared" si="5"/>
        <v>0</v>
      </c>
      <c r="AT36" s="217">
        <f t="shared" si="5"/>
        <v>0</v>
      </c>
      <c r="AU36" s="217">
        <f t="shared" si="5"/>
        <v>0</v>
      </c>
      <c r="AV36" s="217">
        <f t="shared" si="5"/>
        <v>0</v>
      </c>
      <c r="AW36" s="217">
        <f t="shared" si="5"/>
        <v>0</v>
      </c>
      <c r="AX36" s="217">
        <f t="shared" si="5"/>
        <v>0</v>
      </c>
      <c r="AY36" s="217">
        <f t="shared" si="5"/>
        <v>0</v>
      </c>
      <c r="AZ36" s="217">
        <f t="shared" si="5"/>
        <v>0</v>
      </c>
      <c r="BA36" s="217">
        <f t="shared" si="5"/>
        <v>0</v>
      </c>
      <c r="BB36" s="217">
        <f t="shared" si="5"/>
        <v>0</v>
      </c>
      <c r="BC36" s="217">
        <f t="shared" si="5"/>
        <v>0</v>
      </c>
      <c r="BD36" s="217">
        <f t="shared" si="5"/>
        <v>0</v>
      </c>
      <c r="BE36" s="217">
        <f t="shared" si="5"/>
        <v>0</v>
      </c>
      <c r="BF36" s="217">
        <f t="shared" si="5"/>
        <v>0</v>
      </c>
      <c r="BG36" s="217">
        <f t="shared" si="5"/>
        <v>0</v>
      </c>
      <c r="BH36" s="217">
        <f t="shared" si="5"/>
        <v>0</v>
      </c>
      <c r="BI36" s="217">
        <f t="shared" si="5"/>
        <v>0</v>
      </c>
      <c r="BJ36" s="217">
        <f t="shared" si="5"/>
        <v>0</v>
      </c>
      <c r="BK36" s="217">
        <f t="shared" si="5"/>
        <v>0</v>
      </c>
      <c r="BL36" s="217">
        <f t="shared" si="5"/>
        <v>0</v>
      </c>
      <c r="BO36" s="53"/>
    </row>
    <row r="37" spans="2:67" ht="24.75" hidden="1" customHeight="1" x14ac:dyDescent="0.45">
      <c r="B37" s="238" t="s">
        <v>524</v>
      </c>
      <c r="C37" s="238"/>
      <c r="D37" s="238"/>
      <c r="E37" s="217">
        <f>IF(OR(AND(E27="機械換気",E30&gt;0),AND(E27="自然換気",E30=0)),0,1)</f>
        <v>1</v>
      </c>
      <c r="F37" s="217">
        <f t="shared" ref="F37:BL37" si="6">IF(OR(AND(F27="機械換気",F30&gt;0),AND(F27="自然換気",F30=0)),0,1)</f>
        <v>1</v>
      </c>
      <c r="G37" s="217">
        <f t="shared" si="6"/>
        <v>1</v>
      </c>
      <c r="H37" s="217">
        <f t="shared" si="6"/>
        <v>1</v>
      </c>
      <c r="I37" s="217">
        <f t="shared" si="6"/>
        <v>1</v>
      </c>
      <c r="J37" s="217">
        <f t="shared" si="6"/>
        <v>1</v>
      </c>
      <c r="K37" s="217">
        <f t="shared" si="6"/>
        <v>1</v>
      </c>
      <c r="L37" s="217">
        <f t="shared" si="6"/>
        <v>1</v>
      </c>
      <c r="M37" s="217">
        <f t="shared" si="6"/>
        <v>1</v>
      </c>
      <c r="N37" s="217">
        <f t="shared" si="6"/>
        <v>1</v>
      </c>
      <c r="O37" s="217">
        <f t="shared" si="6"/>
        <v>1</v>
      </c>
      <c r="P37" s="217">
        <f t="shared" si="6"/>
        <v>1</v>
      </c>
      <c r="Q37" s="217">
        <f t="shared" si="6"/>
        <v>1</v>
      </c>
      <c r="R37" s="217">
        <f t="shared" si="6"/>
        <v>1</v>
      </c>
      <c r="S37" s="217">
        <f t="shared" si="6"/>
        <v>1</v>
      </c>
      <c r="T37" s="217">
        <f t="shared" si="6"/>
        <v>1</v>
      </c>
      <c r="U37" s="217">
        <f t="shared" si="6"/>
        <v>1</v>
      </c>
      <c r="V37" s="217">
        <f t="shared" si="6"/>
        <v>1</v>
      </c>
      <c r="W37" s="217">
        <f t="shared" si="6"/>
        <v>1</v>
      </c>
      <c r="X37" s="217">
        <f t="shared" si="6"/>
        <v>1</v>
      </c>
      <c r="Y37" s="217">
        <f t="shared" si="6"/>
        <v>1</v>
      </c>
      <c r="Z37" s="217">
        <f t="shared" si="6"/>
        <v>1</v>
      </c>
      <c r="AA37" s="217">
        <f t="shared" si="6"/>
        <v>1</v>
      </c>
      <c r="AB37" s="217">
        <f t="shared" si="6"/>
        <v>1</v>
      </c>
      <c r="AC37" s="217">
        <f t="shared" si="6"/>
        <v>1</v>
      </c>
      <c r="AD37" s="217">
        <f t="shared" si="6"/>
        <v>1</v>
      </c>
      <c r="AE37" s="217">
        <f t="shared" si="6"/>
        <v>1</v>
      </c>
      <c r="AF37" s="217">
        <f t="shared" si="6"/>
        <v>1</v>
      </c>
      <c r="AG37" s="217">
        <f t="shared" si="6"/>
        <v>1</v>
      </c>
      <c r="AH37" s="217">
        <f t="shared" si="6"/>
        <v>1</v>
      </c>
      <c r="AI37" s="217">
        <f t="shared" si="6"/>
        <v>1</v>
      </c>
      <c r="AJ37" s="217">
        <f t="shared" si="6"/>
        <v>1</v>
      </c>
      <c r="AK37" s="217">
        <f t="shared" si="6"/>
        <v>1</v>
      </c>
      <c r="AL37" s="217">
        <f t="shared" si="6"/>
        <v>1</v>
      </c>
      <c r="AM37" s="217">
        <f t="shared" si="6"/>
        <v>1</v>
      </c>
      <c r="AN37" s="217">
        <f t="shared" si="6"/>
        <v>1</v>
      </c>
      <c r="AO37" s="217">
        <f t="shared" si="6"/>
        <v>1</v>
      </c>
      <c r="AP37" s="217">
        <f t="shared" si="6"/>
        <v>1</v>
      </c>
      <c r="AQ37" s="217">
        <f t="shared" si="6"/>
        <v>1</v>
      </c>
      <c r="AR37" s="217">
        <f t="shared" si="6"/>
        <v>1</v>
      </c>
      <c r="AS37" s="217">
        <f t="shared" si="6"/>
        <v>1</v>
      </c>
      <c r="AT37" s="217">
        <f t="shared" si="6"/>
        <v>1</v>
      </c>
      <c r="AU37" s="217">
        <f t="shared" si="6"/>
        <v>1</v>
      </c>
      <c r="AV37" s="217">
        <f t="shared" si="6"/>
        <v>1</v>
      </c>
      <c r="AW37" s="217">
        <f t="shared" si="6"/>
        <v>1</v>
      </c>
      <c r="AX37" s="217">
        <f t="shared" si="6"/>
        <v>1</v>
      </c>
      <c r="AY37" s="217">
        <f t="shared" si="6"/>
        <v>1</v>
      </c>
      <c r="AZ37" s="217">
        <f t="shared" si="6"/>
        <v>1</v>
      </c>
      <c r="BA37" s="217">
        <f t="shared" si="6"/>
        <v>1</v>
      </c>
      <c r="BB37" s="217">
        <f t="shared" si="6"/>
        <v>1</v>
      </c>
      <c r="BC37" s="217">
        <f t="shared" si="6"/>
        <v>1</v>
      </c>
      <c r="BD37" s="217">
        <f t="shared" si="6"/>
        <v>1</v>
      </c>
      <c r="BE37" s="217">
        <f t="shared" si="6"/>
        <v>1</v>
      </c>
      <c r="BF37" s="217">
        <f t="shared" si="6"/>
        <v>1</v>
      </c>
      <c r="BG37" s="217">
        <f t="shared" si="6"/>
        <v>1</v>
      </c>
      <c r="BH37" s="217">
        <f t="shared" si="6"/>
        <v>1</v>
      </c>
      <c r="BI37" s="217">
        <f t="shared" si="6"/>
        <v>1</v>
      </c>
      <c r="BJ37" s="217">
        <f t="shared" si="6"/>
        <v>1</v>
      </c>
      <c r="BK37" s="217">
        <f t="shared" si="6"/>
        <v>1</v>
      </c>
      <c r="BL37" s="217">
        <f t="shared" si="6"/>
        <v>1</v>
      </c>
      <c r="BO37" s="53"/>
    </row>
    <row r="38" spans="2:67" s="135" customFormat="1" ht="24.75" hidden="1" customHeight="1" x14ac:dyDescent="0.45">
      <c r="B38" s="239" t="s">
        <v>518</v>
      </c>
      <c r="C38" s="239"/>
      <c r="D38" s="239"/>
      <c r="E38" s="220">
        <f>IF(E34="適合",0,1)</f>
        <v>1</v>
      </c>
      <c r="F38" s="220">
        <f t="shared" ref="F38:AJ38" si="7">IF(F34="適合",0,1)</f>
        <v>1</v>
      </c>
      <c r="G38" s="220">
        <f t="shared" si="7"/>
        <v>1</v>
      </c>
      <c r="H38" s="220">
        <f t="shared" si="7"/>
        <v>1</v>
      </c>
      <c r="I38" s="220">
        <f t="shared" si="7"/>
        <v>1</v>
      </c>
      <c r="J38" s="220">
        <f t="shared" si="7"/>
        <v>1</v>
      </c>
      <c r="K38" s="220">
        <f t="shared" si="7"/>
        <v>1</v>
      </c>
      <c r="L38" s="220">
        <f t="shared" si="7"/>
        <v>1</v>
      </c>
      <c r="M38" s="220">
        <f t="shared" si="7"/>
        <v>1</v>
      </c>
      <c r="N38" s="220">
        <f t="shared" si="7"/>
        <v>1</v>
      </c>
      <c r="O38" s="220">
        <f t="shared" si="7"/>
        <v>1</v>
      </c>
      <c r="P38" s="220">
        <f t="shared" si="7"/>
        <v>1</v>
      </c>
      <c r="Q38" s="220">
        <f t="shared" si="7"/>
        <v>1</v>
      </c>
      <c r="R38" s="220">
        <f t="shared" si="7"/>
        <v>1</v>
      </c>
      <c r="S38" s="220">
        <f t="shared" si="7"/>
        <v>1</v>
      </c>
      <c r="T38" s="220">
        <f t="shared" si="7"/>
        <v>1</v>
      </c>
      <c r="U38" s="220">
        <f t="shared" si="7"/>
        <v>1</v>
      </c>
      <c r="V38" s="220">
        <f t="shared" si="7"/>
        <v>1</v>
      </c>
      <c r="W38" s="220">
        <f t="shared" si="7"/>
        <v>1</v>
      </c>
      <c r="X38" s="220">
        <f t="shared" si="7"/>
        <v>1</v>
      </c>
      <c r="Y38" s="220">
        <f t="shared" si="7"/>
        <v>1</v>
      </c>
      <c r="Z38" s="220">
        <f t="shared" si="7"/>
        <v>1</v>
      </c>
      <c r="AA38" s="220">
        <f t="shared" si="7"/>
        <v>1</v>
      </c>
      <c r="AB38" s="220">
        <f t="shared" si="7"/>
        <v>1</v>
      </c>
      <c r="AC38" s="220">
        <f t="shared" si="7"/>
        <v>1</v>
      </c>
      <c r="AD38" s="220">
        <f t="shared" si="7"/>
        <v>1</v>
      </c>
      <c r="AE38" s="220">
        <f t="shared" si="7"/>
        <v>1</v>
      </c>
      <c r="AF38" s="220">
        <f t="shared" si="7"/>
        <v>1</v>
      </c>
      <c r="AG38" s="220">
        <f t="shared" si="7"/>
        <v>1</v>
      </c>
      <c r="AH38" s="220">
        <f t="shared" si="7"/>
        <v>1</v>
      </c>
      <c r="AI38" s="220">
        <f t="shared" si="7"/>
        <v>1</v>
      </c>
      <c r="AJ38" s="220">
        <f t="shared" si="7"/>
        <v>1</v>
      </c>
      <c r="AK38" s="220">
        <f t="shared" ref="AK38:BL38" si="8">IF(AK34="適合",0,1)</f>
        <v>1</v>
      </c>
      <c r="AL38" s="220">
        <f t="shared" si="8"/>
        <v>1</v>
      </c>
      <c r="AM38" s="220">
        <f t="shared" si="8"/>
        <v>1</v>
      </c>
      <c r="AN38" s="220">
        <f t="shared" si="8"/>
        <v>1</v>
      </c>
      <c r="AO38" s="220">
        <f t="shared" si="8"/>
        <v>1</v>
      </c>
      <c r="AP38" s="220">
        <f t="shared" si="8"/>
        <v>1</v>
      </c>
      <c r="AQ38" s="220">
        <f t="shared" si="8"/>
        <v>1</v>
      </c>
      <c r="AR38" s="220">
        <f t="shared" si="8"/>
        <v>1</v>
      </c>
      <c r="AS38" s="220">
        <f t="shared" si="8"/>
        <v>1</v>
      </c>
      <c r="AT38" s="220">
        <f t="shared" si="8"/>
        <v>1</v>
      </c>
      <c r="AU38" s="220">
        <f t="shared" si="8"/>
        <v>1</v>
      </c>
      <c r="AV38" s="220">
        <f t="shared" si="8"/>
        <v>1</v>
      </c>
      <c r="AW38" s="220">
        <f t="shared" si="8"/>
        <v>1</v>
      </c>
      <c r="AX38" s="220">
        <f t="shared" si="8"/>
        <v>1</v>
      </c>
      <c r="AY38" s="220">
        <f t="shared" si="8"/>
        <v>1</v>
      </c>
      <c r="AZ38" s="220">
        <f t="shared" si="8"/>
        <v>1</v>
      </c>
      <c r="BA38" s="220">
        <f t="shared" si="8"/>
        <v>1</v>
      </c>
      <c r="BB38" s="220">
        <f t="shared" si="8"/>
        <v>1</v>
      </c>
      <c r="BC38" s="220">
        <f t="shared" si="8"/>
        <v>1</v>
      </c>
      <c r="BD38" s="220">
        <f t="shared" si="8"/>
        <v>1</v>
      </c>
      <c r="BE38" s="220">
        <f t="shared" si="8"/>
        <v>1</v>
      </c>
      <c r="BF38" s="220">
        <f t="shared" si="8"/>
        <v>1</v>
      </c>
      <c r="BG38" s="220">
        <f t="shared" si="8"/>
        <v>1</v>
      </c>
      <c r="BH38" s="220">
        <f t="shared" si="8"/>
        <v>1</v>
      </c>
      <c r="BI38" s="220">
        <f t="shared" si="8"/>
        <v>1</v>
      </c>
      <c r="BJ38" s="220">
        <f t="shared" si="8"/>
        <v>1</v>
      </c>
      <c r="BK38" s="220">
        <f t="shared" si="8"/>
        <v>1</v>
      </c>
      <c r="BL38" s="220">
        <f t="shared" si="8"/>
        <v>1</v>
      </c>
      <c r="BO38" s="166"/>
    </row>
    <row r="39" spans="2:67" ht="24.75" hidden="1" customHeight="1" x14ac:dyDescent="0.45">
      <c r="B39" s="238" t="s">
        <v>517</v>
      </c>
      <c r="C39" s="238"/>
      <c r="D39" s="238"/>
      <c r="E39" s="217">
        <f>IF(E35="適合",0,1)</f>
        <v>1</v>
      </c>
      <c r="F39" s="217">
        <f t="shared" ref="F39:BL39" si="9">IF(F35="適合",0,1)</f>
        <v>1</v>
      </c>
      <c r="G39" s="217">
        <f t="shared" si="9"/>
        <v>1</v>
      </c>
      <c r="H39" s="217">
        <f t="shared" si="9"/>
        <v>1</v>
      </c>
      <c r="I39" s="217">
        <f t="shared" si="9"/>
        <v>1</v>
      </c>
      <c r="J39" s="217">
        <f t="shared" si="9"/>
        <v>1</v>
      </c>
      <c r="K39" s="217">
        <f t="shared" si="9"/>
        <v>1</v>
      </c>
      <c r="L39" s="217">
        <f t="shared" si="9"/>
        <v>1</v>
      </c>
      <c r="M39" s="217">
        <f t="shared" si="9"/>
        <v>1</v>
      </c>
      <c r="N39" s="217">
        <f t="shared" si="9"/>
        <v>1</v>
      </c>
      <c r="O39" s="217">
        <f t="shared" si="9"/>
        <v>1</v>
      </c>
      <c r="P39" s="217">
        <f t="shared" si="9"/>
        <v>1</v>
      </c>
      <c r="Q39" s="217">
        <f t="shared" si="9"/>
        <v>1</v>
      </c>
      <c r="R39" s="217">
        <f t="shared" si="9"/>
        <v>1</v>
      </c>
      <c r="S39" s="217">
        <f t="shared" si="9"/>
        <v>1</v>
      </c>
      <c r="T39" s="217">
        <f t="shared" si="9"/>
        <v>1</v>
      </c>
      <c r="U39" s="217">
        <f t="shared" si="9"/>
        <v>1</v>
      </c>
      <c r="V39" s="217">
        <f t="shared" si="9"/>
        <v>1</v>
      </c>
      <c r="W39" s="217">
        <f t="shared" si="9"/>
        <v>1</v>
      </c>
      <c r="X39" s="217">
        <f t="shared" si="9"/>
        <v>1</v>
      </c>
      <c r="Y39" s="217">
        <f t="shared" si="9"/>
        <v>1</v>
      </c>
      <c r="Z39" s="217">
        <f t="shared" si="9"/>
        <v>1</v>
      </c>
      <c r="AA39" s="217">
        <f t="shared" si="9"/>
        <v>1</v>
      </c>
      <c r="AB39" s="217">
        <f t="shared" si="9"/>
        <v>1</v>
      </c>
      <c r="AC39" s="217">
        <f t="shared" si="9"/>
        <v>1</v>
      </c>
      <c r="AD39" s="217">
        <f t="shared" si="9"/>
        <v>1</v>
      </c>
      <c r="AE39" s="217">
        <f t="shared" si="9"/>
        <v>1</v>
      </c>
      <c r="AF39" s="217">
        <f t="shared" si="9"/>
        <v>1</v>
      </c>
      <c r="AG39" s="217">
        <f t="shared" si="9"/>
        <v>1</v>
      </c>
      <c r="AH39" s="217">
        <f t="shared" si="9"/>
        <v>1</v>
      </c>
      <c r="AI39" s="217">
        <f t="shared" si="9"/>
        <v>1</v>
      </c>
      <c r="AJ39" s="217">
        <f t="shared" si="9"/>
        <v>1</v>
      </c>
      <c r="AK39" s="217">
        <f t="shared" si="9"/>
        <v>1</v>
      </c>
      <c r="AL39" s="217">
        <f t="shared" si="9"/>
        <v>1</v>
      </c>
      <c r="AM39" s="217">
        <f t="shared" si="9"/>
        <v>1</v>
      </c>
      <c r="AN39" s="217">
        <f t="shared" si="9"/>
        <v>1</v>
      </c>
      <c r="AO39" s="217">
        <f t="shared" si="9"/>
        <v>1</v>
      </c>
      <c r="AP39" s="217">
        <f t="shared" si="9"/>
        <v>1</v>
      </c>
      <c r="AQ39" s="217">
        <f t="shared" si="9"/>
        <v>1</v>
      </c>
      <c r="AR39" s="217">
        <f t="shared" si="9"/>
        <v>1</v>
      </c>
      <c r="AS39" s="217">
        <f t="shared" si="9"/>
        <v>1</v>
      </c>
      <c r="AT39" s="217">
        <f t="shared" si="9"/>
        <v>1</v>
      </c>
      <c r="AU39" s="217">
        <f t="shared" si="9"/>
        <v>1</v>
      </c>
      <c r="AV39" s="217">
        <f t="shared" si="9"/>
        <v>1</v>
      </c>
      <c r="AW39" s="217">
        <f t="shared" si="9"/>
        <v>1</v>
      </c>
      <c r="AX39" s="217">
        <f t="shared" si="9"/>
        <v>1</v>
      </c>
      <c r="AY39" s="217">
        <f t="shared" si="9"/>
        <v>1</v>
      </c>
      <c r="AZ39" s="217">
        <f t="shared" si="9"/>
        <v>1</v>
      </c>
      <c r="BA39" s="217">
        <f t="shared" si="9"/>
        <v>1</v>
      </c>
      <c r="BB39" s="217">
        <f t="shared" si="9"/>
        <v>1</v>
      </c>
      <c r="BC39" s="217">
        <f t="shared" si="9"/>
        <v>1</v>
      </c>
      <c r="BD39" s="217">
        <f t="shared" si="9"/>
        <v>1</v>
      </c>
      <c r="BE39" s="217">
        <f t="shared" si="9"/>
        <v>1</v>
      </c>
      <c r="BF39" s="217">
        <f t="shared" si="9"/>
        <v>1</v>
      </c>
      <c r="BG39" s="217">
        <f t="shared" si="9"/>
        <v>1</v>
      </c>
      <c r="BH39" s="217">
        <f t="shared" si="9"/>
        <v>1</v>
      </c>
      <c r="BI39" s="217">
        <f t="shared" si="9"/>
        <v>1</v>
      </c>
      <c r="BJ39" s="217">
        <f t="shared" si="9"/>
        <v>1</v>
      </c>
      <c r="BK39" s="217">
        <f t="shared" si="9"/>
        <v>1</v>
      </c>
      <c r="BL39" s="217">
        <f t="shared" si="9"/>
        <v>1</v>
      </c>
      <c r="BO39" s="53"/>
    </row>
    <row r="40" spans="2:67" ht="24.75" hidden="1" customHeight="1" x14ac:dyDescent="0.45">
      <c r="B40" s="239" t="s">
        <v>520</v>
      </c>
      <c r="C40" s="239"/>
      <c r="D40" s="239"/>
      <c r="E40" s="217">
        <f>IF(AND(E24="",E25="",E26="",E27="",E28="",E29="",E30="",E31=""),2,IF(AND(E24&lt;&gt;"",E25&lt;&gt;"",E26&lt;&gt;"",E27&lt;&gt;"",E28&lt;&gt;"",E29&lt;&gt;"",E30&lt;&gt;"",E31&lt;&gt;"",E37=0),0,1))</f>
        <v>2</v>
      </c>
      <c r="F40" s="217">
        <f t="shared" ref="F40:BL40" si="10">IF(AND(F24="",F25="",F26="",F27="",F28="",F29="",F30="",F31=""),2,IF(AND(F24&lt;&gt;"",F25&lt;&gt;"",F26&lt;&gt;"",F27&lt;&gt;"",F28&lt;&gt;"",F29&lt;&gt;"",F30&lt;&gt;"",F31&lt;&gt;"",F37=0),0,1))</f>
        <v>2</v>
      </c>
      <c r="G40" s="217">
        <f t="shared" si="10"/>
        <v>2</v>
      </c>
      <c r="H40" s="217">
        <f t="shared" si="10"/>
        <v>2</v>
      </c>
      <c r="I40" s="217">
        <f t="shared" si="10"/>
        <v>2</v>
      </c>
      <c r="J40" s="217">
        <f t="shared" si="10"/>
        <v>2</v>
      </c>
      <c r="K40" s="217">
        <f t="shared" si="10"/>
        <v>2</v>
      </c>
      <c r="L40" s="217">
        <f t="shared" si="10"/>
        <v>2</v>
      </c>
      <c r="M40" s="217">
        <f t="shared" si="10"/>
        <v>2</v>
      </c>
      <c r="N40" s="217">
        <f t="shared" si="10"/>
        <v>2</v>
      </c>
      <c r="O40" s="217">
        <f t="shared" si="10"/>
        <v>2</v>
      </c>
      <c r="P40" s="217">
        <f t="shared" si="10"/>
        <v>2</v>
      </c>
      <c r="Q40" s="217">
        <f t="shared" si="10"/>
        <v>2</v>
      </c>
      <c r="R40" s="217">
        <f t="shared" si="10"/>
        <v>2</v>
      </c>
      <c r="S40" s="217">
        <f t="shared" si="10"/>
        <v>2</v>
      </c>
      <c r="T40" s="217">
        <f t="shared" si="10"/>
        <v>2</v>
      </c>
      <c r="U40" s="217">
        <f t="shared" si="10"/>
        <v>2</v>
      </c>
      <c r="V40" s="217">
        <f t="shared" si="10"/>
        <v>2</v>
      </c>
      <c r="W40" s="217">
        <f t="shared" si="10"/>
        <v>2</v>
      </c>
      <c r="X40" s="217">
        <f t="shared" si="10"/>
        <v>2</v>
      </c>
      <c r="Y40" s="217">
        <f t="shared" si="10"/>
        <v>2</v>
      </c>
      <c r="Z40" s="217">
        <f t="shared" si="10"/>
        <v>2</v>
      </c>
      <c r="AA40" s="217">
        <f t="shared" si="10"/>
        <v>2</v>
      </c>
      <c r="AB40" s="217">
        <f t="shared" si="10"/>
        <v>2</v>
      </c>
      <c r="AC40" s="217">
        <f t="shared" si="10"/>
        <v>2</v>
      </c>
      <c r="AD40" s="217">
        <f t="shared" si="10"/>
        <v>2</v>
      </c>
      <c r="AE40" s="217">
        <f t="shared" si="10"/>
        <v>2</v>
      </c>
      <c r="AF40" s="217">
        <f t="shared" si="10"/>
        <v>2</v>
      </c>
      <c r="AG40" s="217">
        <f t="shared" si="10"/>
        <v>2</v>
      </c>
      <c r="AH40" s="217">
        <f t="shared" si="10"/>
        <v>2</v>
      </c>
      <c r="AI40" s="217">
        <f t="shared" si="10"/>
        <v>2</v>
      </c>
      <c r="AJ40" s="217">
        <f t="shared" si="10"/>
        <v>2</v>
      </c>
      <c r="AK40" s="217">
        <f t="shared" si="10"/>
        <v>2</v>
      </c>
      <c r="AL40" s="217">
        <f t="shared" si="10"/>
        <v>2</v>
      </c>
      <c r="AM40" s="217">
        <f t="shared" si="10"/>
        <v>2</v>
      </c>
      <c r="AN40" s="217">
        <f t="shared" si="10"/>
        <v>2</v>
      </c>
      <c r="AO40" s="217">
        <f t="shared" si="10"/>
        <v>2</v>
      </c>
      <c r="AP40" s="217">
        <f t="shared" si="10"/>
        <v>2</v>
      </c>
      <c r="AQ40" s="217">
        <f t="shared" si="10"/>
        <v>2</v>
      </c>
      <c r="AR40" s="217">
        <f t="shared" si="10"/>
        <v>2</v>
      </c>
      <c r="AS40" s="217">
        <f t="shared" si="10"/>
        <v>2</v>
      </c>
      <c r="AT40" s="217">
        <f t="shared" si="10"/>
        <v>2</v>
      </c>
      <c r="AU40" s="217">
        <f t="shared" si="10"/>
        <v>2</v>
      </c>
      <c r="AV40" s="217">
        <f t="shared" si="10"/>
        <v>2</v>
      </c>
      <c r="AW40" s="217">
        <f t="shared" si="10"/>
        <v>2</v>
      </c>
      <c r="AX40" s="217">
        <f t="shared" si="10"/>
        <v>2</v>
      </c>
      <c r="AY40" s="217">
        <f t="shared" si="10"/>
        <v>2</v>
      </c>
      <c r="AZ40" s="217">
        <f t="shared" si="10"/>
        <v>2</v>
      </c>
      <c r="BA40" s="217">
        <f t="shared" si="10"/>
        <v>2</v>
      </c>
      <c r="BB40" s="217">
        <f t="shared" si="10"/>
        <v>2</v>
      </c>
      <c r="BC40" s="217">
        <f t="shared" si="10"/>
        <v>2</v>
      </c>
      <c r="BD40" s="217">
        <f t="shared" si="10"/>
        <v>2</v>
      </c>
      <c r="BE40" s="217">
        <f t="shared" si="10"/>
        <v>2</v>
      </c>
      <c r="BF40" s="217">
        <f t="shared" si="10"/>
        <v>2</v>
      </c>
      <c r="BG40" s="217">
        <f t="shared" si="10"/>
        <v>2</v>
      </c>
      <c r="BH40" s="217">
        <f t="shared" si="10"/>
        <v>2</v>
      </c>
      <c r="BI40" s="217">
        <f t="shared" si="10"/>
        <v>2</v>
      </c>
      <c r="BJ40" s="217">
        <f t="shared" si="10"/>
        <v>2</v>
      </c>
      <c r="BK40" s="217">
        <f t="shared" si="10"/>
        <v>2</v>
      </c>
      <c r="BL40" s="217">
        <f t="shared" si="10"/>
        <v>2</v>
      </c>
    </row>
    <row r="41" spans="2:67" ht="24.75" hidden="1" customHeight="1" x14ac:dyDescent="0.45">
      <c r="B41" s="238" t="s">
        <v>522</v>
      </c>
      <c r="C41" s="238"/>
      <c r="D41" s="238"/>
      <c r="E41" s="217">
        <f>IF(AND(E38=0,E39=0,E40=0),0,IF(E40=2,0,1))</f>
        <v>0</v>
      </c>
      <c r="F41" s="217">
        <f t="shared" ref="F41:BL41" si="11">IF(AND(F38=0,F39=0,F40=0),0,IF(F40=2,0,1))</f>
        <v>0</v>
      </c>
      <c r="G41" s="217">
        <f t="shared" si="11"/>
        <v>0</v>
      </c>
      <c r="H41" s="217">
        <f t="shared" si="11"/>
        <v>0</v>
      </c>
      <c r="I41" s="217">
        <f t="shared" si="11"/>
        <v>0</v>
      </c>
      <c r="J41" s="217">
        <f t="shared" si="11"/>
        <v>0</v>
      </c>
      <c r="K41" s="217">
        <f t="shared" si="11"/>
        <v>0</v>
      </c>
      <c r="L41" s="217">
        <f t="shared" si="11"/>
        <v>0</v>
      </c>
      <c r="M41" s="217">
        <f t="shared" si="11"/>
        <v>0</v>
      </c>
      <c r="N41" s="217">
        <f t="shared" si="11"/>
        <v>0</v>
      </c>
      <c r="O41" s="217">
        <f t="shared" si="11"/>
        <v>0</v>
      </c>
      <c r="P41" s="217">
        <f t="shared" si="11"/>
        <v>0</v>
      </c>
      <c r="Q41" s="217">
        <f t="shared" si="11"/>
        <v>0</v>
      </c>
      <c r="R41" s="217">
        <f t="shared" si="11"/>
        <v>0</v>
      </c>
      <c r="S41" s="217">
        <f t="shared" si="11"/>
        <v>0</v>
      </c>
      <c r="T41" s="217">
        <f t="shared" si="11"/>
        <v>0</v>
      </c>
      <c r="U41" s="217">
        <f t="shared" si="11"/>
        <v>0</v>
      </c>
      <c r="V41" s="217">
        <f t="shared" si="11"/>
        <v>0</v>
      </c>
      <c r="W41" s="217">
        <f t="shared" si="11"/>
        <v>0</v>
      </c>
      <c r="X41" s="217">
        <f t="shared" si="11"/>
        <v>0</v>
      </c>
      <c r="Y41" s="217">
        <f t="shared" si="11"/>
        <v>0</v>
      </c>
      <c r="Z41" s="217">
        <f t="shared" si="11"/>
        <v>0</v>
      </c>
      <c r="AA41" s="217">
        <f t="shared" si="11"/>
        <v>0</v>
      </c>
      <c r="AB41" s="217">
        <f t="shared" si="11"/>
        <v>0</v>
      </c>
      <c r="AC41" s="217">
        <f t="shared" si="11"/>
        <v>0</v>
      </c>
      <c r="AD41" s="217">
        <f t="shared" si="11"/>
        <v>0</v>
      </c>
      <c r="AE41" s="217">
        <f t="shared" si="11"/>
        <v>0</v>
      </c>
      <c r="AF41" s="217">
        <f t="shared" si="11"/>
        <v>0</v>
      </c>
      <c r="AG41" s="217">
        <f t="shared" si="11"/>
        <v>0</v>
      </c>
      <c r="AH41" s="217">
        <f t="shared" si="11"/>
        <v>0</v>
      </c>
      <c r="AI41" s="217">
        <f t="shared" si="11"/>
        <v>0</v>
      </c>
      <c r="AJ41" s="217">
        <f t="shared" si="11"/>
        <v>0</v>
      </c>
      <c r="AK41" s="217">
        <f t="shared" si="11"/>
        <v>0</v>
      </c>
      <c r="AL41" s="217">
        <f t="shared" si="11"/>
        <v>0</v>
      </c>
      <c r="AM41" s="217">
        <f t="shared" si="11"/>
        <v>0</v>
      </c>
      <c r="AN41" s="217">
        <f t="shared" si="11"/>
        <v>0</v>
      </c>
      <c r="AO41" s="217">
        <f t="shared" si="11"/>
        <v>0</v>
      </c>
      <c r="AP41" s="217">
        <f t="shared" si="11"/>
        <v>0</v>
      </c>
      <c r="AQ41" s="217">
        <f t="shared" si="11"/>
        <v>0</v>
      </c>
      <c r="AR41" s="217">
        <f t="shared" si="11"/>
        <v>0</v>
      </c>
      <c r="AS41" s="217">
        <f t="shared" si="11"/>
        <v>0</v>
      </c>
      <c r="AT41" s="217">
        <f t="shared" si="11"/>
        <v>0</v>
      </c>
      <c r="AU41" s="217">
        <f t="shared" si="11"/>
        <v>0</v>
      </c>
      <c r="AV41" s="217">
        <f t="shared" si="11"/>
        <v>0</v>
      </c>
      <c r="AW41" s="217">
        <f t="shared" si="11"/>
        <v>0</v>
      </c>
      <c r="AX41" s="217">
        <f t="shared" si="11"/>
        <v>0</v>
      </c>
      <c r="AY41" s="217">
        <f t="shared" si="11"/>
        <v>0</v>
      </c>
      <c r="AZ41" s="217">
        <f t="shared" si="11"/>
        <v>0</v>
      </c>
      <c r="BA41" s="217">
        <f t="shared" si="11"/>
        <v>0</v>
      </c>
      <c r="BB41" s="217">
        <f t="shared" si="11"/>
        <v>0</v>
      </c>
      <c r="BC41" s="217">
        <f t="shared" si="11"/>
        <v>0</v>
      </c>
      <c r="BD41" s="217">
        <f t="shared" si="11"/>
        <v>0</v>
      </c>
      <c r="BE41" s="217">
        <f t="shared" si="11"/>
        <v>0</v>
      </c>
      <c r="BF41" s="217">
        <f t="shared" si="11"/>
        <v>0</v>
      </c>
      <c r="BG41" s="217">
        <f t="shared" si="11"/>
        <v>0</v>
      </c>
      <c r="BH41" s="217">
        <f t="shared" si="11"/>
        <v>0</v>
      </c>
      <c r="BI41" s="217">
        <f t="shared" si="11"/>
        <v>0</v>
      </c>
      <c r="BJ41" s="217">
        <f t="shared" si="11"/>
        <v>0</v>
      </c>
      <c r="BK41" s="217">
        <f t="shared" si="11"/>
        <v>0</v>
      </c>
      <c r="BL41" s="217">
        <f t="shared" si="11"/>
        <v>0</v>
      </c>
    </row>
    <row r="42" spans="2:67" ht="24.75" hidden="1" customHeight="1" x14ac:dyDescent="0.45">
      <c r="B42" s="241" t="s">
        <v>521</v>
      </c>
      <c r="C42" s="241"/>
      <c r="D42" s="241"/>
      <c r="E42" s="217">
        <f>COUNTIF($E40:$BL40,0)</f>
        <v>0</v>
      </c>
      <c r="F42" s="217">
        <f>COUNTIF($E40:$BL40,1)</f>
        <v>0</v>
      </c>
      <c r="G42" s="217">
        <f>COUNTIF($E40:$BL40,2)</f>
        <v>60</v>
      </c>
      <c r="H42" s="217">
        <f>60-COUNTIF($E$24:$BL$24,"")</f>
        <v>0</v>
      </c>
      <c r="I42" s="218" t="str">
        <f>IF(F42&lt;&gt;0,"入力確認",IF(H42=E42,"入力済","未入力"))</f>
        <v>入力済</v>
      </c>
      <c r="AK42" s="46"/>
    </row>
    <row r="44" spans="2:67" ht="19.5" customHeight="1" x14ac:dyDescent="0.45">
      <c r="B44" s="99"/>
      <c r="C44" s="99"/>
      <c r="D44" s="99"/>
      <c r="AK44" s="46"/>
    </row>
    <row r="45" spans="2:67" ht="19.5" customHeight="1" x14ac:dyDescent="0.45">
      <c r="AK45" s="46"/>
    </row>
    <row r="46" spans="2:67" ht="19.5" customHeight="1" x14ac:dyDescent="0.45">
      <c r="AK46" s="46"/>
    </row>
    <row r="47" spans="2:67" ht="19.5" customHeight="1" x14ac:dyDescent="0.45">
      <c r="AK47" s="46"/>
    </row>
    <row r="51" spans="37:37" x14ac:dyDescent="0.45">
      <c r="AK51" s="46"/>
    </row>
    <row r="54" spans="37:37" x14ac:dyDescent="0.45">
      <c r="AK54" s="46"/>
    </row>
  </sheetData>
  <sheetProtection password="DFA8" sheet="1" objects="1" scenarios="1" formatCells="0" selectLockedCells="1"/>
  <mergeCells count="25">
    <mergeCell ref="B39:D39"/>
    <mergeCell ref="B40:D40"/>
    <mergeCell ref="B36:D36"/>
    <mergeCell ref="B42:D42"/>
    <mergeCell ref="B37:D37"/>
    <mergeCell ref="B41:D41"/>
    <mergeCell ref="B38:D38"/>
    <mergeCell ref="B35:D35"/>
    <mergeCell ref="B23:D23"/>
    <mergeCell ref="B24:D24"/>
    <mergeCell ref="B25:D25"/>
    <mergeCell ref="B26:D26"/>
    <mergeCell ref="B27:D27"/>
    <mergeCell ref="C28:D28"/>
    <mergeCell ref="C29:D29"/>
    <mergeCell ref="C30:D30"/>
    <mergeCell ref="C31:D31"/>
    <mergeCell ref="C32:D32"/>
    <mergeCell ref="C33:D33"/>
    <mergeCell ref="I21:Q21"/>
    <mergeCell ref="G21:H21"/>
    <mergeCell ref="B34:D34"/>
    <mergeCell ref="B28:B29"/>
    <mergeCell ref="B30:B31"/>
    <mergeCell ref="B32:B33"/>
  </mergeCells>
  <phoneticPr fontId="2"/>
  <conditionalFormatting sqref="E31:BL31 E29:BL29 E35:BL35 E33:BL33">
    <cfRule type="expression" dxfId="81" priority="21">
      <formula>E$35="不適合"</formula>
    </cfRule>
  </conditionalFormatting>
  <conditionalFormatting sqref="E33:BL33">
    <cfRule type="cellIs" dxfId="80" priority="17" operator="lessThan">
      <formula>30</formula>
    </cfRule>
    <cfRule type="expression" dxfId="79" priority="18">
      <formula>E33="入力確認"</formula>
    </cfRule>
  </conditionalFormatting>
  <conditionalFormatting sqref="E31:BL31 E34:BL34">
    <cfRule type="expression" dxfId="78" priority="6">
      <formula>E$31-E$30&lt;0</formula>
    </cfRule>
  </conditionalFormatting>
  <conditionalFormatting sqref="I21">
    <cfRule type="expression" dxfId="77" priority="4">
      <formula>$I$21="必要換気量に係る要件を満たしていないため、申請できません。"</formula>
    </cfRule>
    <cfRule type="expression" dxfId="76" priority="5">
      <formula>$I$21="比較表の入力をご確認ください。"</formula>
    </cfRule>
  </conditionalFormatting>
  <conditionalFormatting sqref="E32:BL32">
    <cfRule type="expression" dxfId="75" priority="10">
      <formula>E32="入力確認"</formula>
    </cfRule>
  </conditionalFormatting>
  <conditionalFormatting sqref="E34:BL34">
    <cfRule type="expression" dxfId="74" priority="9">
      <formula>E34="不適合"</formula>
    </cfRule>
  </conditionalFormatting>
  <conditionalFormatting sqref="E29:BL29">
    <cfRule type="expression" dxfId="73" priority="8">
      <formula>AND(E29&lt;=0,E40=0)</formula>
    </cfRule>
  </conditionalFormatting>
  <conditionalFormatting sqref="E27:BL28">
    <cfRule type="expression" dxfId="72" priority="7">
      <formula>AND(E$27="機械換気",E$28=0)</formula>
    </cfRule>
  </conditionalFormatting>
  <conditionalFormatting sqref="E27:BL27 E30:BL30">
    <cfRule type="expression" dxfId="71" priority="2">
      <formula>AND(E$27="自然換気",E$30&gt;0)</formula>
    </cfRule>
  </conditionalFormatting>
  <dataValidations xWindow="937" yWindow="277" count="4">
    <dataValidation allowBlank="1" sqref="C15:C16"/>
    <dataValidation type="whole" operator="greaterThanOrEqual" allowBlank="1" showInputMessage="1" showErrorMessage="1" prompt="利用人数を整数で入力してください" sqref="E28:BL29">
      <formula1>0</formula1>
    </dataValidation>
    <dataValidation type="whole" operator="greaterThanOrEqual" allowBlank="1" showInputMessage="1" showErrorMessage="1" prompt="”0”以上の整数を入力してください。" sqref="E31:BL31">
      <formula1>0</formula1>
    </dataValidation>
    <dataValidation type="whole" operator="greaterThanOrEqual" allowBlank="1" showInputMessage="1" showErrorMessage="1" prompt="自然換気は、”0”を入力。_x000a_機械換気は、”0”以上の整数を入力してください。" sqref="E30:BL30">
      <formula1>0</formula1>
    </dataValidation>
  </dataValidations>
  <pageMargins left="0.43307086614173229" right="0.31496062992125984" top="1.1023622047244095" bottom="0.82677165354330717" header="0.6692913385826772" footer="0.31496062992125984"/>
  <pageSetup paperSize="9" scale="60" fitToWidth="0" orientation="landscape" r:id="rId1"/>
  <headerFooter>
    <oddHeader>&amp;C&amp;20換気量・省エネ計算シート</oddHeader>
    <oddFooter>&amp;C&amp;14&amp;P</oddFooter>
  </headerFooter>
  <colBreaks count="3" manualBreakCount="3">
    <brk id="19" min="19" max="36" man="1"/>
    <brk id="34" min="19" max="36" man="1"/>
    <brk id="49" min="19" max="36" man="1"/>
  </colBreaks>
  <legacyDrawing r:id="rId2"/>
  <extLst>
    <ext xmlns:x14="http://schemas.microsoft.com/office/spreadsheetml/2009/9/main" uri="{CCE6A557-97BC-4b89-ADB6-D9C93CAAB3DF}">
      <x14:dataValidations xmlns:xm="http://schemas.microsoft.com/office/excel/2006/main" xWindow="937" yWindow="277" count="2">
        <x14:dataValidation type="list" allowBlank="1" showInputMessage="1" showErrorMessage="1">
          <x14:formula1>
            <xm:f>計算!$T$17:$T$18</xm:f>
          </x14:formula1>
          <xm:sqref>E27:BL27</xm:sqref>
        </x14:dataValidation>
        <x14:dataValidation type="list" allowBlank="1" showInputMessage="1" showErrorMessage="1">
          <x14:formula1>
            <xm:f>計算!$Z$4:$Z$14</xm:f>
          </x14:formula1>
          <xm:sqref>E24:BL24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AG195"/>
  <sheetViews>
    <sheetView zoomScale="90" zoomScaleNormal="90" zoomScaleSheetLayoutView="80" workbookViewId="0">
      <selection activeCell="D26" sqref="D26"/>
    </sheetView>
  </sheetViews>
  <sheetFormatPr defaultColWidth="8.796875" defaultRowHeight="19.5" x14ac:dyDescent="0.45"/>
  <cols>
    <col min="1" max="1" width="1.69921875" style="23" customWidth="1"/>
    <col min="2" max="2" width="11.3984375" style="24" customWidth="1"/>
    <col min="3" max="3" width="4.69921875" style="24" customWidth="1"/>
    <col min="4" max="4" width="8.796875" style="23" customWidth="1"/>
    <col min="5" max="15" width="8.796875" style="23"/>
    <col min="16" max="24" width="8.796875" style="23" customWidth="1"/>
    <col min="25" max="25" width="1.796875" style="23" customWidth="1"/>
    <col min="26" max="28" width="4.19921875" style="203" customWidth="1"/>
    <col min="29" max="30" width="3.59765625" style="23" customWidth="1"/>
    <col min="31" max="31" width="3.796875" style="23" customWidth="1"/>
    <col min="32" max="33" width="6.09765625" style="23" customWidth="1"/>
    <col min="34" max="69" width="3.8984375" style="23" customWidth="1"/>
    <col min="70" max="16384" width="8.796875" style="23"/>
  </cols>
  <sheetData>
    <row r="1" spans="2:28" s="142" customFormat="1" ht="19.5" customHeight="1" x14ac:dyDescent="0.45">
      <c r="B1" s="143"/>
      <c r="C1" s="143"/>
      <c r="D1" s="143"/>
      <c r="E1" s="143"/>
      <c r="F1" s="143"/>
      <c r="G1" s="143"/>
      <c r="H1" s="143"/>
      <c r="I1" s="143"/>
      <c r="J1" s="143"/>
      <c r="K1" s="143"/>
      <c r="L1" s="143"/>
      <c r="M1" s="143"/>
      <c r="N1" s="143"/>
      <c r="O1" s="143"/>
      <c r="P1" s="143"/>
      <c r="Q1" s="143"/>
      <c r="R1" s="143"/>
      <c r="S1" s="143"/>
      <c r="T1" s="143"/>
      <c r="U1" s="143"/>
      <c r="V1" s="143"/>
      <c r="W1" s="143"/>
      <c r="X1" s="143"/>
      <c r="Y1" s="144"/>
      <c r="Z1" s="201"/>
      <c r="AA1" s="202"/>
      <c r="AB1" s="202"/>
    </row>
    <row r="2" spans="2:28" x14ac:dyDescent="0.45">
      <c r="B2" s="56" t="s">
        <v>180</v>
      </c>
      <c r="C2" s="23"/>
    </row>
    <row r="3" spans="2:28" s="67" customFormat="1" x14ac:dyDescent="0.45">
      <c r="B3" s="135" t="s">
        <v>523</v>
      </c>
      <c r="K3" s="23"/>
      <c r="Z3" s="69"/>
      <c r="AA3" s="69"/>
      <c r="AB3" s="69"/>
    </row>
    <row r="4" spans="2:28" s="67" customFormat="1" x14ac:dyDescent="0.45">
      <c r="B4" s="135" t="s">
        <v>497</v>
      </c>
      <c r="K4" s="23"/>
      <c r="Z4" s="69"/>
      <c r="AA4" s="69"/>
      <c r="AB4" s="69"/>
    </row>
    <row r="5" spans="2:28" s="67" customFormat="1" x14ac:dyDescent="0.45">
      <c r="B5" s="135" t="s">
        <v>498</v>
      </c>
      <c r="K5" s="23"/>
      <c r="Z5" s="69"/>
      <c r="AA5" s="69"/>
      <c r="AB5" s="69"/>
    </row>
    <row r="6" spans="2:28" s="67" customFormat="1" x14ac:dyDescent="0.45">
      <c r="B6" s="135" t="s">
        <v>499</v>
      </c>
      <c r="G6" s="117"/>
      <c r="H6" s="117"/>
      <c r="K6" s="23"/>
      <c r="Z6" s="69"/>
      <c r="AA6" s="69"/>
      <c r="AB6" s="69"/>
    </row>
    <row r="7" spans="2:28" s="67" customFormat="1" x14ac:dyDescent="0.45">
      <c r="B7" s="191" t="s">
        <v>500</v>
      </c>
      <c r="C7" s="117"/>
      <c r="D7" s="117"/>
      <c r="E7" s="117"/>
      <c r="F7" s="117"/>
      <c r="G7" s="117"/>
      <c r="H7" s="117"/>
      <c r="I7" s="133"/>
      <c r="J7" s="133"/>
      <c r="K7" s="134"/>
      <c r="L7" s="133"/>
      <c r="Z7" s="69"/>
      <c r="AA7" s="69"/>
      <c r="AB7" s="69"/>
    </row>
    <row r="8" spans="2:28" s="67" customFormat="1" x14ac:dyDescent="0.45">
      <c r="B8" s="167" t="s">
        <v>291</v>
      </c>
      <c r="C8" s="133"/>
      <c r="D8" s="133"/>
      <c r="E8" s="133"/>
      <c r="F8" s="133"/>
      <c r="G8" s="133"/>
      <c r="H8" s="133"/>
      <c r="I8" s="133"/>
      <c r="J8" s="133"/>
      <c r="K8" s="134"/>
      <c r="L8" s="133"/>
      <c r="Z8" s="69"/>
      <c r="AA8" s="69"/>
      <c r="AB8" s="69"/>
    </row>
    <row r="9" spans="2:28" s="67" customFormat="1" x14ac:dyDescent="0.45">
      <c r="B9" s="135" t="s">
        <v>501</v>
      </c>
      <c r="K9" s="23"/>
      <c r="Z9" s="69"/>
      <c r="AA9" s="69"/>
      <c r="AB9" s="69"/>
    </row>
    <row r="10" spans="2:28" s="67" customFormat="1" x14ac:dyDescent="0.45">
      <c r="B10" s="135" t="s">
        <v>437</v>
      </c>
      <c r="K10" s="23"/>
      <c r="Z10" s="69"/>
      <c r="AA10" s="69"/>
      <c r="AB10" s="69"/>
    </row>
    <row r="11" spans="2:28" s="67" customFormat="1" x14ac:dyDescent="0.45">
      <c r="B11" s="135" t="s">
        <v>228</v>
      </c>
      <c r="K11" s="23"/>
      <c r="Z11" s="69"/>
      <c r="AA11" s="69"/>
      <c r="AB11" s="69"/>
    </row>
    <row r="12" spans="2:28" s="67" customFormat="1" x14ac:dyDescent="0.45">
      <c r="B12" s="135" t="s">
        <v>229</v>
      </c>
      <c r="K12" s="23"/>
      <c r="Z12" s="69"/>
      <c r="AA12" s="69"/>
      <c r="AB12" s="69"/>
    </row>
    <row r="13" spans="2:28" s="67" customFormat="1" x14ac:dyDescent="0.45">
      <c r="B13" s="135" t="s">
        <v>230</v>
      </c>
      <c r="K13" s="23"/>
      <c r="Z13" s="69"/>
      <c r="AA13" s="69"/>
      <c r="AB13" s="69"/>
    </row>
    <row r="14" spans="2:28" s="67" customFormat="1" x14ac:dyDescent="0.45">
      <c r="B14" s="135" t="s">
        <v>502</v>
      </c>
      <c r="K14" s="23"/>
      <c r="Z14" s="69"/>
      <c r="AA14" s="69"/>
      <c r="AB14" s="69"/>
    </row>
    <row r="15" spans="2:28" s="67" customFormat="1" x14ac:dyDescent="0.45">
      <c r="B15" s="83"/>
      <c r="K15" s="23"/>
      <c r="Z15" s="69"/>
      <c r="AA15" s="69"/>
      <c r="AB15" s="69"/>
    </row>
    <row r="16" spans="2:28" ht="19.5" customHeight="1" x14ac:dyDescent="0.45">
      <c r="B16" s="100" t="s">
        <v>181</v>
      </c>
      <c r="C16" s="25"/>
      <c r="D16" s="54" t="s">
        <v>232</v>
      </c>
    </row>
    <row r="17" spans="2:31" ht="19.5" customHeight="1" x14ac:dyDescent="0.45">
      <c r="C17" s="26"/>
      <c r="D17" s="55" t="s">
        <v>137</v>
      </c>
    </row>
    <row r="18" spans="2:31" ht="19.5" customHeight="1" x14ac:dyDescent="0.45">
      <c r="C18" s="27"/>
      <c r="D18" s="55" t="s">
        <v>138</v>
      </c>
    </row>
    <row r="19" spans="2:31" ht="19.5" customHeight="1" x14ac:dyDescent="0.45">
      <c r="D19" s="24"/>
    </row>
    <row r="20" spans="2:31" x14ac:dyDescent="0.45">
      <c r="B20" s="24" t="str">
        <f>'1.換気～比較表'!B19</f>
        <v>R4_Ver5.6</v>
      </c>
    </row>
    <row r="22" spans="2:31" ht="42.75" customHeight="1" x14ac:dyDescent="0.45">
      <c r="B22" s="28" t="s">
        <v>208</v>
      </c>
      <c r="C22" s="29"/>
      <c r="F22" s="242" t="s">
        <v>445</v>
      </c>
      <c r="G22" s="243"/>
      <c r="H22" s="292" t="str">
        <f>IF(X30="入力確認","旧設備の入力をご確認ください。",IF(X53="入力確認","新設備の入力をご確認ください。",IF(AND(AC43=0,AC45=0,AC46=0,AC49=0,AC51=0),"換気設備の導入は必須です。換気設備について入力してください。",IF(AND(OR(AC30=0,X28&lt;=X38),X43="適合",X44="適合",X45="適合",X46="適合",X48="適合",X50="適合",X52="適合"),"換気設備導入の要件を満たしています。","換気設備導入の要件を満たしていないため、申請できません。"))))</f>
        <v>換気設備の導入は必須です。換気設備について入力してください。</v>
      </c>
      <c r="I22" s="293"/>
      <c r="J22" s="293"/>
      <c r="K22" s="293"/>
      <c r="L22" s="293"/>
      <c r="M22" s="293"/>
      <c r="N22" s="293"/>
      <c r="O22" s="294"/>
      <c r="X22" s="129"/>
    </row>
    <row r="23" spans="2:31" ht="18.75" customHeight="1" x14ac:dyDescent="0.45">
      <c r="B23" s="28"/>
      <c r="C23" s="29"/>
    </row>
    <row r="24" spans="2:31" ht="42" customHeight="1" thickBot="1" x14ac:dyDescent="0.5">
      <c r="B24" s="200" t="s">
        <v>461</v>
      </c>
      <c r="C24" s="30"/>
    </row>
    <row r="25" spans="2:31" ht="20.25" thickBot="1" x14ac:dyDescent="0.5">
      <c r="B25" s="260" t="s">
        <v>133</v>
      </c>
      <c r="C25" s="260"/>
      <c r="D25" s="31" t="s">
        <v>156</v>
      </c>
      <c r="E25" s="31" t="s">
        <v>157</v>
      </c>
      <c r="F25" s="31" t="s">
        <v>158</v>
      </c>
      <c r="G25" s="31" t="s">
        <v>159</v>
      </c>
      <c r="H25" s="31" t="s">
        <v>160</v>
      </c>
      <c r="I25" s="31" t="s">
        <v>161</v>
      </c>
      <c r="J25" s="31" t="s">
        <v>162</v>
      </c>
      <c r="K25" s="31" t="s">
        <v>163</v>
      </c>
      <c r="L25" s="31" t="s">
        <v>164</v>
      </c>
      <c r="M25" s="31" t="s">
        <v>165</v>
      </c>
      <c r="N25" s="31" t="s">
        <v>370</v>
      </c>
      <c r="O25" s="31" t="s">
        <v>166</v>
      </c>
      <c r="P25" s="31" t="s">
        <v>167</v>
      </c>
      <c r="Q25" s="31" t="s">
        <v>168</v>
      </c>
      <c r="R25" s="31" t="s">
        <v>169</v>
      </c>
      <c r="S25" s="31" t="s">
        <v>170</v>
      </c>
      <c r="T25" s="31" t="s">
        <v>171</v>
      </c>
      <c r="U25" s="31" t="s">
        <v>172</v>
      </c>
      <c r="V25" s="31" t="s">
        <v>173</v>
      </c>
      <c r="W25" s="31" t="s">
        <v>174</v>
      </c>
      <c r="X25" s="32" t="s">
        <v>0</v>
      </c>
      <c r="Z25" s="83" t="s">
        <v>463</v>
      </c>
    </row>
    <row r="26" spans="2:31" ht="63" customHeight="1" thickBot="1" x14ac:dyDescent="0.5">
      <c r="B26" s="261" t="s">
        <v>1</v>
      </c>
      <c r="C26" s="261"/>
      <c r="D26" s="95"/>
      <c r="E26" s="95"/>
      <c r="F26" s="95"/>
      <c r="G26" s="95"/>
      <c r="H26" s="95"/>
      <c r="I26" s="95"/>
      <c r="J26" s="95"/>
      <c r="K26" s="95"/>
      <c r="L26" s="95"/>
      <c r="M26" s="95"/>
      <c r="N26" s="95"/>
      <c r="O26" s="95"/>
      <c r="P26" s="95"/>
      <c r="Q26" s="95"/>
      <c r="R26" s="95"/>
      <c r="S26" s="95"/>
      <c r="T26" s="95"/>
      <c r="U26" s="95"/>
      <c r="V26" s="95"/>
      <c r="W26" s="95"/>
      <c r="X26" s="33" t="s">
        <v>10</v>
      </c>
      <c r="Z26" s="83" t="s">
        <v>464</v>
      </c>
    </row>
    <row r="27" spans="2:31" ht="27" customHeight="1" x14ac:dyDescent="0.45">
      <c r="B27" s="261" t="s">
        <v>3</v>
      </c>
      <c r="C27" s="261"/>
      <c r="D27" s="216"/>
      <c r="E27" s="216"/>
      <c r="F27" s="216"/>
      <c r="G27" s="216"/>
      <c r="H27" s="216"/>
      <c r="I27" s="216"/>
      <c r="J27" s="216"/>
      <c r="K27" s="216"/>
      <c r="L27" s="216"/>
      <c r="M27" s="216"/>
      <c r="N27" s="216"/>
      <c r="O27" s="216"/>
      <c r="P27" s="216"/>
      <c r="Q27" s="216"/>
      <c r="R27" s="216"/>
      <c r="S27" s="216"/>
      <c r="T27" s="216"/>
      <c r="U27" s="216"/>
      <c r="V27" s="216"/>
      <c r="W27" s="216"/>
      <c r="X27" s="180" t="str">
        <f>IF(SUM(D27:W27)=0,"",SUM(D27:W27))</f>
        <v/>
      </c>
    </row>
    <row r="28" spans="2:31" ht="27" customHeight="1" x14ac:dyDescent="0.45">
      <c r="B28" s="264" t="s">
        <v>4</v>
      </c>
      <c r="C28" s="264"/>
      <c r="D28" s="177"/>
      <c r="E28" s="177"/>
      <c r="F28" s="177"/>
      <c r="G28" s="177"/>
      <c r="H28" s="177"/>
      <c r="I28" s="177"/>
      <c r="J28" s="177"/>
      <c r="K28" s="177"/>
      <c r="L28" s="177"/>
      <c r="M28" s="177"/>
      <c r="N28" s="177"/>
      <c r="O28" s="177"/>
      <c r="P28" s="177"/>
      <c r="Q28" s="177"/>
      <c r="R28" s="177"/>
      <c r="S28" s="177"/>
      <c r="T28" s="177"/>
      <c r="U28" s="177"/>
      <c r="V28" s="177"/>
      <c r="W28" s="177"/>
      <c r="X28" s="181" t="str">
        <f>IF(SUMPRODUCT(D27:W27,D28:W28)=0,"",SUMPRODUCT(D27:W27,D28:W28))</f>
        <v/>
      </c>
    </row>
    <row r="29" spans="2:31" ht="27" customHeight="1" thickBot="1" x14ac:dyDescent="0.5">
      <c r="B29" s="261" t="s">
        <v>5</v>
      </c>
      <c r="C29" s="261"/>
      <c r="D29" s="178"/>
      <c r="E29" s="179"/>
      <c r="F29" s="178"/>
      <c r="G29" s="179"/>
      <c r="H29" s="178"/>
      <c r="I29" s="179"/>
      <c r="J29" s="178"/>
      <c r="K29" s="179"/>
      <c r="L29" s="178"/>
      <c r="M29" s="179"/>
      <c r="N29" s="179"/>
      <c r="O29" s="179"/>
      <c r="P29" s="179"/>
      <c r="Q29" s="179"/>
      <c r="R29" s="179"/>
      <c r="S29" s="179"/>
      <c r="T29" s="179"/>
      <c r="U29" s="179"/>
      <c r="V29" s="179"/>
      <c r="W29" s="179"/>
      <c r="X29" s="182" t="str">
        <f>IF(SUMPRODUCT(D27:W27,D29:W29)=0,"",SUMPRODUCT(D27:W27,D29:W29))</f>
        <v/>
      </c>
    </row>
    <row r="30" spans="2:31" hidden="1" x14ac:dyDescent="0.45">
      <c r="B30" s="116" t="s">
        <v>476</v>
      </c>
      <c r="C30" s="114"/>
      <c r="D30" s="114">
        <f t="shared" ref="D30:W30" si="0">IF(AND(D26="",D27="",D28="",D29=""),2,IF(AND(D26&lt;&gt;"",D27&lt;&gt;"",D28&lt;&gt;"",D29&lt;&gt;""),0,1))</f>
        <v>2</v>
      </c>
      <c r="E30" s="114">
        <f t="shared" si="0"/>
        <v>2</v>
      </c>
      <c r="F30" s="114">
        <f t="shared" si="0"/>
        <v>2</v>
      </c>
      <c r="G30" s="114">
        <f t="shared" si="0"/>
        <v>2</v>
      </c>
      <c r="H30" s="114">
        <f t="shared" si="0"/>
        <v>2</v>
      </c>
      <c r="I30" s="114">
        <f t="shared" si="0"/>
        <v>2</v>
      </c>
      <c r="J30" s="114">
        <f t="shared" si="0"/>
        <v>2</v>
      </c>
      <c r="K30" s="114">
        <f t="shared" si="0"/>
        <v>2</v>
      </c>
      <c r="L30" s="114">
        <f t="shared" si="0"/>
        <v>2</v>
      </c>
      <c r="M30" s="114">
        <f t="shared" si="0"/>
        <v>2</v>
      </c>
      <c r="N30" s="114">
        <f t="shared" si="0"/>
        <v>2</v>
      </c>
      <c r="O30" s="114">
        <f t="shared" si="0"/>
        <v>2</v>
      </c>
      <c r="P30" s="114">
        <f t="shared" si="0"/>
        <v>2</v>
      </c>
      <c r="Q30" s="114">
        <f t="shared" si="0"/>
        <v>2</v>
      </c>
      <c r="R30" s="114">
        <f t="shared" si="0"/>
        <v>2</v>
      </c>
      <c r="S30" s="114">
        <f t="shared" si="0"/>
        <v>2</v>
      </c>
      <c r="T30" s="114">
        <f t="shared" si="0"/>
        <v>2</v>
      </c>
      <c r="U30" s="114">
        <f t="shared" si="0"/>
        <v>2</v>
      </c>
      <c r="V30" s="114">
        <f t="shared" si="0"/>
        <v>2</v>
      </c>
      <c r="W30" s="114">
        <f t="shared" si="0"/>
        <v>2</v>
      </c>
      <c r="X30" s="114" t="str">
        <f>IF(Z30&gt;0,"入力確認",IF(AC30=Y30,"適合","不適合"))</f>
        <v>適合</v>
      </c>
      <c r="Y30" s="23">
        <f>COUNTIF($D30:$W30,0)</f>
        <v>0</v>
      </c>
      <c r="Z30" s="203">
        <f>COUNTIF($D30:$W30,1)</f>
        <v>0</v>
      </c>
      <c r="AA30" s="203">
        <f>COUNTIF($D30:$W30,2)</f>
        <v>20</v>
      </c>
      <c r="AC30" s="23">
        <f>20-COUNTIF($D$26:$W$26,"")</f>
        <v>0</v>
      </c>
      <c r="AE30" s="124">
        <v>27</v>
      </c>
    </row>
    <row r="32" spans="2:31" ht="42" customHeight="1" thickBot="1" x14ac:dyDescent="0.5">
      <c r="B32" s="200" t="s">
        <v>462</v>
      </c>
      <c r="C32" s="30"/>
    </row>
    <row r="33" spans="2:33" ht="20.25" thickBot="1" x14ac:dyDescent="0.5">
      <c r="B33" s="260" t="s">
        <v>132</v>
      </c>
      <c r="C33" s="260"/>
      <c r="D33" s="31" t="s">
        <v>306</v>
      </c>
      <c r="E33" s="31" t="s">
        <v>307</v>
      </c>
      <c r="F33" s="31" t="s">
        <v>308</v>
      </c>
      <c r="G33" s="31" t="s">
        <v>309</v>
      </c>
      <c r="H33" s="31" t="s">
        <v>310</v>
      </c>
      <c r="I33" s="31" t="s">
        <v>311</v>
      </c>
      <c r="J33" s="31" t="s">
        <v>312</v>
      </c>
      <c r="K33" s="31" t="s">
        <v>313</v>
      </c>
      <c r="L33" s="31" t="s">
        <v>314</v>
      </c>
      <c r="M33" s="31" t="s">
        <v>315</v>
      </c>
      <c r="N33" s="31" t="s">
        <v>371</v>
      </c>
      <c r="O33" s="31" t="s">
        <v>372</v>
      </c>
      <c r="P33" s="31" t="s">
        <v>373</v>
      </c>
      <c r="Q33" s="31" t="s">
        <v>374</v>
      </c>
      <c r="R33" s="31" t="s">
        <v>375</v>
      </c>
      <c r="S33" s="31" t="s">
        <v>376</v>
      </c>
      <c r="T33" s="31" t="s">
        <v>377</v>
      </c>
      <c r="U33" s="31" t="s">
        <v>378</v>
      </c>
      <c r="V33" s="31" t="s">
        <v>379</v>
      </c>
      <c r="W33" s="31" t="s">
        <v>380</v>
      </c>
      <c r="X33" s="32" t="s">
        <v>0</v>
      </c>
      <c r="Z33" s="83" t="s">
        <v>465</v>
      </c>
    </row>
    <row r="34" spans="2:33" ht="63" customHeight="1" x14ac:dyDescent="0.45">
      <c r="B34" s="261" t="s">
        <v>1</v>
      </c>
      <c r="C34" s="261"/>
      <c r="D34" s="95"/>
      <c r="E34" s="95"/>
      <c r="F34" s="95"/>
      <c r="G34" s="95"/>
      <c r="H34" s="95"/>
      <c r="I34" s="95"/>
      <c r="J34" s="95"/>
      <c r="K34" s="95"/>
      <c r="L34" s="95"/>
      <c r="M34" s="95"/>
      <c r="N34" s="95"/>
      <c r="O34" s="95"/>
      <c r="P34" s="95"/>
      <c r="Q34" s="95"/>
      <c r="R34" s="95"/>
      <c r="S34" s="95"/>
      <c r="T34" s="95"/>
      <c r="U34" s="95"/>
      <c r="V34" s="95"/>
      <c r="W34" s="95"/>
      <c r="X34" s="33" t="s">
        <v>10</v>
      </c>
      <c r="Z34" s="83" t="s">
        <v>464</v>
      </c>
    </row>
    <row r="35" spans="2:33" ht="27" customHeight="1" x14ac:dyDescent="0.45">
      <c r="B35" s="262" t="s">
        <v>9</v>
      </c>
      <c r="C35" s="263"/>
      <c r="D35" s="1"/>
      <c r="E35" s="1"/>
      <c r="F35" s="1"/>
      <c r="G35" s="1"/>
      <c r="H35" s="1"/>
      <c r="I35" s="1"/>
      <c r="J35" s="1"/>
      <c r="K35" s="1"/>
      <c r="L35" s="1"/>
      <c r="M35" s="1"/>
      <c r="N35" s="1"/>
      <c r="O35" s="1"/>
      <c r="P35" s="1"/>
      <c r="Q35" s="1"/>
      <c r="R35" s="1"/>
      <c r="S35" s="1"/>
      <c r="T35" s="1"/>
      <c r="U35" s="1"/>
      <c r="V35" s="1"/>
      <c r="W35" s="1"/>
      <c r="X35" s="33" t="s">
        <v>10</v>
      </c>
      <c r="Z35" s="83" t="s">
        <v>466</v>
      </c>
    </row>
    <row r="36" spans="2:33" ht="27" customHeight="1" thickBot="1" x14ac:dyDescent="0.5">
      <c r="B36" s="266" t="s">
        <v>119</v>
      </c>
      <c r="C36" s="267"/>
      <c r="D36" s="125"/>
      <c r="E36" s="125"/>
      <c r="F36" s="125"/>
      <c r="G36" s="125"/>
      <c r="H36" s="125"/>
      <c r="I36" s="125"/>
      <c r="J36" s="125"/>
      <c r="K36" s="125"/>
      <c r="L36" s="125"/>
      <c r="M36" s="125"/>
      <c r="N36" s="125"/>
      <c r="O36" s="125"/>
      <c r="P36" s="125"/>
      <c r="Q36" s="125"/>
      <c r="R36" s="125"/>
      <c r="S36" s="125"/>
      <c r="T36" s="125"/>
      <c r="U36" s="125"/>
      <c r="V36" s="125"/>
      <c r="W36" s="125"/>
      <c r="X36" s="33" t="s">
        <v>10</v>
      </c>
      <c r="Z36" s="83" t="s">
        <v>467</v>
      </c>
    </row>
    <row r="37" spans="2:33" ht="27" customHeight="1" x14ac:dyDescent="0.45">
      <c r="B37" s="261" t="s">
        <v>3</v>
      </c>
      <c r="C37" s="261"/>
      <c r="D37" s="216"/>
      <c r="E37" s="216"/>
      <c r="F37" s="216"/>
      <c r="G37" s="216"/>
      <c r="H37" s="216"/>
      <c r="I37" s="216"/>
      <c r="J37" s="216"/>
      <c r="K37" s="216"/>
      <c r="L37" s="216"/>
      <c r="M37" s="216"/>
      <c r="N37" s="216"/>
      <c r="O37" s="216"/>
      <c r="P37" s="216"/>
      <c r="Q37" s="216"/>
      <c r="R37" s="216"/>
      <c r="S37" s="216"/>
      <c r="T37" s="216"/>
      <c r="U37" s="216"/>
      <c r="V37" s="216"/>
      <c r="W37" s="216"/>
      <c r="X37" s="180" t="str">
        <f>IF(SUM(D37:W37)=0,"",SUM(D37:W37))</f>
        <v/>
      </c>
    </row>
    <row r="38" spans="2:33" ht="27" customHeight="1" x14ac:dyDescent="0.45">
      <c r="B38" s="264" t="s">
        <v>4</v>
      </c>
      <c r="C38" s="264"/>
      <c r="D38" s="177"/>
      <c r="E38" s="177"/>
      <c r="F38" s="177"/>
      <c r="G38" s="177"/>
      <c r="H38" s="177"/>
      <c r="I38" s="177"/>
      <c r="J38" s="177"/>
      <c r="K38" s="177"/>
      <c r="L38" s="177"/>
      <c r="M38" s="177"/>
      <c r="N38" s="177"/>
      <c r="O38" s="177"/>
      <c r="P38" s="177"/>
      <c r="Q38" s="177"/>
      <c r="R38" s="177"/>
      <c r="S38" s="177"/>
      <c r="T38" s="177"/>
      <c r="U38" s="177"/>
      <c r="V38" s="177"/>
      <c r="W38" s="177"/>
      <c r="X38" s="181" t="str">
        <f>IF(SUMPRODUCT(D37:W37,D38:W38)=0,"",SUMPRODUCT(D37:W37,D38:W38))</f>
        <v/>
      </c>
      <c r="Z38" s="83" t="s">
        <v>472</v>
      </c>
    </row>
    <row r="39" spans="2:33" ht="27" customHeight="1" thickBot="1" x14ac:dyDescent="0.5">
      <c r="B39" s="261" t="s">
        <v>5</v>
      </c>
      <c r="C39" s="261"/>
      <c r="D39" s="178"/>
      <c r="E39" s="179"/>
      <c r="F39" s="179"/>
      <c r="G39" s="179"/>
      <c r="H39" s="179"/>
      <c r="I39" s="179"/>
      <c r="J39" s="179"/>
      <c r="K39" s="179"/>
      <c r="L39" s="179"/>
      <c r="M39" s="179"/>
      <c r="N39" s="179"/>
      <c r="O39" s="179"/>
      <c r="P39" s="179"/>
      <c r="Q39" s="179"/>
      <c r="R39" s="179"/>
      <c r="S39" s="179"/>
      <c r="T39" s="179"/>
      <c r="U39" s="179"/>
      <c r="V39" s="179"/>
      <c r="W39" s="179"/>
      <c r="X39" s="182" t="str">
        <f>IF(SUMPRODUCT(D37:W37,D39:W39)=0,"",SUMPRODUCT(D37:W37,D39:W39))</f>
        <v/>
      </c>
    </row>
    <row r="40" spans="2:33" ht="27" customHeight="1" x14ac:dyDescent="0.45">
      <c r="B40" s="265" t="s">
        <v>13</v>
      </c>
      <c r="C40" s="265"/>
      <c r="D40" s="34" t="str">
        <f t="shared" ref="D40:W40" si="1">IF(D34="高効率換気設備",IF(ISERROR(D39/D38),"",D39/D38),"---")</f>
        <v>---</v>
      </c>
      <c r="E40" s="35" t="str">
        <f t="shared" si="1"/>
        <v>---</v>
      </c>
      <c r="F40" s="35" t="str">
        <f t="shared" si="1"/>
        <v>---</v>
      </c>
      <c r="G40" s="35" t="str">
        <f t="shared" si="1"/>
        <v>---</v>
      </c>
      <c r="H40" s="35" t="str">
        <f t="shared" si="1"/>
        <v>---</v>
      </c>
      <c r="I40" s="35" t="str">
        <f t="shared" si="1"/>
        <v>---</v>
      </c>
      <c r="J40" s="35" t="str">
        <f t="shared" si="1"/>
        <v>---</v>
      </c>
      <c r="K40" s="35" t="str">
        <f t="shared" si="1"/>
        <v>---</v>
      </c>
      <c r="L40" s="35" t="str">
        <f t="shared" si="1"/>
        <v>---</v>
      </c>
      <c r="M40" s="35" t="str">
        <f t="shared" si="1"/>
        <v>---</v>
      </c>
      <c r="N40" s="35" t="str">
        <f t="shared" si="1"/>
        <v>---</v>
      </c>
      <c r="O40" s="35" t="str">
        <f t="shared" si="1"/>
        <v>---</v>
      </c>
      <c r="P40" s="35" t="str">
        <f t="shared" si="1"/>
        <v>---</v>
      </c>
      <c r="Q40" s="35" t="str">
        <f t="shared" si="1"/>
        <v>---</v>
      </c>
      <c r="R40" s="35" t="str">
        <f t="shared" si="1"/>
        <v>---</v>
      </c>
      <c r="S40" s="35" t="str">
        <f t="shared" si="1"/>
        <v>---</v>
      </c>
      <c r="T40" s="35" t="str">
        <f t="shared" si="1"/>
        <v>---</v>
      </c>
      <c r="U40" s="35" t="str">
        <f t="shared" si="1"/>
        <v>---</v>
      </c>
      <c r="V40" s="35" t="str">
        <f t="shared" si="1"/>
        <v>---</v>
      </c>
      <c r="W40" s="35" t="str">
        <f t="shared" si="1"/>
        <v>---</v>
      </c>
      <c r="X40" s="36" t="s">
        <v>10</v>
      </c>
    </row>
    <row r="41" spans="2:33" ht="27" customHeight="1" x14ac:dyDescent="0.45">
      <c r="B41" s="49" t="s">
        <v>98</v>
      </c>
      <c r="C41" s="52" t="s">
        <v>7</v>
      </c>
      <c r="D41" s="122"/>
      <c r="E41" s="123"/>
      <c r="F41" s="123"/>
      <c r="G41" s="123"/>
      <c r="H41" s="123"/>
      <c r="I41" s="123"/>
      <c r="J41" s="123"/>
      <c r="K41" s="123"/>
      <c r="L41" s="123"/>
      <c r="M41" s="123"/>
      <c r="N41" s="123"/>
      <c r="O41" s="123"/>
      <c r="P41" s="123"/>
      <c r="Q41" s="123"/>
      <c r="R41" s="123"/>
      <c r="S41" s="123"/>
      <c r="T41" s="123"/>
      <c r="U41" s="123"/>
      <c r="V41" s="123"/>
      <c r="W41" s="123"/>
      <c r="X41" s="33" t="s">
        <v>10</v>
      </c>
      <c r="AA41" s="83" t="s">
        <v>473</v>
      </c>
    </row>
    <row r="42" spans="2:33" ht="27" customHeight="1" x14ac:dyDescent="0.45">
      <c r="B42" s="50" t="s">
        <v>12</v>
      </c>
      <c r="C42" s="52" t="s">
        <v>8</v>
      </c>
      <c r="D42" s="122"/>
      <c r="E42" s="123"/>
      <c r="F42" s="123"/>
      <c r="G42" s="123"/>
      <c r="H42" s="123"/>
      <c r="I42" s="123"/>
      <c r="J42" s="123"/>
      <c r="K42" s="123"/>
      <c r="L42" s="123"/>
      <c r="M42" s="123"/>
      <c r="N42" s="123"/>
      <c r="O42" s="123"/>
      <c r="P42" s="123"/>
      <c r="Q42" s="123"/>
      <c r="R42" s="123"/>
      <c r="S42" s="123"/>
      <c r="T42" s="123"/>
      <c r="U42" s="123"/>
      <c r="V42" s="123"/>
      <c r="W42" s="123"/>
      <c r="X42" s="37" t="s">
        <v>10</v>
      </c>
    </row>
    <row r="43" spans="2:33" hidden="1" x14ac:dyDescent="0.45">
      <c r="B43" s="136" t="s">
        <v>297</v>
      </c>
      <c r="C43" s="136"/>
      <c r="D43" s="136">
        <f t="shared" ref="D43:I43" si="2">IF(D$34&lt;&gt;"機械換気（換気扇等）",2,IF(AND(D$34="機械換気（換気扇等）",D$35="継続"),0,1))</f>
        <v>2</v>
      </c>
      <c r="E43" s="136">
        <f t="shared" si="2"/>
        <v>2</v>
      </c>
      <c r="F43" s="136">
        <f t="shared" si="2"/>
        <v>2</v>
      </c>
      <c r="G43" s="136">
        <f t="shared" si="2"/>
        <v>2</v>
      </c>
      <c r="H43" s="136">
        <f t="shared" si="2"/>
        <v>2</v>
      </c>
      <c r="I43" s="136">
        <f t="shared" si="2"/>
        <v>2</v>
      </c>
      <c r="J43" s="136">
        <f t="shared" ref="J43:W43" si="3">IF(J$34&lt;&gt;"機械換気（換気扇等）",2,IF(AND(J$34="機械換気（換気扇等）",J$35="継続"),0,1))</f>
        <v>2</v>
      </c>
      <c r="K43" s="136">
        <f t="shared" si="3"/>
        <v>2</v>
      </c>
      <c r="L43" s="136">
        <f t="shared" si="3"/>
        <v>2</v>
      </c>
      <c r="M43" s="136">
        <f t="shared" si="3"/>
        <v>2</v>
      </c>
      <c r="N43" s="136">
        <f t="shared" si="3"/>
        <v>2</v>
      </c>
      <c r="O43" s="136">
        <f t="shared" si="3"/>
        <v>2</v>
      </c>
      <c r="P43" s="136">
        <f t="shared" si="3"/>
        <v>2</v>
      </c>
      <c r="Q43" s="136">
        <f>IF(Q$34&lt;&gt;"機械換気（換気扇等）",2,IF(AND(Q$34="機械換気（換気扇等）",Q$35="継続"),0,1))</f>
        <v>2</v>
      </c>
      <c r="R43" s="136">
        <f>IF(R$34&lt;&gt;"機械換気（換気扇等）",2,IF(AND(R$34="機械換気（換気扇等）",R$35="継続"),0,1))</f>
        <v>2</v>
      </c>
      <c r="S43" s="136">
        <f t="shared" si="3"/>
        <v>2</v>
      </c>
      <c r="T43" s="136">
        <f t="shared" si="3"/>
        <v>2</v>
      </c>
      <c r="U43" s="136">
        <f t="shared" si="3"/>
        <v>2</v>
      </c>
      <c r="V43" s="136">
        <f t="shared" si="3"/>
        <v>2</v>
      </c>
      <c r="W43" s="136">
        <f t="shared" si="3"/>
        <v>2</v>
      </c>
      <c r="X43" s="114" t="str">
        <f>IF(AC43=Y43,"適合","非適合")</f>
        <v>適合</v>
      </c>
      <c r="Y43" s="23">
        <f>COUNTIF($D43:$W43,0)</f>
        <v>0</v>
      </c>
      <c r="Z43" s="203">
        <f>COUNTIF($D43:$W43,1)</f>
        <v>0</v>
      </c>
      <c r="AA43" s="203">
        <f>COUNTIF($D43:$W43,2)</f>
        <v>20</v>
      </c>
      <c r="AC43" s="23">
        <f>COUNTIF($D$34:$W$34,"機械換気（換気扇等）")</f>
        <v>0</v>
      </c>
      <c r="AE43" s="124">
        <v>40</v>
      </c>
    </row>
    <row r="44" spans="2:33" hidden="1" x14ac:dyDescent="0.45">
      <c r="B44" s="213" t="s">
        <v>503</v>
      </c>
      <c r="C44" s="213"/>
      <c r="D44" s="213">
        <f>IF(D35="新設",1,IF(D35="増設",2,IF(D35="更新",3,IF(D35="継続",0,9))))</f>
        <v>9</v>
      </c>
      <c r="E44" s="213">
        <f t="shared" ref="E44:W44" si="4">IF(E35="新設",1,IF(E35="増設",2,IF(E35="更新",3,IF(E35="継続",0,9))))</f>
        <v>9</v>
      </c>
      <c r="F44" s="213">
        <f t="shared" si="4"/>
        <v>9</v>
      </c>
      <c r="G44" s="213">
        <f t="shared" si="4"/>
        <v>9</v>
      </c>
      <c r="H44" s="213">
        <f t="shared" si="4"/>
        <v>9</v>
      </c>
      <c r="I44" s="213">
        <f t="shared" si="4"/>
        <v>9</v>
      </c>
      <c r="J44" s="213">
        <f t="shared" si="4"/>
        <v>9</v>
      </c>
      <c r="K44" s="213">
        <f t="shared" si="4"/>
        <v>9</v>
      </c>
      <c r="L44" s="213">
        <f t="shared" si="4"/>
        <v>9</v>
      </c>
      <c r="M44" s="213">
        <f t="shared" si="4"/>
        <v>9</v>
      </c>
      <c r="N44" s="213">
        <f t="shared" si="4"/>
        <v>9</v>
      </c>
      <c r="O44" s="213">
        <f t="shared" si="4"/>
        <v>9</v>
      </c>
      <c r="P44" s="213">
        <f t="shared" si="4"/>
        <v>9</v>
      </c>
      <c r="Q44" s="213">
        <f t="shared" si="4"/>
        <v>9</v>
      </c>
      <c r="R44" s="213">
        <f t="shared" si="4"/>
        <v>9</v>
      </c>
      <c r="S44" s="213">
        <f t="shared" si="4"/>
        <v>9</v>
      </c>
      <c r="T44" s="213">
        <f t="shared" si="4"/>
        <v>9</v>
      </c>
      <c r="U44" s="213">
        <f t="shared" si="4"/>
        <v>9</v>
      </c>
      <c r="V44" s="213">
        <f t="shared" si="4"/>
        <v>9</v>
      </c>
      <c r="W44" s="213">
        <f t="shared" si="4"/>
        <v>9</v>
      </c>
      <c r="X44" s="114" t="str">
        <f>IF(Y44=AD44,"非適合","適合")</f>
        <v>非適合</v>
      </c>
      <c r="Y44" s="23">
        <f>COUNTIF($D44:$W44,0)</f>
        <v>0</v>
      </c>
      <c r="Z44" s="203">
        <f>COUNTIF($D44:$W44,1)</f>
        <v>0</v>
      </c>
      <c r="AA44" s="203">
        <f>COUNTIF($D44:$W44,2)</f>
        <v>0</v>
      </c>
      <c r="AB44" s="203">
        <f>COUNTIF($D44:$W44,3)</f>
        <v>0</v>
      </c>
      <c r="AC44" s="203">
        <f>COUNTIF($D44:$W44,9)</f>
        <v>20</v>
      </c>
      <c r="AD44" s="23">
        <f>20-COUNTIF($D$34:$W$34,"")</f>
        <v>0</v>
      </c>
      <c r="AE44" s="124"/>
    </row>
    <row r="45" spans="2:33" hidden="1" x14ac:dyDescent="0.45">
      <c r="B45" s="116" t="s">
        <v>290</v>
      </c>
      <c r="C45" s="114"/>
      <c r="D45" s="114">
        <f t="shared" ref="D45:W45" si="5">IF(D40="---",2,IF(AND(D34="高効率換気設備",D40&lt;=0.4),0,1))</f>
        <v>2</v>
      </c>
      <c r="E45" s="114">
        <f t="shared" si="5"/>
        <v>2</v>
      </c>
      <c r="F45" s="114">
        <f t="shared" si="5"/>
        <v>2</v>
      </c>
      <c r="G45" s="114">
        <f t="shared" si="5"/>
        <v>2</v>
      </c>
      <c r="H45" s="114">
        <f t="shared" si="5"/>
        <v>2</v>
      </c>
      <c r="I45" s="114">
        <f t="shared" si="5"/>
        <v>2</v>
      </c>
      <c r="J45" s="114">
        <f t="shared" si="5"/>
        <v>2</v>
      </c>
      <c r="K45" s="114">
        <f t="shared" si="5"/>
        <v>2</v>
      </c>
      <c r="L45" s="114">
        <f t="shared" si="5"/>
        <v>2</v>
      </c>
      <c r="M45" s="114">
        <f t="shared" si="5"/>
        <v>2</v>
      </c>
      <c r="N45" s="114">
        <f t="shared" si="5"/>
        <v>2</v>
      </c>
      <c r="O45" s="114">
        <f t="shared" si="5"/>
        <v>2</v>
      </c>
      <c r="P45" s="114">
        <f t="shared" si="5"/>
        <v>2</v>
      </c>
      <c r="Q45" s="114">
        <f t="shared" ref="Q45" si="6">IF(Q40="---",2,IF(AND(Q34="高効率換気設備",Q40&lt;=0.4),0,1))</f>
        <v>2</v>
      </c>
      <c r="R45" s="114">
        <f t="shared" si="5"/>
        <v>2</v>
      </c>
      <c r="S45" s="114">
        <f t="shared" si="5"/>
        <v>2</v>
      </c>
      <c r="T45" s="114">
        <f t="shared" si="5"/>
        <v>2</v>
      </c>
      <c r="U45" s="114">
        <f t="shared" si="5"/>
        <v>2</v>
      </c>
      <c r="V45" s="114">
        <f t="shared" si="5"/>
        <v>2</v>
      </c>
      <c r="W45" s="114">
        <f t="shared" si="5"/>
        <v>2</v>
      </c>
      <c r="X45" s="114" t="str">
        <f>IF(AC45=Y45,"適合","非適合")</f>
        <v>適合</v>
      </c>
      <c r="Y45" s="23">
        <f>COUNTIF($D45:$W45,0)</f>
        <v>0</v>
      </c>
      <c r="Z45" s="203">
        <f>COUNTIF($D45:$W45,1)</f>
        <v>0</v>
      </c>
      <c r="AA45" s="203">
        <f>COUNTIF($D45:$W45,2)</f>
        <v>20</v>
      </c>
      <c r="AB45" s="203">
        <f>COUNTIF($D$40:$W$40,"---")</f>
        <v>20</v>
      </c>
      <c r="AC45" s="23">
        <f>COUNTIF($D$34:$W$34,"高効率換気設備")</f>
        <v>0</v>
      </c>
      <c r="AE45" s="124">
        <v>41</v>
      </c>
    </row>
    <row r="46" spans="2:33" hidden="1" x14ac:dyDescent="0.45">
      <c r="B46" s="114" t="s">
        <v>272</v>
      </c>
      <c r="C46" s="114"/>
      <c r="D46" s="114">
        <f>IF(D$34&lt;&gt;"換気・空調一体型設備",2,IF(D$34="換気・空調一体型設備",0,1))</f>
        <v>2</v>
      </c>
      <c r="E46" s="114">
        <f t="shared" ref="E46:W46" si="7">IF(E$34&lt;&gt;"換気・空調一体型設備",2,IF(E$34="換気・空調一体型設備",0,1))</f>
        <v>2</v>
      </c>
      <c r="F46" s="114">
        <f t="shared" si="7"/>
        <v>2</v>
      </c>
      <c r="G46" s="114">
        <f t="shared" si="7"/>
        <v>2</v>
      </c>
      <c r="H46" s="114">
        <f t="shared" si="7"/>
        <v>2</v>
      </c>
      <c r="I46" s="114">
        <f t="shared" si="7"/>
        <v>2</v>
      </c>
      <c r="J46" s="114">
        <f t="shared" si="7"/>
        <v>2</v>
      </c>
      <c r="K46" s="114">
        <f t="shared" si="7"/>
        <v>2</v>
      </c>
      <c r="L46" s="114">
        <f t="shared" si="7"/>
        <v>2</v>
      </c>
      <c r="M46" s="114">
        <f t="shared" si="7"/>
        <v>2</v>
      </c>
      <c r="N46" s="114">
        <f t="shared" si="7"/>
        <v>2</v>
      </c>
      <c r="O46" s="114">
        <f t="shared" si="7"/>
        <v>2</v>
      </c>
      <c r="P46" s="114">
        <f t="shared" si="7"/>
        <v>2</v>
      </c>
      <c r="Q46" s="114">
        <f t="shared" si="7"/>
        <v>2</v>
      </c>
      <c r="R46" s="114">
        <f t="shared" si="7"/>
        <v>2</v>
      </c>
      <c r="S46" s="114">
        <f t="shared" si="7"/>
        <v>2</v>
      </c>
      <c r="T46" s="114">
        <f t="shared" si="7"/>
        <v>2</v>
      </c>
      <c r="U46" s="114">
        <f t="shared" si="7"/>
        <v>2</v>
      </c>
      <c r="V46" s="114">
        <f t="shared" si="7"/>
        <v>2</v>
      </c>
      <c r="W46" s="114">
        <f t="shared" si="7"/>
        <v>2</v>
      </c>
      <c r="X46" s="114" t="str">
        <f>IF(AC46=Y46,"適合","非適合")</f>
        <v>適合</v>
      </c>
      <c r="Y46" s="23">
        <f>COUNTIF($D46:$W46,0)</f>
        <v>0</v>
      </c>
      <c r="Z46" s="203">
        <f>COUNTIF($D46:$W46,1)</f>
        <v>0</v>
      </c>
      <c r="AA46" s="203">
        <f>COUNTIF($D46:$W46,2)</f>
        <v>20</v>
      </c>
      <c r="AC46" s="23">
        <f>COUNTIF($D$34:$W$34,"換気・空調一体型設備")</f>
        <v>0</v>
      </c>
      <c r="AE46" s="124">
        <v>42</v>
      </c>
    </row>
    <row r="47" spans="2:33" hidden="1" x14ac:dyDescent="0.45">
      <c r="B47" s="114" t="s">
        <v>304</v>
      </c>
      <c r="C47" s="114"/>
      <c r="D47" s="114">
        <f t="shared" ref="D47:W47" si="8">IF(AND(D46=0,OR(D35="新設",D35="増設",D35="更新")),0,2)</f>
        <v>2</v>
      </c>
      <c r="E47" s="114">
        <f t="shared" si="8"/>
        <v>2</v>
      </c>
      <c r="F47" s="114">
        <f t="shared" si="8"/>
        <v>2</v>
      </c>
      <c r="G47" s="114">
        <f t="shared" si="8"/>
        <v>2</v>
      </c>
      <c r="H47" s="114">
        <f t="shared" si="8"/>
        <v>2</v>
      </c>
      <c r="I47" s="114">
        <f t="shared" si="8"/>
        <v>2</v>
      </c>
      <c r="J47" s="114">
        <f t="shared" si="8"/>
        <v>2</v>
      </c>
      <c r="K47" s="114">
        <f t="shared" si="8"/>
        <v>2</v>
      </c>
      <c r="L47" s="114">
        <f t="shared" si="8"/>
        <v>2</v>
      </c>
      <c r="M47" s="114">
        <f t="shared" si="8"/>
        <v>2</v>
      </c>
      <c r="N47" s="114">
        <f t="shared" si="8"/>
        <v>2</v>
      </c>
      <c r="O47" s="114">
        <f t="shared" si="8"/>
        <v>2</v>
      </c>
      <c r="P47" s="114">
        <f t="shared" si="8"/>
        <v>2</v>
      </c>
      <c r="Q47" s="114">
        <f t="shared" ref="Q47" si="9">IF(AND(Q46=0,OR(Q35="新設",Q35="増設",Q35="更新")),0,2)</f>
        <v>2</v>
      </c>
      <c r="R47" s="114">
        <f t="shared" si="8"/>
        <v>2</v>
      </c>
      <c r="S47" s="114">
        <f t="shared" si="8"/>
        <v>2</v>
      </c>
      <c r="T47" s="114">
        <f t="shared" si="8"/>
        <v>2</v>
      </c>
      <c r="U47" s="114">
        <f t="shared" si="8"/>
        <v>2</v>
      </c>
      <c r="V47" s="114">
        <f t="shared" si="8"/>
        <v>2</v>
      </c>
      <c r="W47" s="114">
        <f t="shared" si="8"/>
        <v>2</v>
      </c>
      <c r="X47" s="114"/>
      <c r="AE47" s="124">
        <v>43</v>
      </c>
    </row>
    <row r="48" spans="2:33" hidden="1" x14ac:dyDescent="0.45">
      <c r="B48" s="136" t="s">
        <v>298</v>
      </c>
      <c r="C48" s="136"/>
      <c r="D48" s="136">
        <f>IF(AND(D$34&lt;&gt;"熱交換型換気設備",D$34&lt;&gt;"顕熱交換器"),2,IF(AND(OR(D$34="熱交換型換気設備",D$34="顕熱交換器"),OR(D$35="継続",D$36="工場",D$36="倉庫")),0,1))</f>
        <v>2</v>
      </c>
      <c r="E48" s="136">
        <f t="shared" ref="E48:W48" si="10">IF(AND(E$34&lt;&gt;"熱交換型換気設備",E$34&lt;&gt;"顕熱交換器"),2,IF(AND(OR(E$34="熱交換型換気設備",E$34="顕熱交換器"),OR(E$35="継続",E$36="工場",E$36="倉庫")),0,1))</f>
        <v>2</v>
      </c>
      <c r="F48" s="136">
        <f t="shared" si="10"/>
        <v>2</v>
      </c>
      <c r="G48" s="136">
        <f t="shared" si="10"/>
        <v>2</v>
      </c>
      <c r="H48" s="136">
        <f t="shared" si="10"/>
        <v>2</v>
      </c>
      <c r="I48" s="136">
        <f t="shared" si="10"/>
        <v>2</v>
      </c>
      <c r="J48" s="136">
        <f t="shared" si="10"/>
        <v>2</v>
      </c>
      <c r="K48" s="136">
        <f t="shared" si="10"/>
        <v>2</v>
      </c>
      <c r="L48" s="136">
        <f t="shared" si="10"/>
        <v>2</v>
      </c>
      <c r="M48" s="136">
        <f t="shared" si="10"/>
        <v>2</v>
      </c>
      <c r="N48" s="136">
        <f t="shared" si="10"/>
        <v>2</v>
      </c>
      <c r="O48" s="136">
        <f t="shared" si="10"/>
        <v>2</v>
      </c>
      <c r="P48" s="136">
        <f t="shared" si="10"/>
        <v>2</v>
      </c>
      <c r="Q48" s="136">
        <f t="shared" si="10"/>
        <v>2</v>
      </c>
      <c r="R48" s="136">
        <f t="shared" si="10"/>
        <v>2</v>
      </c>
      <c r="S48" s="136">
        <f t="shared" si="10"/>
        <v>2</v>
      </c>
      <c r="T48" s="136">
        <f t="shared" si="10"/>
        <v>2</v>
      </c>
      <c r="U48" s="136">
        <f t="shared" si="10"/>
        <v>2</v>
      </c>
      <c r="V48" s="136">
        <f t="shared" si="10"/>
        <v>2</v>
      </c>
      <c r="W48" s="136">
        <f t="shared" si="10"/>
        <v>2</v>
      </c>
      <c r="X48" s="114" t="str">
        <f>IF(AB48+AC48=Y48,"適合","非適合")</f>
        <v>適合</v>
      </c>
      <c r="Y48" s="23">
        <f t="shared" ref="Y48:Y53" si="11">COUNTIF($D48:$W48,0)</f>
        <v>0</v>
      </c>
      <c r="Z48" s="203">
        <f t="shared" ref="Z48:Z53" si="12">COUNTIF($D48:$W48,1)</f>
        <v>0</v>
      </c>
      <c r="AA48" s="203">
        <f t="shared" ref="AA48:AA53" si="13">COUNTIF($D48:$W48,2)</f>
        <v>20</v>
      </c>
      <c r="AB48" s="203">
        <f>COUNTIF($D$34:$W$34,"熱交換型換気設備")</f>
        <v>0</v>
      </c>
      <c r="AC48" s="23">
        <f>COUNTIF($D$34:$W$34,"顕熱交換器")</f>
        <v>0</v>
      </c>
      <c r="AE48" s="124">
        <v>44</v>
      </c>
      <c r="AG48" s="190">
        <f t="shared" ref="AG48" si="14">IF(AND(AG$34&lt;&gt;"熱交換型換気設備",AG$34&lt;&gt;"顕熱交換器"),2,IF(AND(OR(AG$34="熱交換型換気設備",AG$34="顕熱交換器"),OR(AG$35="継続",AG$36="工場",AG$36="倉庫",AG$36="私学学校")),0,1))</f>
        <v>2</v>
      </c>
    </row>
    <row r="49" spans="2:31" hidden="1" x14ac:dyDescent="0.45">
      <c r="B49" s="114" t="s">
        <v>274</v>
      </c>
      <c r="C49" s="114"/>
      <c r="D49" s="114">
        <f>IF(D$34&lt;&gt;"顕熱交換器",2,IF(OR(D$35="継続",AND(D$34="顕熱交換器",OR(D$36="工場",D$36="倉庫",D$36="私学学校"),D41&gt;=40)),0,1))</f>
        <v>2</v>
      </c>
      <c r="E49" s="114">
        <f t="shared" ref="E49:M49" si="15">IF(E$34&lt;&gt;"顕熱交換器",2,IF(OR(E$35="継続",AND(E$34="顕熱交換器",OR(E$36="工場",E$36="倉庫",E$36="私学学校"),E41&gt;=40)),0,1))</f>
        <v>2</v>
      </c>
      <c r="F49" s="114">
        <f t="shared" si="15"/>
        <v>2</v>
      </c>
      <c r="G49" s="114">
        <f>IF(G$34&lt;&gt;"顕熱交換器",2,IF(OR(G$35="継続",AND(G$34="顕熱交換器",OR(G$36="工場",G$36="倉庫",G$36="私学学校"),G41&gt;=40)),0,1))</f>
        <v>2</v>
      </c>
      <c r="H49" s="114">
        <f t="shared" si="15"/>
        <v>2</v>
      </c>
      <c r="I49" s="114">
        <f t="shared" si="15"/>
        <v>2</v>
      </c>
      <c r="J49" s="114">
        <f t="shared" si="15"/>
        <v>2</v>
      </c>
      <c r="K49" s="114">
        <f t="shared" si="15"/>
        <v>2</v>
      </c>
      <c r="L49" s="114">
        <f t="shared" si="15"/>
        <v>2</v>
      </c>
      <c r="M49" s="114">
        <f t="shared" si="15"/>
        <v>2</v>
      </c>
      <c r="N49" s="114">
        <f t="shared" ref="N49:W49" si="16">IF(N$34&lt;&gt;"顕熱交換器",2,IF(OR(N$35="継続",AND(N$34="顕熱交換器",OR(N$36="工場",N$36="倉庫",N$36="私学学校"),N41&gt;=40)),0,1))</f>
        <v>2</v>
      </c>
      <c r="O49" s="114">
        <f t="shared" si="16"/>
        <v>2</v>
      </c>
      <c r="P49" s="114">
        <f t="shared" si="16"/>
        <v>2</v>
      </c>
      <c r="Q49" s="114">
        <f t="shared" ref="Q49" si="17">IF(Q$34&lt;&gt;"顕熱交換器",2,IF(OR(Q$35="継続",AND(Q$34="顕熱交換器",OR(Q$36="工場",Q$36="倉庫",Q$36="私学学校"),Q41&gt;=40)),0,1))</f>
        <v>2</v>
      </c>
      <c r="R49" s="114">
        <f t="shared" si="16"/>
        <v>2</v>
      </c>
      <c r="S49" s="114">
        <f t="shared" si="16"/>
        <v>2</v>
      </c>
      <c r="T49" s="114">
        <f t="shared" si="16"/>
        <v>2</v>
      </c>
      <c r="U49" s="114">
        <f t="shared" si="16"/>
        <v>2</v>
      </c>
      <c r="V49" s="114">
        <f t="shared" si="16"/>
        <v>2</v>
      </c>
      <c r="W49" s="114">
        <f t="shared" si="16"/>
        <v>2</v>
      </c>
      <c r="X49" s="114"/>
      <c r="Y49" s="23">
        <f t="shared" si="11"/>
        <v>0</v>
      </c>
      <c r="Z49" s="203">
        <f t="shared" si="12"/>
        <v>0</v>
      </c>
      <c r="AA49" s="203">
        <f t="shared" si="13"/>
        <v>20</v>
      </c>
      <c r="AC49" s="23">
        <f>COUNTIF($D$34:$W$34,"顕熱交換器")</f>
        <v>0</v>
      </c>
      <c r="AE49" s="124">
        <v>45</v>
      </c>
    </row>
    <row r="50" spans="2:31" hidden="1" x14ac:dyDescent="0.45">
      <c r="B50" s="114" t="s">
        <v>275</v>
      </c>
      <c r="C50" s="114"/>
      <c r="D50" s="114">
        <f>IF(D$34&lt;&gt;"顕熱交換器",2,IF(OR(D$35="継続",AND(D$34="顕熱交換器",OR(D$36="工場",D$36="倉庫",D$36="私学学校"),D42&gt;=40)),0,1))</f>
        <v>2</v>
      </c>
      <c r="E50" s="114">
        <f t="shared" ref="E50:M50" si="18">IF(E$34&lt;&gt;"顕熱交換器",2,IF(OR(E$35="継続",AND(E$34="顕熱交換器",OR(E$36="工場",E$36="倉庫",E$36="私学学校"),E42&gt;=40)),0,1))</f>
        <v>2</v>
      </c>
      <c r="F50" s="114">
        <f t="shared" si="18"/>
        <v>2</v>
      </c>
      <c r="G50" s="114">
        <f t="shared" si="18"/>
        <v>2</v>
      </c>
      <c r="H50" s="114">
        <f t="shared" si="18"/>
        <v>2</v>
      </c>
      <c r="I50" s="114">
        <f t="shared" si="18"/>
        <v>2</v>
      </c>
      <c r="J50" s="114">
        <f t="shared" si="18"/>
        <v>2</v>
      </c>
      <c r="K50" s="114">
        <f t="shared" si="18"/>
        <v>2</v>
      </c>
      <c r="L50" s="114">
        <f t="shared" si="18"/>
        <v>2</v>
      </c>
      <c r="M50" s="114">
        <f t="shared" si="18"/>
        <v>2</v>
      </c>
      <c r="N50" s="114">
        <f t="shared" ref="N50:W50" si="19">IF(N$34&lt;&gt;"顕熱交換器",2,IF(OR(N$35="継続",AND(N$34="顕熱交換器",OR(N$36="工場",N$36="倉庫",N$36="私学学校"),N42&gt;=40)),0,1))</f>
        <v>2</v>
      </c>
      <c r="O50" s="114">
        <f t="shared" si="19"/>
        <v>2</v>
      </c>
      <c r="P50" s="114">
        <f t="shared" si="19"/>
        <v>2</v>
      </c>
      <c r="Q50" s="114">
        <f t="shared" ref="Q50" si="20">IF(Q$34&lt;&gt;"顕熱交換器",2,IF(OR(Q$35="継続",AND(Q$34="顕熱交換器",OR(Q$36="工場",Q$36="倉庫",Q$36="私学学校"),Q42&gt;=40)),0,1))</f>
        <v>2</v>
      </c>
      <c r="R50" s="114">
        <f t="shared" si="19"/>
        <v>2</v>
      </c>
      <c r="S50" s="114">
        <f t="shared" si="19"/>
        <v>2</v>
      </c>
      <c r="T50" s="114">
        <f t="shared" si="19"/>
        <v>2</v>
      </c>
      <c r="U50" s="114">
        <f t="shared" si="19"/>
        <v>2</v>
      </c>
      <c r="V50" s="114">
        <f t="shared" si="19"/>
        <v>2</v>
      </c>
      <c r="W50" s="114">
        <f t="shared" si="19"/>
        <v>2</v>
      </c>
      <c r="X50" s="114" t="str">
        <f>IF(AND(AC49=Y49,AC49=Y50),"適合","非適合")</f>
        <v>適合</v>
      </c>
      <c r="Y50" s="23">
        <f t="shared" si="11"/>
        <v>0</v>
      </c>
      <c r="Z50" s="203">
        <f t="shared" si="12"/>
        <v>0</v>
      </c>
      <c r="AA50" s="203">
        <f t="shared" si="13"/>
        <v>20</v>
      </c>
      <c r="AE50" s="124">
        <v>46</v>
      </c>
    </row>
    <row r="51" spans="2:31" hidden="1" x14ac:dyDescent="0.45">
      <c r="B51" s="116" t="s">
        <v>270</v>
      </c>
      <c r="C51" s="114"/>
      <c r="D51" s="114">
        <f t="shared" ref="D51:M51" si="21">IF(D$34&lt;&gt;"熱交換型換気設備",2,IF(OR(D$35="継続",AND(D$34="熱交換型換気設備",OR(D$36="工場",D$36="倉庫",D$36="私学学校"),D41&gt;=40)),0,1))</f>
        <v>2</v>
      </c>
      <c r="E51" s="114">
        <f t="shared" si="21"/>
        <v>2</v>
      </c>
      <c r="F51" s="114">
        <f t="shared" si="21"/>
        <v>2</v>
      </c>
      <c r="G51" s="114">
        <f>IF(G$34&lt;&gt;"熱交換型換気設備",2,IF(OR(G$35="継続",AND(G$34="熱交換型換気設備",OR(G$36="工場",G$36="倉庫",G$36="私学学校"),G41&gt;=40)),0,1))</f>
        <v>2</v>
      </c>
      <c r="H51" s="114">
        <f t="shared" si="21"/>
        <v>2</v>
      </c>
      <c r="I51" s="114">
        <f t="shared" si="21"/>
        <v>2</v>
      </c>
      <c r="J51" s="114">
        <f t="shared" si="21"/>
        <v>2</v>
      </c>
      <c r="K51" s="114">
        <f t="shared" si="21"/>
        <v>2</v>
      </c>
      <c r="L51" s="114">
        <f t="shared" si="21"/>
        <v>2</v>
      </c>
      <c r="M51" s="114">
        <f t="shared" si="21"/>
        <v>2</v>
      </c>
      <c r="N51" s="114">
        <f t="shared" ref="N51:W51" si="22">IF(N$34&lt;&gt;"熱交換型換気設備",2,IF(OR(N$35="継続",AND(N$34="熱交換型換気設備",OR(N$36="工場",N$36="倉庫",N$36="私学学校"),N41&gt;=40)),0,1))</f>
        <v>2</v>
      </c>
      <c r="O51" s="114">
        <f t="shared" si="22"/>
        <v>2</v>
      </c>
      <c r="P51" s="114">
        <f t="shared" si="22"/>
        <v>2</v>
      </c>
      <c r="Q51" s="114">
        <f t="shared" ref="Q51" si="23">IF(Q$34&lt;&gt;"熱交換型換気設備",2,IF(OR(Q$35="継続",AND(Q$34="熱交換型換気設備",OR(Q$36="工場",Q$36="倉庫",Q$36="私学学校"),Q41&gt;=40)),0,1))</f>
        <v>2</v>
      </c>
      <c r="R51" s="114">
        <f t="shared" si="22"/>
        <v>2</v>
      </c>
      <c r="S51" s="114">
        <f t="shared" si="22"/>
        <v>2</v>
      </c>
      <c r="T51" s="114">
        <f t="shared" si="22"/>
        <v>2</v>
      </c>
      <c r="U51" s="114">
        <f t="shared" si="22"/>
        <v>2</v>
      </c>
      <c r="V51" s="114">
        <f t="shared" si="22"/>
        <v>2</v>
      </c>
      <c r="W51" s="114">
        <f t="shared" si="22"/>
        <v>2</v>
      </c>
      <c r="X51" s="114"/>
      <c r="Y51" s="23">
        <f t="shared" si="11"/>
        <v>0</v>
      </c>
      <c r="Z51" s="203">
        <f t="shared" si="12"/>
        <v>0</v>
      </c>
      <c r="AA51" s="203">
        <f t="shared" si="13"/>
        <v>20</v>
      </c>
      <c r="AB51" s="203">
        <f>COUNT($D41:$W41)</f>
        <v>0</v>
      </c>
      <c r="AC51" s="23">
        <f>COUNTIF($D$34:$W$34,"熱交換型換気設備")</f>
        <v>0</v>
      </c>
      <c r="AE51" s="124">
        <v>47</v>
      </c>
    </row>
    <row r="52" spans="2:31" hidden="1" x14ac:dyDescent="0.45">
      <c r="B52" s="116" t="s">
        <v>271</v>
      </c>
      <c r="C52" s="114"/>
      <c r="D52" s="114">
        <f>IF(D$34&lt;&gt;"熱交換型換気設備",2,IF(OR(D$35="継続",AND(D$34="熱交換型換気設備",OR(D$36="工場",D$36="倉庫",D$36="私学学校"),D42&gt;=40)),0,1))</f>
        <v>2</v>
      </c>
      <c r="E52" s="114">
        <f t="shared" ref="E52:M52" si="24">IF(E$34&lt;&gt;"熱交換型換気設備",2,IF(OR(E$35="継続",AND(E$34="熱交換型換気設備",OR(E$36="工場",E$36="倉庫",E$36="私学学校"),E42&gt;=40)),0,1))</f>
        <v>2</v>
      </c>
      <c r="F52" s="114">
        <f t="shared" si="24"/>
        <v>2</v>
      </c>
      <c r="G52" s="114">
        <f t="shared" si="24"/>
        <v>2</v>
      </c>
      <c r="H52" s="114">
        <f t="shared" si="24"/>
        <v>2</v>
      </c>
      <c r="I52" s="114">
        <f t="shared" si="24"/>
        <v>2</v>
      </c>
      <c r="J52" s="114">
        <f t="shared" si="24"/>
        <v>2</v>
      </c>
      <c r="K52" s="114">
        <f t="shared" si="24"/>
        <v>2</v>
      </c>
      <c r="L52" s="114">
        <f t="shared" si="24"/>
        <v>2</v>
      </c>
      <c r="M52" s="114">
        <f t="shared" si="24"/>
        <v>2</v>
      </c>
      <c r="N52" s="114">
        <f t="shared" ref="N52:W52" si="25">IF(N$34&lt;&gt;"熱交換型換気設備",2,IF(OR(N$35="継続",AND(N$34="熱交換型換気設備",OR(N$36="工場",N$36="倉庫",N$36="私学学校"),N42&gt;=40)),0,1))</f>
        <v>2</v>
      </c>
      <c r="O52" s="114">
        <f t="shared" si="25"/>
        <v>2</v>
      </c>
      <c r="P52" s="114">
        <f t="shared" si="25"/>
        <v>2</v>
      </c>
      <c r="Q52" s="114">
        <f t="shared" ref="Q52" si="26">IF(Q$34&lt;&gt;"熱交換型換気設備",2,IF(OR(Q$35="継続",AND(Q$34="熱交換型換気設備",OR(Q$36="工場",Q$36="倉庫",Q$36="私学学校"),Q42&gt;=40)),0,1))</f>
        <v>2</v>
      </c>
      <c r="R52" s="114">
        <f t="shared" si="25"/>
        <v>2</v>
      </c>
      <c r="S52" s="114">
        <f t="shared" si="25"/>
        <v>2</v>
      </c>
      <c r="T52" s="114">
        <f t="shared" si="25"/>
        <v>2</v>
      </c>
      <c r="U52" s="114">
        <f t="shared" si="25"/>
        <v>2</v>
      </c>
      <c r="V52" s="114">
        <f t="shared" si="25"/>
        <v>2</v>
      </c>
      <c r="W52" s="114">
        <f t="shared" si="25"/>
        <v>2</v>
      </c>
      <c r="X52" s="114" t="str">
        <f>IF(AND(AC51=Y51,AC51=Y52),"適合","非適合")</f>
        <v>適合</v>
      </c>
      <c r="Y52" s="23">
        <f t="shared" si="11"/>
        <v>0</v>
      </c>
      <c r="Z52" s="203">
        <f t="shared" si="12"/>
        <v>0</v>
      </c>
      <c r="AA52" s="203">
        <f t="shared" si="13"/>
        <v>20</v>
      </c>
      <c r="AB52" s="203">
        <f>COUNT($D42:$W42)</f>
        <v>0</v>
      </c>
      <c r="AE52" s="124">
        <v>48</v>
      </c>
    </row>
    <row r="53" spans="2:31" hidden="1" x14ac:dyDescent="0.45">
      <c r="B53" s="116" t="s">
        <v>273</v>
      </c>
      <c r="C53" s="114"/>
      <c r="D53" s="114">
        <f t="shared" ref="D53:W53" si="27">IF(AND(D34="",D35="",D36="",D37="",D38="",D39="",D41="",D42=""),2,IF(AND(D34&lt;&gt;"",D35&lt;&gt;"",D36&lt;&gt;"",D37&lt;&gt;"",D38&lt;&gt;"",D39&lt;&gt;"",D41&lt;&gt;"",D42&lt;&gt;"",OR(D$34="顕熱交換器",D$34="熱交換型換気設備")),0,IF(AND(D34&lt;&gt;"",D35&lt;&gt;"",D36&lt;&gt;"",D37&lt;&gt;"",D38&lt;&gt;"",D39&lt;&gt;"",D41="",D42="",D$34&lt;&gt;"顕熱交換器",D$34&lt;&gt;"熱交換型換気設備"),0,1)))</f>
        <v>2</v>
      </c>
      <c r="E53" s="114">
        <f t="shared" si="27"/>
        <v>2</v>
      </c>
      <c r="F53" s="114">
        <f t="shared" si="27"/>
        <v>2</v>
      </c>
      <c r="G53" s="114">
        <f t="shared" si="27"/>
        <v>2</v>
      </c>
      <c r="H53" s="114">
        <f t="shared" si="27"/>
        <v>2</v>
      </c>
      <c r="I53" s="114">
        <f t="shared" si="27"/>
        <v>2</v>
      </c>
      <c r="J53" s="114">
        <f t="shared" si="27"/>
        <v>2</v>
      </c>
      <c r="K53" s="114">
        <f t="shared" si="27"/>
        <v>2</v>
      </c>
      <c r="L53" s="114">
        <f t="shared" si="27"/>
        <v>2</v>
      </c>
      <c r="M53" s="114">
        <f t="shared" si="27"/>
        <v>2</v>
      </c>
      <c r="N53" s="114">
        <f t="shared" si="27"/>
        <v>2</v>
      </c>
      <c r="O53" s="114">
        <f t="shared" si="27"/>
        <v>2</v>
      </c>
      <c r="P53" s="114">
        <f t="shared" si="27"/>
        <v>2</v>
      </c>
      <c r="Q53" s="114">
        <f t="shared" ref="Q53" si="28">IF(AND(Q34="",Q35="",Q36="",Q37="",Q38="",Q39="",Q41="",Q42=""),2,IF(AND(Q34&lt;&gt;"",Q35&lt;&gt;"",Q36&lt;&gt;"",Q37&lt;&gt;"",Q38&lt;&gt;"",Q39&lt;&gt;"",Q41&lt;&gt;"",Q42&lt;&gt;"",OR(Q$34="顕熱交換器",Q$34="熱交換型換気設備")),0,IF(AND(Q34&lt;&gt;"",Q35&lt;&gt;"",Q36&lt;&gt;"",Q37&lt;&gt;"",Q38&lt;&gt;"",Q39&lt;&gt;"",Q41="",Q42="",Q$34&lt;&gt;"顕熱交換器",Q$34&lt;&gt;"熱交換型換気設備"),0,1)))</f>
        <v>2</v>
      </c>
      <c r="R53" s="114">
        <f t="shared" si="27"/>
        <v>2</v>
      </c>
      <c r="S53" s="114">
        <f t="shared" si="27"/>
        <v>2</v>
      </c>
      <c r="T53" s="114">
        <f t="shared" si="27"/>
        <v>2</v>
      </c>
      <c r="U53" s="114">
        <f t="shared" si="27"/>
        <v>2</v>
      </c>
      <c r="V53" s="114">
        <f t="shared" si="27"/>
        <v>2</v>
      </c>
      <c r="W53" s="114">
        <f t="shared" si="27"/>
        <v>2</v>
      </c>
      <c r="X53" s="114" t="str">
        <f>IF(OR((AC49+AC51)&lt;&gt;AB51,(AC49+AC51)&lt;&gt;AB52,Z53&gt;0),"入力確認",IF(AC53=Y53,"適合","不適合"))</f>
        <v>適合</v>
      </c>
      <c r="Y53" s="23">
        <f t="shared" si="11"/>
        <v>0</v>
      </c>
      <c r="Z53" s="203">
        <f t="shared" si="12"/>
        <v>0</v>
      </c>
      <c r="AA53" s="203">
        <f t="shared" si="13"/>
        <v>20</v>
      </c>
      <c r="AC53" s="23">
        <f>20-COUNTIF($D$34:$W$34,"")</f>
        <v>0</v>
      </c>
      <c r="AE53" s="124">
        <v>49</v>
      </c>
    </row>
    <row r="54" spans="2:31" ht="27" customHeight="1" x14ac:dyDescent="0.45">
      <c r="B54" s="38" t="s">
        <v>268</v>
      </c>
      <c r="C54" s="39"/>
    </row>
    <row r="55" spans="2:31" x14ac:dyDescent="0.45">
      <c r="B55" s="38"/>
      <c r="C55" s="39"/>
      <c r="E55" s="145"/>
    </row>
    <row r="56" spans="2:31" ht="42.75" customHeight="1" x14ac:dyDescent="0.45">
      <c r="B56" s="28" t="s">
        <v>295</v>
      </c>
      <c r="C56" s="39"/>
    </row>
    <row r="57" spans="2:31" ht="9" customHeight="1" x14ac:dyDescent="0.45">
      <c r="B57" s="23"/>
      <c r="C57" s="39"/>
    </row>
    <row r="58" spans="2:31" ht="27" customHeight="1" x14ac:dyDescent="0.45">
      <c r="B58" s="85" t="s">
        <v>194</v>
      </c>
      <c r="C58" s="260" t="s">
        <v>134</v>
      </c>
      <c r="D58" s="260"/>
      <c r="E58" s="260"/>
      <c r="F58" s="260"/>
      <c r="G58" s="260"/>
      <c r="H58" s="270" t="s">
        <v>135</v>
      </c>
      <c r="I58" s="270"/>
      <c r="J58" s="270"/>
      <c r="K58" s="270"/>
      <c r="L58" s="270"/>
      <c r="M58" s="270"/>
      <c r="N58" s="270"/>
      <c r="O58" s="269" t="s">
        <v>192</v>
      </c>
      <c r="P58" s="269"/>
      <c r="Q58" s="269"/>
      <c r="R58" s="269"/>
      <c r="S58" s="269"/>
      <c r="T58" s="269"/>
      <c r="U58" s="268" t="s">
        <v>193</v>
      </c>
      <c r="V58" s="243"/>
      <c r="W58" s="105"/>
    </row>
    <row r="59" spans="2:31" ht="27" customHeight="1" x14ac:dyDescent="0.45">
      <c r="B59" s="91" t="s">
        <v>156</v>
      </c>
      <c r="C59" s="271"/>
      <c r="D59" s="271"/>
      <c r="E59" s="271"/>
      <c r="F59" s="271"/>
      <c r="G59" s="271"/>
      <c r="H59" s="271"/>
      <c r="I59" s="271"/>
      <c r="J59" s="271"/>
      <c r="K59" s="271"/>
      <c r="L59" s="271"/>
      <c r="M59" s="271"/>
      <c r="N59" s="271"/>
      <c r="O59" s="271"/>
      <c r="P59" s="271"/>
      <c r="Q59" s="271"/>
      <c r="R59" s="271"/>
      <c r="S59" s="271"/>
      <c r="T59" s="271"/>
      <c r="U59" s="271"/>
      <c r="V59" s="271"/>
      <c r="W59" s="105"/>
    </row>
    <row r="60" spans="2:31" ht="27" customHeight="1" x14ac:dyDescent="0.45">
      <c r="B60" s="84" t="s">
        <v>157</v>
      </c>
      <c r="C60" s="259"/>
      <c r="D60" s="259"/>
      <c r="E60" s="259"/>
      <c r="F60" s="259"/>
      <c r="G60" s="259"/>
      <c r="H60" s="259"/>
      <c r="I60" s="259"/>
      <c r="J60" s="259"/>
      <c r="K60" s="259"/>
      <c r="L60" s="259"/>
      <c r="M60" s="259"/>
      <c r="N60" s="259"/>
      <c r="O60" s="259"/>
      <c r="P60" s="259"/>
      <c r="Q60" s="259"/>
      <c r="R60" s="259"/>
      <c r="S60" s="259"/>
      <c r="T60" s="259"/>
      <c r="U60" s="259"/>
      <c r="V60" s="259"/>
      <c r="W60" s="105"/>
    </row>
    <row r="61" spans="2:31" ht="27" customHeight="1" x14ac:dyDescent="0.45">
      <c r="B61" s="84" t="s">
        <v>158</v>
      </c>
      <c r="C61" s="259"/>
      <c r="D61" s="259"/>
      <c r="E61" s="259"/>
      <c r="F61" s="259"/>
      <c r="G61" s="259"/>
      <c r="H61" s="259"/>
      <c r="I61" s="259"/>
      <c r="J61" s="259"/>
      <c r="K61" s="259"/>
      <c r="L61" s="259"/>
      <c r="M61" s="259"/>
      <c r="N61" s="259"/>
      <c r="O61" s="259"/>
      <c r="P61" s="259"/>
      <c r="Q61" s="259"/>
      <c r="R61" s="259"/>
      <c r="S61" s="259"/>
      <c r="T61" s="259"/>
      <c r="U61" s="259"/>
      <c r="V61" s="259"/>
      <c r="W61" s="105"/>
    </row>
    <row r="62" spans="2:31" ht="27" customHeight="1" x14ac:dyDescent="0.45">
      <c r="B62" s="84" t="s">
        <v>159</v>
      </c>
      <c r="C62" s="259"/>
      <c r="D62" s="259"/>
      <c r="E62" s="259"/>
      <c r="F62" s="259"/>
      <c r="G62" s="259"/>
      <c r="H62" s="259"/>
      <c r="I62" s="259"/>
      <c r="J62" s="259"/>
      <c r="K62" s="259"/>
      <c r="L62" s="259"/>
      <c r="M62" s="259"/>
      <c r="N62" s="259"/>
      <c r="O62" s="259"/>
      <c r="P62" s="259"/>
      <c r="Q62" s="259"/>
      <c r="R62" s="259"/>
      <c r="S62" s="259"/>
      <c r="T62" s="259"/>
      <c r="U62" s="259"/>
      <c r="V62" s="259"/>
      <c r="W62" s="105"/>
    </row>
    <row r="63" spans="2:31" ht="27" customHeight="1" x14ac:dyDescent="0.45">
      <c r="B63" s="84" t="s">
        <v>160</v>
      </c>
      <c r="C63" s="259"/>
      <c r="D63" s="259"/>
      <c r="E63" s="259"/>
      <c r="F63" s="259"/>
      <c r="G63" s="259"/>
      <c r="H63" s="259"/>
      <c r="I63" s="259"/>
      <c r="J63" s="259"/>
      <c r="K63" s="259"/>
      <c r="L63" s="259"/>
      <c r="M63" s="259"/>
      <c r="N63" s="259"/>
      <c r="O63" s="259"/>
      <c r="P63" s="259"/>
      <c r="Q63" s="259"/>
      <c r="R63" s="259"/>
      <c r="S63" s="259"/>
      <c r="T63" s="259"/>
      <c r="U63" s="259"/>
      <c r="V63" s="259"/>
      <c r="W63" s="105"/>
    </row>
    <row r="64" spans="2:31" ht="27" customHeight="1" x14ac:dyDescent="0.45">
      <c r="B64" s="84" t="s">
        <v>161</v>
      </c>
      <c r="C64" s="259"/>
      <c r="D64" s="259"/>
      <c r="E64" s="259"/>
      <c r="F64" s="259"/>
      <c r="G64" s="259"/>
      <c r="H64" s="259"/>
      <c r="I64" s="259"/>
      <c r="J64" s="259"/>
      <c r="K64" s="259"/>
      <c r="L64" s="259"/>
      <c r="M64" s="259"/>
      <c r="N64" s="259"/>
      <c r="O64" s="259"/>
      <c r="P64" s="259"/>
      <c r="Q64" s="259"/>
      <c r="R64" s="259"/>
      <c r="S64" s="259"/>
      <c r="T64" s="259"/>
      <c r="U64" s="259"/>
      <c r="V64" s="259"/>
      <c r="W64" s="105"/>
    </row>
    <row r="65" spans="2:24" ht="27" customHeight="1" x14ac:dyDescent="0.45">
      <c r="B65" s="84" t="s">
        <v>162</v>
      </c>
      <c r="C65" s="259"/>
      <c r="D65" s="259"/>
      <c r="E65" s="259"/>
      <c r="F65" s="259"/>
      <c r="G65" s="259"/>
      <c r="H65" s="259"/>
      <c r="I65" s="259"/>
      <c r="J65" s="259"/>
      <c r="K65" s="259"/>
      <c r="L65" s="259"/>
      <c r="M65" s="259"/>
      <c r="N65" s="259"/>
      <c r="O65" s="259"/>
      <c r="P65" s="259"/>
      <c r="Q65" s="259"/>
      <c r="R65" s="259"/>
      <c r="S65" s="259"/>
      <c r="T65" s="259"/>
      <c r="U65" s="259"/>
      <c r="V65" s="259"/>
      <c r="W65" s="105"/>
    </row>
    <row r="66" spans="2:24" ht="27" customHeight="1" x14ac:dyDescent="0.45">
      <c r="B66" s="84" t="s">
        <v>163</v>
      </c>
      <c r="C66" s="259"/>
      <c r="D66" s="259"/>
      <c r="E66" s="259"/>
      <c r="F66" s="259"/>
      <c r="G66" s="259"/>
      <c r="H66" s="259"/>
      <c r="I66" s="259"/>
      <c r="J66" s="259"/>
      <c r="K66" s="259"/>
      <c r="L66" s="259"/>
      <c r="M66" s="259"/>
      <c r="N66" s="259"/>
      <c r="O66" s="259"/>
      <c r="P66" s="259"/>
      <c r="Q66" s="259"/>
      <c r="R66" s="259"/>
      <c r="S66" s="259"/>
      <c r="T66" s="259"/>
      <c r="U66" s="259"/>
      <c r="V66" s="259"/>
      <c r="W66" s="105"/>
    </row>
    <row r="67" spans="2:24" ht="27" customHeight="1" x14ac:dyDescent="0.45">
      <c r="B67" s="84" t="s">
        <v>164</v>
      </c>
      <c r="C67" s="259"/>
      <c r="D67" s="259"/>
      <c r="E67" s="259"/>
      <c r="F67" s="259"/>
      <c r="G67" s="259"/>
      <c r="H67" s="259"/>
      <c r="I67" s="259"/>
      <c r="J67" s="259"/>
      <c r="K67" s="259"/>
      <c r="L67" s="259"/>
      <c r="M67" s="259"/>
      <c r="N67" s="259"/>
      <c r="O67" s="259"/>
      <c r="P67" s="259"/>
      <c r="Q67" s="259"/>
      <c r="R67" s="259"/>
      <c r="S67" s="259"/>
      <c r="T67" s="259"/>
      <c r="U67" s="259"/>
      <c r="V67" s="259"/>
      <c r="W67" s="105"/>
    </row>
    <row r="68" spans="2:24" ht="27" customHeight="1" x14ac:dyDescent="0.45">
      <c r="B68" s="84" t="s">
        <v>165</v>
      </c>
      <c r="C68" s="259"/>
      <c r="D68" s="259"/>
      <c r="E68" s="259"/>
      <c r="F68" s="259"/>
      <c r="G68" s="259"/>
      <c r="H68" s="259"/>
      <c r="I68" s="259"/>
      <c r="J68" s="259"/>
      <c r="K68" s="259"/>
      <c r="L68" s="259"/>
      <c r="M68" s="259"/>
      <c r="N68" s="259"/>
      <c r="O68" s="259"/>
      <c r="P68" s="259"/>
      <c r="Q68" s="259"/>
      <c r="R68" s="259"/>
      <c r="S68" s="259"/>
      <c r="T68" s="259"/>
      <c r="U68" s="259"/>
      <c r="V68" s="259"/>
      <c r="W68" s="105"/>
    </row>
    <row r="69" spans="2:24" ht="27" customHeight="1" x14ac:dyDescent="0.45">
      <c r="B69" s="84" t="s">
        <v>370</v>
      </c>
      <c r="C69" s="259"/>
      <c r="D69" s="259"/>
      <c r="E69" s="259"/>
      <c r="F69" s="259"/>
      <c r="G69" s="259"/>
      <c r="H69" s="259"/>
      <c r="I69" s="259"/>
      <c r="J69" s="259"/>
      <c r="K69" s="259"/>
      <c r="L69" s="259"/>
      <c r="M69" s="259"/>
      <c r="N69" s="259"/>
      <c r="O69" s="259"/>
      <c r="P69" s="259"/>
      <c r="Q69" s="259"/>
      <c r="R69" s="259"/>
      <c r="S69" s="259"/>
      <c r="T69" s="259"/>
      <c r="U69" s="259"/>
      <c r="V69" s="259"/>
      <c r="W69" s="105"/>
    </row>
    <row r="70" spans="2:24" ht="27" customHeight="1" x14ac:dyDescent="0.45">
      <c r="B70" s="84" t="s">
        <v>166</v>
      </c>
      <c r="C70" s="259"/>
      <c r="D70" s="259"/>
      <c r="E70" s="259"/>
      <c r="F70" s="259"/>
      <c r="G70" s="259"/>
      <c r="H70" s="259"/>
      <c r="I70" s="259"/>
      <c r="J70" s="259"/>
      <c r="K70" s="259"/>
      <c r="L70" s="259"/>
      <c r="M70" s="259"/>
      <c r="N70" s="259"/>
      <c r="O70" s="259"/>
      <c r="P70" s="259"/>
      <c r="Q70" s="259"/>
      <c r="R70" s="259"/>
      <c r="S70" s="259"/>
      <c r="T70" s="259"/>
      <c r="U70" s="259"/>
      <c r="V70" s="259"/>
      <c r="W70" s="105"/>
    </row>
    <row r="71" spans="2:24" ht="27" customHeight="1" x14ac:dyDescent="0.45">
      <c r="B71" s="84" t="s">
        <v>167</v>
      </c>
      <c r="C71" s="259"/>
      <c r="D71" s="259"/>
      <c r="E71" s="259"/>
      <c r="F71" s="259"/>
      <c r="G71" s="259"/>
      <c r="H71" s="259"/>
      <c r="I71" s="259"/>
      <c r="J71" s="259"/>
      <c r="K71" s="259"/>
      <c r="L71" s="259"/>
      <c r="M71" s="259"/>
      <c r="N71" s="259"/>
      <c r="O71" s="259"/>
      <c r="P71" s="259"/>
      <c r="Q71" s="259"/>
      <c r="R71" s="259"/>
      <c r="S71" s="259"/>
      <c r="T71" s="259"/>
      <c r="U71" s="259"/>
      <c r="V71" s="259"/>
      <c r="W71" s="105"/>
    </row>
    <row r="72" spans="2:24" ht="27" customHeight="1" x14ac:dyDescent="0.45">
      <c r="B72" s="84" t="s">
        <v>168</v>
      </c>
      <c r="C72" s="259"/>
      <c r="D72" s="259"/>
      <c r="E72" s="259"/>
      <c r="F72" s="259"/>
      <c r="G72" s="259"/>
      <c r="H72" s="259"/>
      <c r="I72" s="259"/>
      <c r="J72" s="259"/>
      <c r="K72" s="259"/>
      <c r="L72" s="259"/>
      <c r="M72" s="259"/>
      <c r="N72" s="259"/>
      <c r="O72" s="259"/>
      <c r="P72" s="259"/>
      <c r="Q72" s="259"/>
      <c r="R72" s="259"/>
      <c r="S72" s="259"/>
      <c r="T72" s="259"/>
      <c r="U72" s="259"/>
      <c r="V72" s="259"/>
      <c r="W72" s="105"/>
    </row>
    <row r="73" spans="2:24" ht="27" customHeight="1" x14ac:dyDescent="0.45">
      <c r="B73" s="84" t="s">
        <v>169</v>
      </c>
      <c r="C73" s="259"/>
      <c r="D73" s="259"/>
      <c r="E73" s="259"/>
      <c r="F73" s="259"/>
      <c r="G73" s="259"/>
      <c r="H73" s="259"/>
      <c r="I73" s="259"/>
      <c r="J73" s="259"/>
      <c r="K73" s="259"/>
      <c r="L73" s="259"/>
      <c r="M73" s="259"/>
      <c r="N73" s="259"/>
      <c r="O73" s="259"/>
      <c r="P73" s="259"/>
      <c r="Q73" s="259"/>
      <c r="R73" s="259"/>
      <c r="S73" s="259"/>
      <c r="T73" s="259"/>
      <c r="U73" s="259"/>
      <c r="V73" s="259"/>
      <c r="W73" s="105"/>
    </row>
    <row r="74" spans="2:24" ht="27" customHeight="1" x14ac:dyDescent="0.45">
      <c r="B74" s="84" t="s">
        <v>170</v>
      </c>
      <c r="C74" s="259"/>
      <c r="D74" s="259"/>
      <c r="E74" s="259"/>
      <c r="F74" s="259"/>
      <c r="G74" s="259"/>
      <c r="H74" s="259"/>
      <c r="I74" s="259"/>
      <c r="J74" s="259"/>
      <c r="K74" s="259"/>
      <c r="L74" s="259"/>
      <c r="M74" s="259"/>
      <c r="N74" s="259"/>
      <c r="O74" s="259"/>
      <c r="P74" s="259"/>
      <c r="Q74" s="259"/>
      <c r="R74" s="259"/>
      <c r="S74" s="259"/>
      <c r="T74" s="259"/>
      <c r="U74" s="259"/>
      <c r="V74" s="259"/>
      <c r="W74" s="105"/>
    </row>
    <row r="75" spans="2:24" ht="27" customHeight="1" x14ac:dyDescent="0.45">
      <c r="B75" s="84" t="s">
        <v>171</v>
      </c>
      <c r="C75" s="259"/>
      <c r="D75" s="259"/>
      <c r="E75" s="259"/>
      <c r="F75" s="259"/>
      <c r="G75" s="259"/>
      <c r="H75" s="259"/>
      <c r="I75" s="259"/>
      <c r="J75" s="259"/>
      <c r="K75" s="259"/>
      <c r="L75" s="259"/>
      <c r="M75" s="259"/>
      <c r="N75" s="259"/>
      <c r="O75" s="259"/>
      <c r="P75" s="259"/>
      <c r="Q75" s="259"/>
      <c r="R75" s="259"/>
      <c r="S75" s="259"/>
      <c r="T75" s="259"/>
      <c r="U75" s="259"/>
      <c r="V75" s="259"/>
      <c r="W75" s="105"/>
    </row>
    <row r="76" spans="2:24" ht="27" customHeight="1" x14ac:dyDescent="0.45">
      <c r="B76" s="84" t="s">
        <v>172</v>
      </c>
      <c r="C76" s="259"/>
      <c r="D76" s="259"/>
      <c r="E76" s="259"/>
      <c r="F76" s="259"/>
      <c r="G76" s="259"/>
      <c r="H76" s="259"/>
      <c r="I76" s="259"/>
      <c r="J76" s="259"/>
      <c r="K76" s="259"/>
      <c r="L76" s="259"/>
      <c r="M76" s="259"/>
      <c r="N76" s="259"/>
      <c r="O76" s="259"/>
      <c r="P76" s="259"/>
      <c r="Q76" s="259"/>
      <c r="R76" s="259"/>
      <c r="S76" s="259"/>
      <c r="T76" s="259"/>
      <c r="U76" s="259"/>
      <c r="V76" s="259"/>
      <c r="W76" s="105"/>
    </row>
    <row r="77" spans="2:24" ht="27" customHeight="1" x14ac:dyDescent="0.45">
      <c r="B77" s="84" t="s">
        <v>173</v>
      </c>
      <c r="C77" s="259"/>
      <c r="D77" s="259"/>
      <c r="E77" s="259"/>
      <c r="F77" s="259"/>
      <c r="G77" s="259"/>
      <c r="H77" s="259"/>
      <c r="I77" s="259"/>
      <c r="J77" s="259"/>
      <c r="K77" s="259"/>
      <c r="L77" s="259"/>
      <c r="M77" s="259"/>
      <c r="N77" s="259"/>
      <c r="O77" s="259"/>
      <c r="P77" s="259"/>
      <c r="Q77" s="259"/>
      <c r="R77" s="259"/>
      <c r="S77" s="259"/>
      <c r="T77" s="259"/>
      <c r="U77" s="259"/>
      <c r="V77" s="259"/>
      <c r="W77" s="105"/>
    </row>
    <row r="78" spans="2:24" ht="27" customHeight="1" x14ac:dyDescent="0.45">
      <c r="B78" s="84" t="s">
        <v>174</v>
      </c>
      <c r="C78" s="272"/>
      <c r="D78" s="272"/>
      <c r="E78" s="272"/>
      <c r="F78" s="272"/>
      <c r="G78" s="272"/>
      <c r="H78" s="272"/>
      <c r="I78" s="272"/>
      <c r="J78" s="272"/>
      <c r="K78" s="272"/>
      <c r="L78" s="272"/>
      <c r="M78" s="272"/>
      <c r="N78" s="272"/>
      <c r="O78" s="272"/>
      <c r="P78" s="272"/>
      <c r="Q78" s="272"/>
      <c r="R78" s="272"/>
      <c r="S78" s="272"/>
      <c r="T78" s="272"/>
      <c r="U78" s="272"/>
      <c r="V78" s="272"/>
      <c r="W78" s="105"/>
    </row>
    <row r="79" spans="2:24" x14ac:dyDescent="0.45">
      <c r="B79" s="86"/>
      <c r="C79" s="158"/>
      <c r="D79" s="158"/>
      <c r="E79" s="158"/>
      <c r="F79" s="158"/>
      <c r="G79" s="158"/>
      <c r="H79" s="158"/>
      <c r="I79" s="159"/>
      <c r="J79" s="159"/>
      <c r="K79" s="159"/>
      <c r="L79" s="159"/>
      <c r="M79" s="146"/>
      <c r="N79" s="155"/>
      <c r="O79" s="155"/>
      <c r="P79" s="155"/>
      <c r="Q79" s="155"/>
      <c r="R79" s="155"/>
      <c r="S79" s="155"/>
      <c r="T79" s="155"/>
      <c r="U79" s="155"/>
      <c r="V79" s="155"/>
      <c r="W79" s="155"/>
    </row>
    <row r="80" spans="2:24" ht="27" customHeight="1" x14ac:dyDescent="0.45">
      <c r="B80" s="85" t="s">
        <v>195</v>
      </c>
      <c r="C80" s="260" t="s">
        <v>134</v>
      </c>
      <c r="D80" s="260"/>
      <c r="E80" s="260"/>
      <c r="F80" s="260"/>
      <c r="G80" s="260"/>
      <c r="H80" s="270" t="s">
        <v>135</v>
      </c>
      <c r="I80" s="270"/>
      <c r="J80" s="270"/>
      <c r="K80" s="270"/>
      <c r="L80" s="270"/>
      <c r="M80" s="270"/>
      <c r="N80" s="270"/>
      <c r="O80" s="269" t="s">
        <v>2</v>
      </c>
      <c r="P80" s="269"/>
      <c r="Q80" s="269"/>
      <c r="R80" s="269"/>
      <c r="S80" s="269"/>
      <c r="T80" s="269"/>
      <c r="U80" s="268" t="s">
        <v>193</v>
      </c>
      <c r="V80" s="243"/>
      <c r="W80" s="268" t="s">
        <v>216</v>
      </c>
      <c r="X80" s="243"/>
    </row>
    <row r="81" spans="2:24" ht="27" customHeight="1" x14ac:dyDescent="0.45">
      <c r="B81" s="149" t="s">
        <v>306</v>
      </c>
      <c r="C81" s="271"/>
      <c r="D81" s="271"/>
      <c r="E81" s="271"/>
      <c r="F81" s="271"/>
      <c r="G81" s="271"/>
      <c r="H81" s="271"/>
      <c r="I81" s="271"/>
      <c r="J81" s="271"/>
      <c r="K81" s="271"/>
      <c r="L81" s="271"/>
      <c r="M81" s="271"/>
      <c r="N81" s="271"/>
      <c r="O81" s="271"/>
      <c r="P81" s="271"/>
      <c r="Q81" s="271"/>
      <c r="R81" s="271"/>
      <c r="S81" s="271"/>
      <c r="T81" s="271"/>
      <c r="U81" s="271"/>
      <c r="V81" s="271"/>
      <c r="W81" s="273"/>
      <c r="X81" s="274"/>
    </row>
    <row r="82" spans="2:24" ht="27" customHeight="1" x14ac:dyDescent="0.45">
      <c r="B82" s="150" t="s">
        <v>307</v>
      </c>
      <c r="C82" s="259"/>
      <c r="D82" s="259"/>
      <c r="E82" s="259"/>
      <c r="F82" s="259"/>
      <c r="G82" s="259"/>
      <c r="H82" s="259"/>
      <c r="I82" s="259"/>
      <c r="J82" s="259"/>
      <c r="K82" s="259"/>
      <c r="L82" s="259"/>
      <c r="M82" s="259"/>
      <c r="N82" s="259"/>
      <c r="O82" s="259"/>
      <c r="P82" s="259"/>
      <c r="Q82" s="259"/>
      <c r="R82" s="259"/>
      <c r="S82" s="259"/>
      <c r="T82" s="259"/>
      <c r="U82" s="259"/>
      <c r="V82" s="259"/>
      <c r="W82" s="275"/>
      <c r="X82" s="276"/>
    </row>
    <row r="83" spans="2:24" ht="27" customHeight="1" x14ac:dyDescent="0.45">
      <c r="B83" s="150" t="s">
        <v>308</v>
      </c>
      <c r="C83" s="259"/>
      <c r="D83" s="259"/>
      <c r="E83" s="259"/>
      <c r="F83" s="259"/>
      <c r="G83" s="259"/>
      <c r="H83" s="259"/>
      <c r="I83" s="259"/>
      <c r="J83" s="259"/>
      <c r="K83" s="259"/>
      <c r="L83" s="259"/>
      <c r="M83" s="259"/>
      <c r="N83" s="259"/>
      <c r="O83" s="259"/>
      <c r="P83" s="259"/>
      <c r="Q83" s="259"/>
      <c r="R83" s="259"/>
      <c r="S83" s="259"/>
      <c r="T83" s="259"/>
      <c r="U83" s="259"/>
      <c r="V83" s="259"/>
      <c r="W83" s="275"/>
      <c r="X83" s="276"/>
    </row>
    <row r="84" spans="2:24" ht="27" customHeight="1" x14ac:dyDescent="0.45">
      <c r="B84" s="150" t="s">
        <v>309</v>
      </c>
      <c r="C84" s="259"/>
      <c r="D84" s="259"/>
      <c r="E84" s="259"/>
      <c r="F84" s="259"/>
      <c r="G84" s="259"/>
      <c r="H84" s="259"/>
      <c r="I84" s="259"/>
      <c r="J84" s="259"/>
      <c r="K84" s="259"/>
      <c r="L84" s="259"/>
      <c r="M84" s="259"/>
      <c r="N84" s="259"/>
      <c r="O84" s="259"/>
      <c r="P84" s="259"/>
      <c r="Q84" s="259"/>
      <c r="R84" s="259"/>
      <c r="S84" s="259"/>
      <c r="T84" s="259"/>
      <c r="U84" s="259"/>
      <c r="V84" s="259"/>
      <c r="W84" s="275"/>
      <c r="X84" s="276"/>
    </row>
    <row r="85" spans="2:24" ht="27" customHeight="1" x14ac:dyDescent="0.45">
      <c r="B85" s="150" t="s">
        <v>310</v>
      </c>
      <c r="C85" s="259"/>
      <c r="D85" s="259"/>
      <c r="E85" s="259"/>
      <c r="F85" s="259"/>
      <c r="G85" s="259"/>
      <c r="H85" s="259"/>
      <c r="I85" s="259"/>
      <c r="J85" s="259"/>
      <c r="K85" s="259"/>
      <c r="L85" s="259"/>
      <c r="M85" s="259"/>
      <c r="N85" s="259"/>
      <c r="O85" s="259"/>
      <c r="P85" s="259"/>
      <c r="Q85" s="259"/>
      <c r="R85" s="259"/>
      <c r="S85" s="259"/>
      <c r="T85" s="259"/>
      <c r="U85" s="259"/>
      <c r="V85" s="259"/>
      <c r="W85" s="275"/>
      <c r="X85" s="276"/>
    </row>
    <row r="86" spans="2:24" ht="27" customHeight="1" x14ac:dyDescent="0.45">
      <c r="B86" s="150" t="s">
        <v>311</v>
      </c>
      <c r="C86" s="259"/>
      <c r="D86" s="259"/>
      <c r="E86" s="259"/>
      <c r="F86" s="259"/>
      <c r="G86" s="259"/>
      <c r="H86" s="259"/>
      <c r="I86" s="259"/>
      <c r="J86" s="259"/>
      <c r="K86" s="259"/>
      <c r="L86" s="259"/>
      <c r="M86" s="259"/>
      <c r="N86" s="259"/>
      <c r="O86" s="259"/>
      <c r="P86" s="259"/>
      <c r="Q86" s="259"/>
      <c r="R86" s="259"/>
      <c r="S86" s="259"/>
      <c r="T86" s="259"/>
      <c r="U86" s="259"/>
      <c r="V86" s="259"/>
      <c r="W86" s="275"/>
      <c r="X86" s="276"/>
    </row>
    <row r="87" spans="2:24" ht="27" customHeight="1" x14ac:dyDescent="0.45">
      <c r="B87" s="150" t="s">
        <v>312</v>
      </c>
      <c r="C87" s="259"/>
      <c r="D87" s="259"/>
      <c r="E87" s="259"/>
      <c r="F87" s="259"/>
      <c r="G87" s="259"/>
      <c r="H87" s="259"/>
      <c r="I87" s="259"/>
      <c r="J87" s="259"/>
      <c r="K87" s="259"/>
      <c r="L87" s="259"/>
      <c r="M87" s="259"/>
      <c r="N87" s="259"/>
      <c r="O87" s="259"/>
      <c r="P87" s="259"/>
      <c r="Q87" s="259"/>
      <c r="R87" s="259"/>
      <c r="S87" s="259"/>
      <c r="T87" s="259"/>
      <c r="U87" s="259"/>
      <c r="V87" s="259"/>
      <c r="W87" s="275"/>
      <c r="X87" s="276"/>
    </row>
    <row r="88" spans="2:24" ht="27" customHeight="1" x14ac:dyDescent="0.45">
      <c r="B88" s="150" t="s">
        <v>313</v>
      </c>
      <c r="C88" s="259"/>
      <c r="D88" s="259"/>
      <c r="E88" s="259"/>
      <c r="F88" s="259"/>
      <c r="G88" s="259"/>
      <c r="H88" s="259"/>
      <c r="I88" s="259"/>
      <c r="J88" s="259"/>
      <c r="K88" s="259"/>
      <c r="L88" s="259"/>
      <c r="M88" s="259"/>
      <c r="N88" s="259"/>
      <c r="O88" s="259"/>
      <c r="P88" s="259"/>
      <c r="Q88" s="259"/>
      <c r="R88" s="259"/>
      <c r="S88" s="259"/>
      <c r="T88" s="259"/>
      <c r="U88" s="259"/>
      <c r="V88" s="259"/>
      <c r="W88" s="275"/>
      <c r="X88" s="276"/>
    </row>
    <row r="89" spans="2:24" ht="27" customHeight="1" x14ac:dyDescent="0.45">
      <c r="B89" s="150" t="s">
        <v>314</v>
      </c>
      <c r="C89" s="259"/>
      <c r="D89" s="259"/>
      <c r="E89" s="259"/>
      <c r="F89" s="259"/>
      <c r="G89" s="259"/>
      <c r="H89" s="259"/>
      <c r="I89" s="259"/>
      <c r="J89" s="259"/>
      <c r="K89" s="259"/>
      <c r="L89" s="259"/>
      <c r="M89" s="259"/>
      <c r="N89" s="259"/>
      <c r="O89" s="259"/>
      <c r="P89" s="259"/>
      <c r="Q89" s="259"/>
      <c r="R89" s="259"/>
      <c r="S89" s="259"/>
      <c r="T89" s="259"/>
      <c r="U89" s="259"/>
      <c r="V89" s="259"/>
      <c r="W89" s="275"/>
      <c r="X89" s="276"/>
    </row>
    <row r="90" spans="2:24" ht="27" customHeight="1" x14ac:dyDescent="0.45">
      <c r="B90" s="150" t="s">
        <v>315</v>
      </c>
      <c r="C90" s="259"/>
      <c r="D90" s="259"/>
      <c r="E90" s="259"/>
      <c r="F90" s="259"/>
      <c r="G90" s="259"/>
      <c r="H90" s="259"/>
      <c r="I90" s="259"/>
      <c r="J90" s="259"/>
      <c r="K90" s="259"/>
      <c r="L90" s="259"/>
      <c r="M90" s="259"/>
      <c r="N90" s="259"/>
      <c r="O90" s="259"/>
      <c r="P90" s="259"/>
      <c r="Q90" s="259"/>
      <c r="R90" s="259"/>
      <c r="S90" s="259"/>
      <c r="T90" s="259"/>
      <c r="U90" s="259"/>
      <c r="V90" s="259"/>
      <c r="W90" s="275"/>
      <c r="X90" s="276"/>
    </row>
    <row r="91" spans="2:24" ht="27" customHeight="1" x14ac:dyDescent="0.45">
      <c r="B91" s="150" t="s">
        <v>371</v>
      </c>
      <c r="C91" s="259"/>
      <c r="D91" s="259"/>
      <c r="E91" s="259"/>
      <c r="F91" s="259"/>
      <c r="G91" s="259"/>
      <c r="H91" s="259"/>
      <c r="I91" s="259"/>
      <c r="J91" s="259"/>
      <c r="K91" s="259"/>
      <c r="L91" s="259"/>
      <c r="M91" s="259"/>
      <c r="N91" s="259"/>
      <c r="O91" s="259"/>
      <c r="P91" s="259"/>
      <c r="Q91" s="259"/>
      <c r="R91" s="259"/>
      <c r="S91" s="259"/>
      <c r="T91" s="259"/>
      <c r="U91" s="259"/>
      <c r="V91" s="259"/>
      <c r="W91" s="275"/>
      <c r="X91" s="276"/>
    </row>
    <row r="92" spans="2:24" ht="27" customHeight="1" x14ac:dyDescent="0.45">
      <c r="B92" s="150" t="s">
        <v>372</v>
      </c>
      <c r="C92" s="259"/>
      <c r="D92" s="259"/>
      <c r="E92" s="259"/>
      <c r="F92" s="259"/>
      <c r="G92" s="259"/>
      <c r="H92" s="259"/>
      <c r="I92" s="259"/>
      <c r="J92" s="259"/>
      <c r="K92" s="259"/>
      <c r="L92" s="259"/>
      <c r="M92" s="259"/>
      <c r="N92" s="259"/>
      <c r="O92" s="259"/>
      <c r="P92" s="259"/>
      <c r="Q92" s="259"/>
      <c r="R92" s="259"/>
      <c r="S92" s="259"/>
      <c r="T92" s="259"/>
      <c r="U92" s="259"/>
      <c r="V92" s="259"/>
      <c r="W92" s="275"/>
      <c r="X92" s="276"/>
    </row>
    <row r="93" spans="2:24" ht="27" customHeight="1" x14ac:dyDescent="0.45">
      <c r="B93" s="150" t="s">
        <v>373</v>
      </c>
      <c r="C93" s="259"/>
      <c r="D93" s="259"/>
      <c r="E93" s="259"/>
      <c r="F93" s="259"/>
      <c r="G93" s="259"/>
      <c r="H93" s="259"/>
      <c r="I93" s="259"/>
      <c r="J93" s="259"/>
      <c r="K93" s="259"/>
      <c r="L93" s="259"/>
      <c r="M93" s="259"/>
      <c r="N93" s="259"/>
      <c r="O93" s="259"/>
      <c r="P93" s="259"/>
      <c r="Q93" s="259"/>
      <c r="R93" s="259"/>
      <c r="S93" s="259"/>
      <c r="T93" s="259"/>
      <c r="U93" s="259"/>
      <c r="V93" s="259"/>
      <c r="W93" s="275"/>
      <c r="X93" s="276"/>
    </row>
    <row r="94" spans="2:24" ht="27" customHeight="1" x14ac:dyDescent="0.45">
      <c r="B94" s="150" t="s">
        <v>374</v>
      </c>
      <c r="C94" s="259"/>
      <c r="D94" s="259"/>
      <c r="E94" s="259"/>
      <c r="F94" s="259"/>
      <c r="G94" s="259"/>
      <c r="H94" s="259"/>
      <c r="I94" s="259"/>
      <c r="J94" s="259"/>
      <c r="K94" s="259"/>
      <c r="L94" s="259"/>
      <c r="M94" s="259"/>
      <c r="N94" s="259"/>
      <c r="O94" s="259"/>
      <c r="P94" s="259"/>
      <c r="Q94" s="259"/>
      <c r="R94" s="259"/>
      <c r="S94" s="259"/>
      <c r="T94" s="259"/>
      <c r="U94" s="259"/>
      <c r="V94" s="259"/>
      <c r="W94" s="275"/>
      <c r="X94" s="276"/>
    </row>
    <row r="95" spans="2:24" ht="27" customHeight="1" x14ac:dyDescent="0.45">
      <c r="B95" s="150" t="s">
        <v>375</v>
      </c>
      <c r="C95" s="259"/>
      <c r="D95" s="259"/>
      <c r="E95" s="259"/>
      <c r="F95" s="259"/>
      <c r="G95" s="259"/>
      <c r="H95" s="259"/>
      <c r="I95" s="259"/>
      <c r="J95" s="259"/>
      <c r="K95" s="259"/>
      <c r="L95" s="259"/>
      <c r="M95" s="259"/>
      <c r="N95" s="259"/>
      <c r="O95" s="259"/>
      <c r="P95" s="259"/>
      <c r="Q95" s="259"/>
      <c r="R95" s="259"/>
      <c r="S95" s="259"/>
      <c r="T95" s="259"/>
      <c r="U95" s="259"/>
      <c r="V95" s="259"/>
      <c r="W95" s="275"/>
      <c r="X95" s="276"/>
    </row>
    <row r="96" spans="2:24" ht="27" customHeight="1" x14ac:dyDescent="0.45">
      <c r="B96" s="150" t="s">
        <v>376</v>
      </c>
      <c r="C96" s="259"/>
      <c r="D96" s="259"/>
      <c r="E96" s="259"/>
      <c r="F96" s="259"/>
      <c r="G96" s="259"/>
      <c r="H96" s="259"/>
      <c r="I96" s="259"/>
      <c r="J96" s="259"/>
      <c r="K96" s="259"/>
      <c r="L96" s="259"/>
      <c r="M96" s="259"/>
      <c r="N96" s="259"/>
      <c r="O96" s="259"/>
      <c r="P96" s="259"/>
      <c r="Q96" s="259"/>
      <c r="R96" s="259"/>
      <c r="S96" s="259"/>
      <c r="T96" s="259"/>
      <c r="U96" s="259"/>
      <c r="V96" s="259"/>
      <c r="W96" s="275"/>
      <c r="X96" s="276"/>
    </row>
    <row r="97" spans="2:27" ht="27" customHeight="1" x14ac:dyDescent="0.45">
      <c r="B97" s="150" t="s">
        <v>377</v>
      </c>
      <c r="C97" s="259"/>
      <c r="D97" s="259"/>
      <c r="E97" s="259"/>
      <c r="F97" s="259"/>
      <c r="G97" s="259"/>
      <c r="H97" s="259"/>
      <c r="I97" s="259"/>
      <c r="J97" s="259"/>
      <c r="K97" s="259"/>
      <c r="L97" s="259"/>
      <c r="M97" s="259"/>
      <c r="N97" s="259"/>
      <c r="O97" s="259"/>
      <c r="P97" s="259"/>
      <c r="Q97" s="259"/>
      <c r="R97" s="259"/>
      <c r="S97" s="259"/>
      <c r="T97" s="259"/>
      <c r="U97" s="259"/>
      <c r="V97" s="259"/>
      <c r="W97" s="275"/>
      <c r="X97" s="276"/>
    </row>
    <row r="98" spans="2:27" ht="27" customHeight="1" x14ac:dyDescent="0.45">
      <c r="B98" s="150" t="s">
        <v>378</v>
      </c>
      <c r="C98" s="259"/>
      <c r="D98" s="259"/>
      <c r="E98" s="259"/>
      <c r="F98" s="259"/>
      <c r="G98" s="259"/>
      <c r="H98" s="259"/>
      <c r="I98" s="259"/>
      <c r="J98" s="259"/>
      <c r="K98" s="259"/>
      <c r="L98" s="259"/>
      <c r="M98" s="259"/>
      <c r="N98" s="259"/>
      <c r="O98" s="259"/>
      <c r="P98" s="259"/>
      <c r="Q98" s="259"/>
      <c r="R98" s="259"/>
      <c r="S98" s="259"/>
      <c r="T98" s="259"/>
      <c r="U98" s="259"/>
      <c r="V98" s="259"/>
      <c r="W98" s="275"/>
      <c r="X98" s="276"/>
    </row>
    <row r="99" spans="2:27" ht="27" customHeight="1" x14ac:dyDescent="0.45">
      <c r="B99" s="150" t="s">
        <v>379</v>
      </c>
      <c r="C99" s="259"/>
      <c r="D99" s="259"/>
      <c r="E99" s="259"/>
      <c r="F99" s="259"/>
      <c r="G99" s="259"/>
      <c r="H99" s="259"/>
      <c r="I99" s="259"/>
      <c r="J99" s="259"/>
      <c r="K99" s="259"/>
      <c r="L99" s="259"/>
      <c r="M99" s="259"/>
      <c r="N99" s="259"/>
      <c r="O99" s="259"/>
      <c r="P99" s="259"/>
      <c r="Q99" s="259"/>
      <c r="R99" s="259"/>
      <c r="S99" s="259"/>
      <c r="T99" s="259"/>
      <c r="U99" s="259"/>
      <c r="V99" s="259"/>
      <c r="W99" s="275"/>
      <c r="X99" s="276"/>
    </row>
    <row r="100" spans="2:27" ht="27" customHeight="1" x14ac:dyDescent="0.45">
      <c r="B100" s="151" t="s">
        <v>380</v>
      </c>
      <c r="C100" s="272"/>
      <c r="D100" s="272"/>
      <c r="E100" s="272"/>
      <c r="F100" s="272"/>
      <c r="G100" s="272"/>
      <c r="H100" s="272"/>
      <c r="I100" s="272"/>
      <c r="J100" s="272"/>
      <c r="K100" s="272"/>
      <c r="L100" s="272"/>
      <c r="M100" s="272"/>
      <c r="N100" s="272"/>
      <c r="O100" s="272"/>
      <c r="P100" s="272"/>
      <c r="Q100" s="272"/>
      <c r="R100" s="272"/>
      <c r="S100" s="272"/>
      <c r="T100" s="272"/>
      <c r="U100" s="272"/>
      <c r="V100" s="272"/>
      <c r="W100" s="277"/>
      <c r="X100" s="278"/>
    </row>
    <row r="101" spans="2:27" x14ac:dyDescent="0.45">
      <c r="B101" s="38"/>
      <c r="C101" s="39"/>
    </row>
    <row r="102" spans="2:27" ht="14.25" customHeight="1" thickBot="1" x14ac:dyDescent="0.5">
      <c r="B102" s="39"/>
      <c r="C102" s="39"/>
    </row>
    <row r="103" spans="2:27" ht="36" customHeight="1" thickBot="1" x14ac:dyDescent="0.5">
      <c r="B103" s="284" t="s">
        <v>233</v>
      </c>
      <c r="C103" s="285"/>
      <c r="D103" s="285"/>
      <c r="E103" s="285"/>
      <c r="F103" s="286"/>
      <c r="G103" s="244" t="s">
        <v>496</v>
      </c>
      <c r="H103" s="245"/>
      <c r="M103" s="46"/>
      <c r="N103" s="46"/>
      <c r="O103" s="46"/>
      <c r="P103" s="46"/>
      <c r="Q103" s="46"/>
      <c r="R103" s="46"/>
      <c r="S103" s="46"/>
      <c r="T103" s="46"/>
      <c r="U103" s="46"/>
      <c r="V103" s="46"/>
      <c r="W103" s="46"/>
    </row>
    <row r="104" spans="2:27" ht="27" customHeight="1" x14ac:dyDescent="0.45">
      <c r="B104" s="115" t="str">
        <f>IF(G103="実施を選択","",IF(G103="はい","※「はい」を選択した場合は、【３．空調設備の新旧仕様入力表】に必要事項を入力してください。","※「いいえ」を選択した場合は、【３．空調設備の新旧仕様表】の入力は不要です。"))</f>
        <v/>
      </c>
      <c r="C104" s="29"/>
      <c r="M104" s="46"/>
      <c r="N104" s="46"/>
      <c r="O104" s="46"/>
      <c r="P104" s="46"/>
      <c r="Q104" s="46"/>
      <c r="R104" s="46"/>
      <c r="S104" s="46"/>
      <c r="T104" s="46"/>
      <c r="U104" s="46"/>
      <c r="V104" s="46"/>
      <c r="W104" s="46"/>
    </row>
    <row r="105" spans="2:27" ht="8.25" customHeight="1" x14ac:dyDescent="0.45">
      <c r="B105" s="115"/>
      <c r="C105" s="29"/>
      <c r="M105" s="46"/>
      <c r="N105" s="46"/>
      <c r="O105" s="46"/>
      <c r="P105" s="46"/>
      <c r="Q105" s="46"/>
      <c r="R105" s="46"/>
      <c r="S105" s="46"/>
      <c r="T105" s="46"/>
      <c r="U105" s="46"/>
      <c r="V105" s="46"/>
      <c r="W105" s="46"/>
    </row>
    <row r="106" spans="2:27" ht="42.75" customHeight="1" x14ac:dyDescent="0.45">
      <c r="B106" s="28" t="s">
        <v>215</v>
      </c>
      <c r="C106" s="29"/>
      <c r="F106" s="290" t="s">
        <v>276</v>
      </c>
      <c r="G106" s="291"/>
      <c r="H106" s="292" t="str">
        <f>IF($G$103="実施を選択","実施確認：空調設備の更新＜はい＞又は、＜いいえ＞を選択してください。",IF(OR($G$103="いいえ",$G$103="実施を選択"),"",IF(AND(G103="はい",AE127=0),"旧設備について入力してください。",IF(OR(X125="入力確認",X126="入力確認",X127="入力確認"),"旧設備の入力をご確認ください。",IF(AND(G103="はい",AE148=0),"新設備について入力してください。",IF(OR(X146="入力確認",X147="入力確認",X148="入力確認"),"新設備の入力をご確認ください。",IF(AND(G103&lt;&gt;"はい",X120-X141&lt;&gt;0),"実施確認：空調設備の更新＜はい＞を選択してください。",IF(AND(G103="はい",X120-X141&gt;0),"省エネ設備更新の要件を満たしています。","省エネ設備更新の要件を満たしていないため、申請できません。"))))))))</f>
        <v>実施確認：空調設備の更新＜はい＞又は、＜いいえ＞を選択してください。</v>
      </c>
      <c r="I106" s="293"/>
      <c r="J106" s="293"/>
      <c r="K106" s="293"/>
      <c r="L106" s="293"/>
      <c r="M106" s="293"/>
      <c r="N106" s="293"/>
      <c r="O106" s="294"/>
      <c r="P106" s="46"/>
      <c r="Q106" s="46"/>
      <c r="R106" s="46"/>
      <c r="S106" s="46"/>
      <c r="T106" s="46"/>
      <c r="U106" s="46"/>
      <c r="V106" s="46"/>
      <c r="W106" s="46"/>
    </row>
    <row r="107" spans="2:27" ht="9" customHeight="1" x14ac:dyDescent="0.45">
      <c r="B107" s="28"/>
      <c r="C107" s="29"/>
      <c r="M107" s="46"/>
      <c r="N107" s="46"/>
      <c r="O107" s="46"/>
      <c r="P107" s="46"/>
      <c r="Q107" s="46"/>
      <c r="R107" s="46"/>
      <c r="S107" s="46"/>
      <c r="T107" s="46"/>
      <c r="U107" s="46"/>
      <c r="V107" s="46"/>
      <c r="W107" s="46"/>
    </row>
    <row r="108" spans="2:27" ht="42" customHeight="1" thickBot="1" x14ac:dyDescent="0.5">
      <c r="B108" s="200" t="s">
        <v>460</v>
      </c>
      <c r="C108" s="30"/>
    </row>
    <row r="109" spans="2:27" ht="27" customHeight="1" thickBot="1" x14ac:dyDescent="0.5">
      <c r="B109" s="260" t="s">
        <v>133</v>
      </c>
      <c r="C109" s="260"/>
      <c r="D109" s="31" t="s">
        <v>316</v>
      </c>
      <c r="E109" s="31" t="s">
        <v>317</v>
      </c>
      <c r="F109" s="31" t="s">
        <v>318</v>
      </c>
      <c r="G109" s="31" t="s">
        <v>319</v>
      </c>
      <c r="H109" s="31" t="s">
        <v>320</v>
      </c>
      <c r="I109" s="31" t="s">
        <v>321</v>
      </c>
      <c r="J109" s="31" t="s">
        <v>322</v>
      </c>
      <c r="K109" s="31" t="s">
        <v>323</v>
      </c>
      <c r="L109" s="31" t="s">
        <v>324</v>
      </c>
      <c r="M109" s="31" t="s">
        <v>325</v>
      </c>
      <c r="N109" s="31" t="s">
        <v>381</v>
      </c>
      <c r="O109" s="31" t="s">
        <v>382</v>
      </c>
      <c r="P109" s="31" t="s">
        <v>383</v>
      </c>
      <c r="Q109" s="31" t="s">
        <v>384</v>
      </c>
      <c r="R109" s="31" t="s">
        <v>385</v>
      </c>
      <c r="S109" s="31" t="s">
        <v>386</v>
      </c>
      <c r="T109" s="31" t="s">
        <v>387</v>
      </c>
      <c r="U109" s="31" t="s">
        <v>388</v>
      </c>
      <c r="V109" s="31" t="s">
        <v>389</v>
      </c>
      <c r="W109" s="31" t="s">
        <v>390</v>
      </c>
      <c r="X109" s="40" t="s">
        <v>0</v>
      </c>
      <c r="Z109" s="83" t="s">
        <v>463</v>
      </c>
      <c r="AA109" s="204"/>
    </row>
    <row r="110" spans="2:27" ht="63" customHeight="1" thickBot="1" x14ac:dyDescent="0.5">
      <c r="B110" s="281" t="s">
        <v>294</v>
      </c>
      <c r="C110" s="281"/>
      <c r="D110" s="2"/>
      <c r="E110" s="2"/>
      <c r="F110" s="2"/>
      <c r="G110" s="2"/>
      <c r="H110" s="2"/>
      <c r="I110" s="2"/>
      <c r="J110" s="2"/>
      <c r="K110" s="2"/>
      <c r="L110" s="2"/>
      <c r="M110" s="2"/>
      <c r="N110" s="2"/>
      <c r="O110" s="2"/>
      <c r="P110" s="2"/>
      <c r="Q110" s="2"/>
      <c r="R110" s="2"/>
      <c r="S110" s="2"/>
      <c r="T110" s="2"/>
      <c r="U110" s="2"/>
      <c r="V110" s="2"/>
      <c r="W110" s="2"/>
      <c r="X110" s="33" t="s">
        <v>10</v>
      </c>
      <c r="Z110" s="83" t="s">
        <v>468</v>
      </c>
      <c r="AA110" s="204"/>
    </row>
    <row r="111" spans="2:27" ht="27" customHeight="1" thickBot="1" x14ac:dyDescent="0.5">
      <c r="B111" s="261" t="s">
        <v>3</v>
      </c>
      <c r="C111" s="261"/>
      <c r="D111" s="215"/>
      <c r="E111" s="215"/>
      <c r="F111" s="215"/>
      <c r="G111" s="215"/>
      <c r="H111" s="215"/>
      <c r="I111" s="215"/>
      <c r="J111" s="215"/>
      <c r="K111" s="215"/>
      <c r="L111" s="215"/>
      <c r="M111" s="215"/>
      <c r="N111" s="215"/>
      <c r="O111" s="215"/>
      <c r="P111" s="215"/>
      <c r="Q111" s="215"/>
      <c r="R111" s="215"/>
      <c r="S111" s="215"/>
      <c r="T111" s="215"/>
      <c r="U111" s="215"/>
      <c r="V111" s="215"/>
      <c r="W111" s="215"/>
      <c r="X111" s="183" t="str">
        <f>IF(SUM(D111:W111)=0,"",SUM(D111:W111))</f>
        <v/>
      </c>
      <c r="Z111" s="83"/>
    </row>
    <row r="112" spans="2:27" ht="27" customHeight="1" x14ac:dyDescent="0.45">
      <c r="B112" s="282" t="s">
        <v>16</v>
      </c>
      <c r="C112" s="283"/>
      <c r="D112" s="21"/>
      <c r="E112" s="21"/>
      <c r="F112" s="21"/>
      <c r="G112" s="21"/>
      <c r="H112" s="21"/>
      <c r="I112" s="21"/>
      <c r="J112" s="21"/>
      <c r="K112" s="21"/>
      <c r="L112" s="21"/>
      <c r="M112" s="21"/>
      <c r="N112" s="21"/>
      <c r="O112" s="21"/>
      <c r="P112" s="21"/>
      <c r="Q112" s="21"/>
      <c r="R112" s="21"/>
      <c r="S112" s="21"/>
      <c r="T112" s="21"/>
      <c r="U112" s="21"/>
      <c r="V112" s="21"/>
      <c r="W112" s="21"/>
      <c r="X112" s="42" t="s">
        <v>10</v>
      </c>
      <c r="Z112" s="83" t="s">
        <v>469</v>
      </c>
    </row>
    <row r="113" spans="2:32" ht="27" customHeight="1" x14ac:dyDescent="0.45">
      <c r="B113" s="287" t="s">
        <v>119</v>
      </c>
      <c r="C113" s="288"/>
      <c r="D113" s="21"/>
      <c r="E113" s="21"/>
      <c r="F113" s="21"/>
      <c r="G113" s="21"/>
      <c r="H113" s="21"/>
      <c r="I113" s="21"/>
      <c r="J113" s="21"/>
      <c r="K113" s="21"/>
      <c r="L113" s="21"/>
      <c r="M113" s="21"/>
      <c r="N113" s="21"/>
      <c r="O113" s="21"/>
      <c r="P113" s="21"/>
      <c r="Q113" s="21"/>
      <c r="R113" s="21"/>
      <c r="S113" s="21"/>
      <c r="T113" s="21"/>
      <c r="U113" s="21"/>
      <c r="V113" s="21"/>
      <c r="W113" s="21"/>
      <c r="X113" s="42" t="s">
        <v>10</v>
      </c>
      <c r="Z113" s="83" t="s">
        <v>467</v>
      </c>
    </row>
    <row r="114" spans="2:32" ht="27" customHeight="1" x14ac:dyDescent="0.45">
      <c r="B114" s="256" t="s">
        <v>220</v>
      </c>
      <c r="C114" s="52" t="s">
        <v>7</v>
      </c>
      <c r="D114" s="186"/>
      <c r="E114" s="186"/>
      <c r="F114" s="186"/>
      <c r="G114" s="186"/>
      <c r="H114" s="186"/>
      <c r="I114" s="186"/>
      <c r="J114" s="186"/>
      <c r="K114" s="186"/>
      <c r="L114" s="186"/>
      <c r="M114" s="186"/>
      <c r="N114" s="186"/>
      <c r="O114" s="186"/>
      <c r="P114" s="186"/>
      <c r="Q114" s="186"/>
      <c r="R114" s="186"/>
      <c r="S114" s="186"/>
      <c r="T114" s="186"/>
      <c r="U114" s="186"/>
      <c r="V114" s="186"/>
      <c r="W114" s="186"/>
      <c r="X114" s="42" t="s">
        <v>10</v>
      </c>
      <c r="Z114" s="154"/>
    </row>
    <row r="115" spans="2:32" ht="27" customHeight="1" x14ac:dyDescent="0.45">
      <c r="B115" s="257"/>
      <c r="C115" s="52" t="s">
        <v>8</v>
      </c>
      <c r="D115" s="186"/>
      <c r="E115" s="186"/>
      <c r="F115" s="186"/>
      <c r="G115" s="186"/>
      <c r="H115" s="186"/>
      <c r="I115" s="186"/>
      <c r="J115" s="186"/>
      <c r="K115" s="186"/>
      <c r="L115" s="186"/>
      <c r="M115" s="186"/>
      <c r="N115" s="186"/>
      <c r="O115" s="186"/>
      <c r="P115" s="186"/>
      <c r="Q115" s="186"/>
      <c r="R115" s="186"/>
      <c r="S115" s="186"/>
      <c r="T115" s="186"/>
      <c r="U115" s="186"/>
      <c r="V115" s="186"/>
      <c r="W115" s="186"/>
      <c r="X115" s="37" t="s">
        <v>10</v>
      </c>
      <c r="Z115" s="154"/>
    </row>
    <row r="116" spans="2:32" ht="27" customHeight="1" x14ac:dyDescent="0.45">
      <c r="B116" s="256" t="s">
        <v>221</v>
      </c>
      <c r="C116" s="52" t="s">
        <v>7</v>
      </c>
      <c r="D116" s="185"/>
      <c r="E116" s="185"/>
      <c r="F116" s="185"/>
      <c r="G116" s="185"/>
      <c r="H116" s="185"/>
      <c r="I116" s="185"/>
      <c r="J116" s="185"/>
      <c r="K116" s="185"/>
      <c r="L116" s="185"/>
      <c r="M116" s="185"/>
      <c r="N116" s="185"/>
      <c r="O116" s="185"/>
      <c r="P116" s="185"/>
      <c r="Q116" s="185"/>
      <c r="R116" s="185"/>
      <c r="S116" s="185"/>
      <c r="T116" s="185"/>
      <c r="U116" s="185"/>
      <c r="V116" s="185"/>
      <c r="W116" s="185"/>
      <c r="X116" s="33" t="s">
        <v>10</v>
      </c>
      <c r="Z116" s="154"/>
    </row>
    <row r="117" spans="2:32" ht="27" customHeight="1" x14ac:dyDescent="0.45">
      <c r="B117" s="258"/>
      <c r="C117" s="52" t="s">
        <v>8</v>
      </c>
      <c r="D117" s="185"/>
      <c r="E117" s="185"/>
      <c r="F117" s="185"/>
      <c r="G117" s="185"/>
      <c r="H117" s="185"/>
      <c r="I117" s="185"/>
      <c r="J117" s="185"/>
      <c r="K117" s="185"/>
      <c r="L117" s="185"/>
      <c r="M117" s="185"/>
      <c r="N117" s="185"/>
      <c r="O117" s="185"/>
      <c r="P117" s="185"/>
      <c r="Q117" s="185"/>
      <c r="R117" s="185"/>
      <c r="S117" s="185"/>
      <c r="T117" s="185"/>
      <c r="U117" s="185"/>
      <c r="V117" s="185"/>
      <c r="W117" s="185"/>
      <c r="X117" s="37" t="s">
        <v>10</v>
      </c>
      <c r="Z117" s="154"/>
    </row>
    <row r="118" spans="2:32" ht="27" customHeight="1" thickBot="1" x14ac:dyDescent="0.5">
      <c r="B118" s="257"/>
      <c r="C118" s="52" t="s">
        <v>99</v>
      </c>
      <c r="D118" s="22"/>
      <c r="E118" s="22"/>
      <c r="F118" s="22"/>
      <c r="G118" s="22"/>
      <c r="H118" s="22"/>
      <c r="I118" s="22"/>
      <c r="J118" s="22"/>
      <c r="K118" s="22"/>
      <c r="L118" s="22"/>
      <c r="M118" s="22"/>
      <c r="N118" s="22"/>
      <c r="O118" s="22"/>
      <c r="P118" s="22"/>
      <c r="Q118" s="22"/>
      <c r="R118" s="22"/>
      <c r="S118" s="22"/>
      <c r="T118" s="22"/>
      <c r="U118" s="22"/>
      <c r="V118" s="22"/>
      <c r="W118" s="22"/>
      <c r="X118" s="37" t="s">
        <v>10</v>
      </c>
      <c r="Z118" s="83" t="s">
        <v>470</v>
      </c>
    </row>
    <row r="119" spans="2:32" ht="45.75" customHeight="1" x14ac:dyDescent="0.45">
      <c r="B119" s="250" t="s">
        <v>223</v>
      </c>
      <c r="C119" s="253"/>
      <c r="D119" s="199" t="str">
        <f>IF(計算!$O31=1,計算!$R31,IF(計算!$O31=2,計算!$U31,IF(計算!$O31=3,計算!$X31,IF(計算!$O31=4,計算!$AA31,IF(計算!$O31=5,計算!$AD31,"")))))</f>
        <v/>
      </c>
      <c r="E119" s="195" t="str">
        <f>IF(計算!$O32=1,計算!$R32,IF(計算!$O32=2,計算!$U32,IF(計算!$O32=3,計算!$X32,IF(計算!$O32=4,計算!$AA32,IF(計算!$O32=5,計算!$AD32,"")))))</f>
        <v/>
      </c>
      <c r="F119" s="195" t="str">
        <f>IF(計算!$O33=1,計算!$R33,IF(計算!$O33=2,計算!$U33,IF(計算!$O33=3,計算!$X33,IF(計算!$O33=4,計算!$AA33,IF(計算!$O33=5,計算!$AD33,"")))))</f>
        <v/>
      </c>
      <c r="G119" s="195" t="str">
        <f>IF(計算!$O34=1,計算!$R34,IF(計算!$O34=2,計算!$U34,IF(計算!$O34=3,計算!$X34,IF(計算!$O34=4,計算!$AA34,IF(計算!$O34=5,計算!$AD34,"")))))</f>
        <v/>
      </c>
      <c r="H119" s="195" t="str">
        <f>IF(計算!$O35=1,計算!$R35,IF(計算!$O35=2,計算!$U35,IF(計算!$O35=3,計算!$X35,IF(計算!$O35=4,計算!$AA35,IF(計算!$O35=5,計算!$AD35,"")))))</f>
        <v/>
      </c>
      <c r="I119" s="195" t="str">
        <f>IF(計算!$O36=1,計算!$R36,IF(計算!$O36=2,計算!$U36,IF(計算!$O36=3,計算!$X36,IF(計算!$O36=4,計算!$AA36,IF(計算!$O36=5,計算!$AD36,"")))))</f>
        <v/>
      </c>
      <c r="J119" s="195" t="str">
        <f>IF(計算!$O37=1,計算!$R37,IF(計算!$O37=2,計算!$U37,IF(計算!$O37=3,計算!$X37,IF(計算!$O37=4,計算!$AA37,IF(計算!$O37=5,計算!$AD37,"")))))</f>
        <v/>
      </c>
      <c r="K119" s="195" t="str">
        <f>IF(計算!$O38=1,計算!$R38,IF(計算!$O38=2,計算!$U38,IF(計算!$O38=3,計算!$X38,IF(計算!$O38=4,計算!$AA38,IF(計算!$O38=5,計算!$AD38,"")))))</f>
        <v/>
      </c>
      <c r="L119" s="195" t="str">
        <f>IF(計算!$O39=1,計算!$R39,IF(計算!$O39=2,計算!$U39,IF(計算!$O39=3,計算!$X39,IF(計算!$O39=4,計算!$AA39,IF(計算!$O39=5,計算!$AD39,"")))))</f>
        <v/>
      </c>
      <c r="M119" s="195" t="str">
        <f>IF(計算!$O40=1,計算!$R40,IF(計算!$O40=2,計算!$U40,IF(計算!$O40=3,計算!$X40,IF(計算!$O40=4,計算!$AA40,IF(計算!$O40=5,計算!$AD40,"")))))</f>
        <v/>
      </c>
      <c r="N119" s="195" t="str">
        <f>IF(計算!$O41=1,計算!$R41,IF(計算!$O41=2,計算!$U41,IF(計算!$O41=3,計算!$X41,IF(計算!$O41=4,計算!$AA41,IF(計算!$O41=5,計算!$AD41,"")))))</f>
        <v/>
      </c>
      <c r="O119" s="195" t="str">
        <f>IF(計算!$O42=1,計算!$R42,IF(計算!$O42=2,計算!$U42,IF(計算!$O42=3,計算!$X42,IF(計算!$O42=4,計算!$AA42,IF(計算!$O42=5,計算!$AD42,"")))))</f>
        <v/>
      </c>
      <c r="P119" s="195" t="str">
        <f>IF(計算!$O43=1,計算!$R43,IF(計算!$O43=2,計算!$U43,IF(計算!$O43=3,計算!$X43,IF(計算!$O43=4,計算!$AA43,IF(計算!$O43=5,計算!$AD43,"")))))</f>
        <v/>
      </c>
      <c r="Q119" s="195" t="str">
        <f>IF(計算!$O44=1,計算!$R44,IF(計算!$O44=2,計算!$U44,IF(計算!$O44=3,計算!$X44,IF(計算!$O44=4,計算!$AA44,IF(計算!$O44=5,計算!$AD44,"")))))</f>
        <v/>
      </c>
      <c r="R119" s="195" t="str">
        <f>IF(計算!$O45=1,計算!$R45,IF(計算!$O45=2,計算!$U45,IF(計算!$O45=3,計算!$X45,IF(計算!$O45=4,計算!$AA45,IF(計算!$O45=5,計算!$AD45,"")))))</f>
        <v/>
      </c>
      <c r="S119" s="195" t="str">
        <f>IF(計算!$O46=1,計算!$R46,IF(計算!$O46=2,計算!$U46,IF(計算!$O46=3,計算!$X46,IF(計算!$O46=4,計算!$AA46,IF(計算!$O46=5,計算!$AD46,"")))))</f>
        <v/>
      </c>
      <c r="T119" s="195" t="str">
        <f>IF(計算!$O47=1,計算!$R47,IF(計算!$O47=2,計算!$U47,IF(計算!$O47=3,計算!$X47,IF(計算!$O47=4,計算!$AA47,IF(計算!$O47=5,計算!$AD47,"")))))</f>
        <v/>
      </c>
      <c r="U119" s="195" t="str">
        <f>IF(計算!$O48=1,計算!$R48,IF(計算!$O48=2,計算!$U48,IF(計算!$O48=3,計算!$X48,IF(計算!$O48=4,計算!$AA48,IF(計算!$O48=5,計算!$AD48,"")))))</f>
        <v/>
      </c>
      <c r="V119" s="195" t="str">
        <f>IF(計算!$O49=1,計算!$R49,IF(計算!$O49=2,計算!$U49,IF(計算!$O49=3,計算!$X49,IF(計算!$O49=4,計算!$AA49,IF(計算!$O49=5,計算!$AD49,"")))))</f>
        <v/>
      </c>
      <c r="W119" s="195" t="str">
        <f>IF(計算!$O50=1,計算!$R50,IF(計算!$O50=2,計算!$U50,IF(計算!$O50=3,計算!$X50,IF(計算!$O50=4,計算!$AA50,IF(計算!$O50=5,計算!$AD50,"")))))</f>
        <v/>
      </c>
      <c r="X119" s="196" t="str">
        <f>IF(SUM(D119:W119)=0,"",SUM(D119:W119))</f>
        <v/>
      </c>
    </row>
    <row r="120" spans="2:32" ht="27" customHeight="1" thickBot="1" x14ac:dyDescent="0.5">
      <c r="B120" s="252" t="s">
        <v>224</v>
      </c>
      <c r="C120" s="253"/>
      <c r="D120" s="197" t="str">
        <f>IF(D119="","",ROUND(D119*0.0258,2))</f>
        <v/>
      </c>
      <c r="E120" s="197" t="str">
        <f t="shared" ref="E120:M120" si="29">IF(E119="","",ROUND(E119*0.0258,2))</f>
        <v/>
      </c>
      <c r="F120" s="197" t="str">
        <f t="shared" si="29"/>
        <v/>
      </c>
      <c r="G120" s="197" t="str">
        <f t="shared" si="29"/>
        <v/>
      </c>
      <c r="H120" s="197" t="str">
        <f t="shared" si="29"/>
        <v/>
      </c>
      <c r="I120" s="197" t="str">
        <f t="shared" si="29"/>
        <v/>
      </c>
      <c r="J120" s="197" t="str">
        <f t="shared" si="29"/>
        <v/>
      </c>
      <c r="K120" s="197" t="str">
        <f t="shared" si="29"/>
        <v/>
      </c>
      <c r="L120" s="197" t="str">
        <f t="shared" si="29"/>
        <v/>
      </c>
      <c r="M120" s="197" t="str">
        <f t="shared" si="29"/>
        <v/>
      </c>
      <c r="N120" s="197" t="str">
        <f t="shared" ref="N120:V120" si="30">IF(N119="","",ROUND(N119*0.0258,2))</f>
        <v/>
      </c>
      <c r="O120" s="197" t="str">
        <f t="shared" si="30"/>
        <v/>
      </c>
      <c r="P120" s="197" t="str">
        <f t="shared" si="30"/>
        <v/>
      </c>
      <c r="Q120" s="197" t="str">
        <f t="shared" si="30"/>
        <v/>
      </c>
      <c r="R120" s="197" t="str">
        <f t="shared" si="30"/>
        <v/>
      </c>
      <c r="S120" s="197" t="str">
        <f t="shared" si="30"/>
        <v/>
      </c>
      <c r="T120" s="197" t="str">
        <f t="shared" si="30"/>
        <v/>
      </c>
      <c r="U120" s="197" t="str">
        <f t="shared" si="30"/>
        <v/>
      </c>
      <c r="V120" s="197" t="str">
        <f t="shared" si="30"/>
        <v/>
      </c>
      <c r="W120" s="197" t="str">
        <f t="shared" ref="W120" si="31">IF(W119="","",ROUND(W119*0.0258,2))</f>
        <v/>
      </c>
      <c r="X120" s="198" t="str">
        <f>IF(SUM(D120:W120)=0,"",SUM(D120:W120))</f>
        <v/>
      </c>
    </row>
    <row r="121" spans="2:32" ht="27" customHeight="1" x14ac:dyDescent="0.45">
      <c r="B121" s="246" t="s">
        <v>219</v>
      </c>
      <c r="C121" s="96" t="s">
        <v>217</v>
      </c>
      <c r="D121" s="187"/>
      <c r="E121" s="187"/>
      <c r="F121" s="187"/>
      <c r="G121" s="187"/>
      <c r="H121" s="187"/>
      <c r="I121" s="187"/>
      <c r="J121" s="187"/>
      <c r="K121" s="187"/>
      <c r="L121" s="187"/>
      <c r="M121" s="187"/>
      <c r="N121" s="187"/>
      <c r="O121" s="187"/>
      <c r="P121" s="187"/>
      <c r="Q121" s="187"/>
      <c r="R121" s="187"/>
      <c r="S121" s="187"/>
      <c r="T121" s="187"/>
      <c r="U121" s="187"/>
      <c r="V121" s="187"/>
      <c r="W121" s="187"/>
      <c r="X121" s="33" t="s">
        <v>10</v>
      </c>
    </row>
    <row r="122" spans="2:32" ht="27" customHeight="1" x14ac:dyDescent="0.45">
      <c r="B122" s="247"/>
      <c r="C122" s="96" t="s">
        <v>218</v>
      </c>
      <c r="D122" s="187"/>
      <c r="E122" s="187"/>
      <c r="F122" s="187"/>
      <c r="G122" s="187"/>
      <c r="H122" s="187"/>
      <c r="I122" s="187"/>
      <c r="J122" s="187"/>
      <c r="K122" s="187"/>
      <c r="L122" s="187"/>
      <c r="M122" s="187"/>
      <c r="N122" s="187"/>
      <c r="O122" s="187"/>
      <c r="P122" s="187"/>
      <c r="Q122" s="187"/>
      <c r="R122" s="187"/>
      <c r="S122" s="187"/>
      <c r="T122" s="187"/>
      <c r="U122" s="187"/>
      <c r="V122" s="187"/>
      <c r="W122" s="187"/>
      <c r="X122" s="37" t="s">
        <v>10</v>
      </c>
    </row>
    <row r="123" spans="2:32" hidden="1" x14ac:dyDescent="0.45">
      <c r="B123" s="137" t="s">
        <v>303</v>
      </c>
      <c r="C123" s="137"/>
      <c r="D123" s="138">
        <f t="shared" ref="D123:M123" si="32">IF(D$110="",9,IF(OR(D$110="電気式パッケージ形空調機",D$110="ルームエアコン"),1,IF(AND(D$110="ガスヒートポンプ式空調機",D$112="都市ガス",D$118="kW"),2,IF(AND(D$110="ガスヒートポンプ式空調機",D$112="都市ガス",D$118="ｍ3N/h"),3,IF(AND(D$110="ガスヒートポンプ式空調機",D$112="LPG",D$118="kW"),4,IF(AND(D$110="ガスヒートポンプ式空調機",D$112="LPG",D$118="kg/h"),5,0))))))</f>
        <v>9</v>
      </c>
      <c r="E123" s="138">
        <f t="shared" si="32"/>
        <v>9</v>
      </c>
      <c r="F123" s="138">
        <f t="shared" si="32"/>
        <v>9</v>
      </c>
      <c r="G123" s="138">
        <f t="shared" si="32"/>
        <v>9</v>
      </c>
      <c r="H123" s="138">
        <f t="shared" si="32"/>
        <v>9</v>
      </c>
      <c r="I123" s="138">
        <f t="shared" si="32"/>
        <v>9</v>
      </c>
      <c r="J123" s="138">
        <f t="shared" si="32"/>
        <v>9</v>
      </c>
      <c r="K123" s="138">
        <f t="shared" si="32"/>
        <v>9</v>
      </c>
      <c r="L123" s="138">
        <f t="shared" si="32"/>
        <v>9</v>
      </c>
      <c r="M123" s="138">
        <f t="shared" si="32"/>
        <v>9</v>
      </c>
      <c r="N123" s="138">
        <f t="shared" ref="N123:W123" si="33">IF(N$110="",9,IF(OR(N$110="電気式パッケージ形空調機",N$110="ルームエアコン"),1,IF(AND(N$110="ガスヒートポンプ式空調機",N$112="都市ガス",N$118="kW"),2,IF(AND(N$110="ガスヒートポンプ式空調機",N$112="都市ガス",N$118="ｍ3N/h"),3,IF(AND(N$110="ガスヒートポンプ式空調機",N$112="LPG",N$118="kW"),4,IF(AND(N$110="ガスヒートポンプ式空調機",N$112="LPG",N$118="kg/h"),5,0))))))</f>
        <v>9</v>
      </c>
      <c r="O123" s="138">
        <f>IF(O$110="",9,IF(OR(O$110="電気式パッケージ形空調機",O$110="ルームエアコン"),1,IF(AND(O$110="ガスヒートポンプ式空調機",O$112="都市ガス",O$118="kW"),2,IF(AND(O$110="ガスヒートポンプ式空調機",O$112="都市ガス",O$118="ｍ3N/h"),3,IF(AND(O$110="ガスヒートポンプ式空調機",O$112="LPG",O$118="kW"),4,IF(AND(O$110="ガスヒートポンプ式空調機",O$112="LPG",O$118="kg/h"),5,0))))))</f>
        <v>9</v>
      </c>
      <c r="P123" s="138">
        <f t="shared" si="33"/>
        <v>9</v>
      </c>
      <c r="Q123" s="138">
        <f t="shared" si="33"/>
        <v>9</v>
      </c>
      <c r="R123" s="138">
        <f t="shared" si="33"/>
        <v>9</v>
      </c>
      <c r="S123" s="138">
        <f t="shared" si="33"/>
        <v>9</v>
      </c>
      <c r="T123" s="138">
        <f t="shared" si="33"/>
        <v>9</v>
      </c>
      <c r="U123" s="138">
        <f t="shared" si="33"/>
        <v>9</v>
      </c>
      <c r="V123" s="138">
        <f t="shared" si="33"/>
        <v>9</v>
      </c>
      <c r="W123" s="138">
        <f t="shared" si="33"/>
        <v>9</v>
      </c>
      <c r="X123" s="114"/>
      <c r="Y123" s="139">
        <f>COUNTIF($D123:$W123,0)</f>
        <v>0</v>
      </c>
      <c r="Z123" s="205">
        <f>COUNTIF($D123:$W123,1)</f>
        <v>0</v>
      </c>
      <c r="AA123" s="205">
        <f>COUNTIF($D123:$W123,2)</f>
        <v>0</v>
      </c>
      <c r="AB123" s="205">
        <f>COUNTIF($D123:$W123,3)</f>
        <v>0</v>
      </c>
      <c r="AC123" s="139">
        <f>COUNTIF($D123:$W123,4)</f>
        <v>0</v>
      </c>
      <c r="AD123" s="139">
        <f>COUNTIF($D123:$W123,5)</f>
        <v>0</v>
      </c>
      <c r="AE123" s="139"/>
      <c r="AF123" s="124">
        <v>119</v>
      </c>
    </row>
    <row r="124" spans="2:32" hidden="1" x14ac:dyDescent="0.45">
      <c r="B124" s="137" t="s">
        <v>302</v>
      </c>
      <c r="C124" s="137"/>
      <c r="D124" s="138">
        <f>IF(AND(D$112="",D$118=""),9,IF(AND(D$112="電気",D$118="kW"),1,IF(AND(D$112="都市ガス",D$118="kW"),2,IF(AND(D$112="都市ガス",D$118="ｍ3N/h"),3,IF(AND(D$112="LPG",D$118="kW"),4,IF(AND(D$112="LPG",D$118="kg/h"),5,0))))))</f>
        <v>9</v>
      </c>
      <c r="E124" s="138">
        <f t="shared" ref="E124:W124" si="34">IF(AND(E$112="",E$118=""),9,IF(AND(E$112="電気",E$118="kW"),1,IF(AND(E$112="都市ガス",E$118="kW"),2,IF(AND(E$112="都市ガス",E$118="ｍ3N/h"),3,IF(AND(E$112="LPG",E$118="kW"),4,IF(AND(E$112="LPG",E$118="kg/h"),5,0))))))</f>
        <v>9</v>
      </c>
      <c r="F124" s="138">
        <f t="shared" si="34"/>
        <v>9</v>
      </c>
      <c r="G124" s="138">
        <f t="shared" si="34"/>
        <v>9</v>
      </c>
      <c r="H124" s="138">
        <f t="shared" si="34"/>
        <v>9</v>
      </c>
      <c r="I124" s="138">
        <f t="shared" si="34"/>
        <v>9</v>
      </c>
      <c r="J124" s="138">
        <f t="shared" si="34"/>
        <v>9</v>
      </c>
      <c r="K124" s="138">
        <f t="shared" si="34"/>
        <v>9</v>
      </c>
      <c r="L124" s="138">
        <f t="shared" si="34"/>
        <v>9</v>
      </c>
      <c r="M124" s="138">
        <f t="shared" si="34"/>
        <v>9</v>
      </c>
      <c r="N124" s="138">
        <f t="shared" si="34"/>
        <v>9</v>
      </c>
      <c r="O124" s="138">
        <f>IF(AND(O$112="",O$118=""),9,IF(AND(O$112="電気",O$118="kW"),1,IF(AND(O$112="都市ガス",O$118="kW"),2,IF(AND(O$112="都市ガス",O$118="ｍ3N/h"),3,IF(AND(O$112="LPG",O$118="kW"),4,IF(AND(O$112="LPG",O$118="kg/h"),5,0))))))</f>
        <v>9</v>
      </c>
      <c r="P124" s="138">
        <f t="shared" si="34"/>
        <v>9</v>
      </c>
      <c r="Q124" s="138">
        <f t="shared" si="34"/>
        <v>9</v>
      </c>
      <c r="R124" s="138">
        <f t="shared" si="34"/>
        <v>9</v>
      </c>
      <c r="S124" s="138">
        <f t="shared" si="34"/>
        <v>9</v>
      </c>
      <c r="T124" s="138">
        <f t="shared" si="34"/>
        <v>9</v>
      </c>
      <c r="U124" s="138">
        <f t="shared" si="34"/>
        <v>9</v>
      </c>
      <c r="V124" s="138">
        <f t="shared" si="34"/>
        <v>9</v>
      </c>
      <c r="W124" s="138">
        <f t="shared" si="34"/>
        <v>9</v>
      </c>
      <c r="X124" s="114"/>
      <c r="Y124" s="139">
        <f>COUNTIF($D124:$W124,0)</f>
        <v>0</v>
      </c>
      <c r="Z124" s="205">
        <f>COUNTIF($D124:$W124,1)</f>
        <v>0</v>
      </c>
      <c r="AA124" s="205">
        <f>COUNTIF($D124:$W124,2)</f>
        <v>0</v>
      </c>
      <c r="AB124" s="205">
        <f>COUNTIF($D124:$W124,3)</f>
        <v>0</v>
      </c>
      <c r="AC124" s="139">
        <f>COUNTIF($D124:$W124,4)</f>
        <v>0</v>
      </c>
      <c r="AD124" s="139">
        <f>COUNTIF($D124:$W124,5)</f>
        <v>0</v>
      </c>
      <c r="AE124" s="139"/>
      <c r="AF124" s="124">
        <v>120</v>
      </c>
    </row>
    <row r="125" spans="2:32" hidden="1" x14ac:dyDescent="0.45">
      <c r="B125" s="140" t="s">
        <v>299</v>
      </c>
      <c r="C125" s="140"/>
      <c r="D125" s="141">
        <f>IF(OR(AND(D123=0,D124=0),D123&lt;&gt;D124),1,IF(AND(D123=9,D124=9),2,IF(D123=D124,0,"")))</f>
        <v>2</v>
      </c>
      <c r="E125" s="141">
        <f t="shared" ref="E125:M125" si="35">IF(OR(AND(E123=0,E124=0),E123&lt;&gt;E124),1,IF(AND(E123=9,E124=9),2,IF(E123=E124,0,"")))</f>
        <v>2</v>
      </c>
      <c r="F125" s="141">
        <f t="shared" si="35"/>
        <v>2</v>
      </c>
      <c r="G125" s="141">
        <f t="shared" si="35"/>
        <v>2</v>
      </c>
      <c r="H125" s="141">
        <f t="shared" si="35"/>
        <v>2</v>
      </c>
      <c r="I125" s="141">
        <f t="shared" si="35"/>
        <v>2</v>
      </c>
      <c r="J125" s="141">
        <f t="shared" si="35"/>
        <v>2</v>
      </c>
      <c r="K125" s="141">
        <f t="shared" si="35"/>
        <v>2</v>
      </c>
      <c r="L125" s="141">
        <f t="shared" si="35"/>
        <v>2</v>
      </c>
      <c r="M125" s="141">
        <f t="shared" si="35"/>
        <v>2</v>
      </c>
      <c r="N125" s="141">
        <f t="shared" ref="N125:V125" si="36">IF(OR(AND(N123=0,N124=0),N123&lt;&gt;N124),1,IF(AND(N123=9,N124=9),2,IF(N123=N124,0,"")))</f>
        <v>2</v>
      </c>
      <c r="O125" s="141">
        <f>IF(OR(AND(O123=0,O124=0),O123&lt;&gt;O124),1,IF(AND(O123=9,O124=9),2,IF(O123=O124,0,"")))</f>
        <v>2</v>
      </c>
      <c r="P125" s="141">
        <f t="shared" si="36"/>
        <v>2</v>
      </c>
      <c r="Q125" s="141">
        <f t="shared" si="36"/>
        <v>2</v>
      </c>
      <c r="R125" s="141">
        <f t="shared" si="36"/>
        <v>2</v>
      </c>
      <c r="S125" s="141">
        <f t="shared" si="36"/>
        <v>2</v>
      </c>
      <c r="T125" s="141">
        <f t="shared" si="36"/>
        <v>2</v>
      </c>
      <c r="U125" s="141">
        <f t="shared" si="36"/>
        <v>2</v>
      </c>
      <c r="V125" s="141">
        <f t="shared" si="36"/>
        <v>2</v>
      </c>
      <c r="W125" s="141">
        <f>IF(OR(AND(W123=0,W124=0),W123&lt;&gt;W124),1,IF(AND(W123=9,W124=9),2,IF(W123=W124,0,"")))</f>
        <v>2</v>
      </c>
      <c r="X125" s="114" t="str">
        <f>IF(Z125&gt;0,"入力確認",IF(AE127=Y125,"適合","不適合"))</f>
        <v>適合</v>
      </c>
      <c r="Y125" s="139">
        <f>COUNTIF($D125:$W125,0)</f>
        <v>0</v>
      </c>
      <c r="Z125" s="205">
        <f>COUNTIF($D125:$W125,1)</f>
        <v>0</v>
      </c>
      <c r="AA125" s="205">
        <f>COUNTIF($D125:$W125,2)</f>
        <v>20</v>
      </c>
      <c r="AB125" s="205"/>
      <c r="AC125" s="139"/>
      <c r="AD125" s="139"/>
      <c r="AE125" s="139"/>
      <c r="AF125" s="124">
        <v>121</v>
      </c>
    </row>
    <row r="126" spans="2:32" hidden="1" x14ac:dyDescent="0.45">
      <c r="B126" s="193" t="s">
        <v>458</v>
      </c>
      <c r="C126" s="193"/>
      <c r="D126" s="194">
        <f>IF(OR(D116&lt;0,D117&lt;0),1,IF(OR(D116&gt;0,D117&gt;0),0,2))</f>
        <v>2</v>
      </c>
      <c r="E126" s="194">
        <f t="shared" ref="E126:N126" si="37">IF(OR(E116&lt;0,E117&lt;0),1,IF(OR(E116&gt;0,E117&gt;0),0,2))</f>
        <v>2</v>
      </c>
      <c r="F126" s="194">
        <f t="shared" si="37"/>
        <v>2</v>
      </c>
      <c r="G126" s="194">
        <f t="shared" si="37"/>
        <v>2</v>
      </c>
      <c r="H126" s="194">
        <f t="shared" si="37"/>
        <v>2</v>
      </c>
      <c r="I126" s="194">
        <f t="shared" si="37"/>
        <v>2</v>
      </c>
      <c r="J126" s="194">
        <f t="shared" si="37"/>
        <v>2</v>
      </c>
      <c r="K126" s="194">
        <f t="shared" si="37"/>
        <v>2</v>
      </c>
      <c r="L126" s="194">
        <f t="shared" si="37"/>
        <v>2</v>
      </c>
      <c r="M126" s="194">
        <f t="shared" si="37"/>
        <v>2</v>
      </c>
      <c r="N126" s="194">
        <f t="shared" si="37"/>
        <v>2</v>
      </c>
      <c r="O126" s="194">
        <f>IF(OR(O116&lt;0,O117&lt;0),1,IF(OR(O116&gt;0,O117&gt;0),0,2))</f>
        <v>2</v>
      </c>
      <c r="P126" s="194">
        <f t="shared" ref="P126:W126" si="38">IF(OR(P116&lt;0,P117&lt;0),1,IF(OR(P116&gt;0,P117&gt;0),0,2))</f>
        <v>2</v>
      </c>
      <c r="Q126" s="194">
        <f t="shared" si="38"/>
        <v>2</v>
      </c>
      <c r="R126" s="194">
        <f t="shared" si="38"/>
        <v>2</v>
      </c>
      <c r="S126" s="194">
        <f t="shared" si="38"/>
        <v>2</v>
      </c>
      <c r="T126" s="194">
        <f t="shared" si="38"/>
        <v>2</v>
      </c>
      <c r="U126" s="194">
        <f t="shared" si="38"/>
        <v>2</v>
      </c>
      <c r="V126" s="194">
        <f t="shared" si="38"/>
        <v>2</v>
      </c>
      <c r="W126" s="194">
        <f t="shared" si="38"/>
        <v>2</v>
      </c>
      <c r="X126" s="114" t="str">
        <f>IF(Z126&gt;0,"入力確認",IF(AE127=Y126,"適合","不適合"))</f>
        <v>適合</v>
      </c>
      <c r="Y126" s="139">
        <f>COUNTIF($D126:$W126,0)</f>
        <v>0</v>
      </c>
      <c r="Z126" s="205">
        <f>COUNTIF($D126:$W126,1)</f>
        <v>0</v>
      </c>
      <c r="AA126" s="205">
        <f>COUNTIF($D126:$W126,2)</f>
        <v>20</v>
      </c>
      <c r="AB126" s="205"/>
      <c r="AC126" s="139"/>
      <c r="AD126" s="139"/>
      <c r="AE126" s="139"/>
      <c r="AF126" s="124">
        <v>122</v>
      </c>
    </row>
    <row r="127" spans="2:32" hidden="1" x14ac:dyDescent="0.45">
      <c r="B127" s="116" t="s">
        <v>273</v>
      </c>
      <c r="C127" s="114"/>
      <c r="D127" s="114">
        <f t="shared" ref="D127:M127" si="39">IF(AND(D110="",D111="",D112="",D113="",D114="",D115="",D116="",D117="",D118="",D121="",D122=""),2,IF(AND(D110&lt;&gt;"",D111&lt;&gt;"",D112&lt;&gt;"",D113&lt;&gt;"",D114&lt;&gt;"",D115&lt;&gt;"",D116&lt;&gt;"",D117&lt;&gt;"",D118&lt;&gt;"",OR(D121&lt;&gt;"",D122&lt;&gt;"")),0,1))</f>
        <v>2</v>
      </c>
      <c r="E127" s="114">
        <f t="shared" si="39"/>
        <v>2</v>
      </c>
      <c r="F127" s="114">
        <f t="shared" si="39"/>
        <v>2</v>
      </c>
      <c r="G127" s="114">
        <f t="shared" si="39"/>
        <v>2</v>
      </c>
      <c r="H127" s="114">
        <f t="shared" si="39"/>
        <v>2</v>
      </c>
      <c r="I127" s="114">
        <f t="shared" si="39"/>
        <v>2</v>
      </c>
      <c r="J127" s="114">
        <f t="shared" si="39"/>
        <v>2</v>
      </c>
      <c r="K127" s="114">
        <f t="shared" si="39"/>
        <v>2</v>
      </c>
      <c r="L127" s="114">
        <f t="shared" si="39"/>
        <v>2</v>
      </c>
      <c r="M127" s="114">
        <f t="shared" si="39"/>
        <v>2</v>
      </c>
      <c r="N127" s="114">
        <f t="shared" ref="N127:W127" si="40">IF(AND(N110="",N111="",N112="",N113="",N114="",N115="",N116="",N117="",N118="",N121="",N122=""),2,IF(AND(N110&lt;&gt;"",N111&lt;&gt;"",N112&lt;&gt;"",N113&lt;&gt;"",N114&lt;&gt;"",N115&lt;&gt;"",N116&lt;&gt;"",N117&lt;&gt;"",N118&lt;&gt;"",OR(N121&lt;&gt;"",N122&lt;&gt;"")),0,1))</f>
        <v>2</v>
      </c>
      <c r="O127" s="114">
        <f>IF(AND(O110="",O111="",O112="",O113="",O114="",O115="",O116="",O117="",O118="",O121="",O122=""),2,IF(AND(O110&lt;&gt;"",O111&lt;&gt;"",O112&lt;&gt;"",O113&lt;&gt;"",O114&lt;&gt;"",O115&lt;&gt;"",O116&lt;&gt;"",O117&lt;&gt;"",O118&lt;&gt;"",OR(O121&lt;&gt;"",O122&lt;&gt;"")),0,1))</f>
        <v>2</v>
      </c>
      <c r="P127" s="114">
        <f t="shared" si="40"/>
        <v>2</v>
      </c>
      <c r="Q127" s="114">
        <f t="shared" si="40"/>
        <v>2</v>
      </c>
      <c r="R127" s="114">
        <f t="shared" si="40"/>
        <v>2</v>
      </c>
      <c r="S127" s="114">
        <f t="shared" si="40"/>
        <v>2</v>
      </c>
      <c r="T127" s="114">
        <f t="shared" si="40"/>
        <v>2</v>
      </c>
      <c r="U127" s="114">
        <f t="shared" si="40"/>
        <v>2</v>
      </c>
      <c r="V127" s="114">
        <f t="shared" si="40"/>
        <v>2</v>
      </c>
      <c r="W127" s="114">
        <f t="shared" si="40"/>
        <v>2</v>
      </c>
      <c r="X127" s="114" t="str">
        <f>IF(Z127&gt;0,"入力確認",IF(AE127=Y127,"適合","不適合"))</f>
        <v>適合</v>
      </c>
      <c r="Y127" s="139">
        <f>COUNTIF($D127:$W127,0)</f>
        <v>0</v>
      </c>
      <c r="Z127" s="205">
        <f>COUNTIF($D127:$W127,1)</f>
        <v>0</v>
      </c>
      <c r="AA127" s="205">
        <f>COUNTIF($D127:$W127,2)</f>
        <v>20</v>
      </c>
      <c r="AB127" s="205"/>
      <c r="AC127" s="139"/>
      <c r="AD127" s="139"/>
      <c r="AE127" s="192">
        <f>20-COUNTIF($D$110:$W$110,"")</f>
        <v>0</v>
      </c>
      <c r="AF127" s="124">
        <v>123</v>
      </c>
    </row>
    <row r="128" spans="2:32" x14ac:dyDescent="0.45">
      <c r="B128" s="43"/>
      <c r="C128" s="43"/>
      <c r="D128" s="44"/>
      <c r="E128" s="44"/>
      <c r="F128" s="44"/>
      <c r="G128" s="44"/>
      <c r="H128" s="44"/>
      <c r="I128" s="44"/>
      <c r="J128" s="44"/>
      <c r="K128" s="44"/>
      <c r="L128" s="44"/>
      <c r="M128" s="44"/>
      <c r="N128" s="44"/>
      <c r="O128" s="44"/>
      <c r="P128" s="44"/>
      <c r="Q128" s="44"/>
      <c r="R128" s="44"/>
      <c r="S128" s="44"/>
      <c r="T128" s="44"/>
      <c r="U128" s="44"/>
      <c r="V128" s="44"/>
      <c r="W128" s="44"/>
      <c r="X128" s="44"/>
    </row>
    <row r="129" spans="2:32" ht="42" customHeight="1" thickBot="1" x14ac:dyDescent="0.5">
      <c r="B129" s="200" t="s">
        <v>459</v>
      </c>
      <c r="C129" s="30"/>
    </row>
    <row r="130" spans="2:32" ht="27" customHeight="1" thickBot="1" x14ac:dyDescent="0.5">
      <c r="B130" s="280" t="s">
        <v>132</v>
      </c>
      <c r="C130" s="280"/>
      <c r="D130" s="31" t="s">
        <v>326</v>
      </c>
      <c r="E130" s="31" t="s">
        <v>327</v>
      </c>
      <c r="F130" s="31" t="s">
        <v>328</v>
      </c>
      <c r="G130" s="31" t="s">
        <v>329</v>
      </c>
      <c r="H130" s="31" t="s">
        <v>330</v>
      </c>
      <c r="I130" s="31" t="s">
        <v>331</v>
      </c>
      <c r="J130" s="31" t="s">
        <v>332</v>
      </c>
      <c r="K130" s="31" t="s">
        <v>333</v>
      </c>
      <c r="L130" s="31" t="s">
        <v>334</v>
      </c>
      <c r="M130" s="31" t="s">
        <v>335</v>
      </c>
      <c r="N130" s="31" t="s">
        <v>391</v>
      </c>
      <c r="O130" s="31" t="s">
        <v>392</v>
      </c>
      <c r="P130" s="31" t="s">
        <v>393</v>
      </c>
      <c r="Q130" s="31" t="s">
        <v>394</v>
      </c>
      <c r="R130" s="31" t="s">
        <v>395</v>
      </c>
      <c r="S130" s="31" t="s">
        <v>396</v>
      </c>
      <c r="T130" s="31" t="s">
        <v>397</v>
      </c>
      <c r="U130" s="31" t="s">
        <v>398</v>
      </c>
      <c r="V130" s="31" t="s">
        <v>399</v>
      </c>
      <c r="W130" s="31" t="s">
        <v>400</v>
      </c>
      <c r="X130" s="40" t="s">
        <v>0</v>
      </c>
      <c r="Z130" s="83" t="s">
        <v>465</v>
      </c>
    </row>
    <row r="131" spans="2:32" ht="63" customHeight="1" thickBot="1" x14ac:dyDescent="0.5">
      <c r="B131" s="279" t="s">
        <v>294</v>
      </c>
      <c r="C131" s="279"/>
      <c r="D131" s="2"/>
      <c r="E131" s="2"/>
      <c r="F131" s="2"/>
      <c r="G131" s="2"/>
      <c r="H131" s="2"/>
      <c r="I131" s="2"/>
      <c r="J131" s="2"/>
      <c r="K131" s="2"/>
      <c r="L131" s="2"/>
      <c r="M131" s="2"/>
      <c r="N131" s="156"/>
      <c r="O131" s="156"/>
      <c r="P131" s="156"/>
      <c r="Q131" s="156"/>
      <c r="R131" s="156"/>
      <c r="S131" s="156"/>
      <c r="T131" s="156"/>
      <c r="U131" s="156"/>
      <c r="V131" s="156"/>
      <c r="W131" s="156"/>
      <c r="X131" s="33" t="s">
        <v>10</v>
      </c>
      <c r="Z131" s="83" t="s">
        <v>468</v>
      </c>
    </row>
    <row r="132" spans="2:32" ht="27" customHeight="1" thickBot="1" x14ac:dyDescent="0.5">
      <c r="B132" s="279" t="s">
        <v>3</v>
      </c>
      <c r="C132" s="279"/>
      <c r="D132" s="215"/>
      <c r="E132" s="215"/>
      <c r="F132" s="215"/>
      <c r="G132" s="215"/>
      <c r="H132" s="215"/>
      <c r="I132" s="215"/>
      <c r="J132" s="215"/>
      <c r="K132" s="215"/>
      <c r="L132" s="215"/>
      <c r="M132" s="215"/>
      <c r="N132" s="215"/>
      <c r="O132" s="215"/>
      <c r="P132" s="215"/>
      <c r="Q132" s="215"/>
      <c r="R132" s="215"/>
      <c r="S132" s="215"/>
      <c r="T132" s="215"/>
      <c r="U132" s="215"/>
      <c r="V132" s="215"/>
      <c r="W132" s="215"/>
      <c r="X132" s="183" t="str">
        <f>IF(SUM(D132:W132)=0,"",SUM(D132:W132))</f>
        <v/>
      </c>
      <c r="Z132" s="83"/>
    </row>
    <row r="133" spans="2:32" ht="27" customHeight="1" x14ac:dyDescent="0.45">
      <c r="B133" s="283" t="s">
        <v>16</v>
      </c>
      <c r="C133" s="283"/>
      <c r="D133" s="21"/>
      <c r="E133" s="21"/>
      <c r="F133" s="21"/>
      <c r="G133" s="21"/>
      <c r="H133" s="21"/>
      <c r="I133" s="21"/>
      <c r="J133" s="21"/>
      <c r="K133" s="21"/>
      <c r="L133" s="21"/>
      <c r="M133" s="21"/>
      <c r="N133" s="21"/>
      <c r="O133" s="21"/>
      <c r="P133" s="21"/>
      <c r="Q133" s="21"/>
      <c r="R133" s="21"/>
      <c r="S133" s="21"/>
      <c r="T133" s="21"/>
      <c r="U133" s="21"/>
      <c r="V133" s="21"/>
      <c r="W133" s="21"/>
      <c r="X133" s="42" t="s">
        <v>10</v>
      </c>
      <c r="Z133" s="83" t="s">
        <v>469</v>
      </c>
    </row>
    <row r="134" spans="2:32" ht="27" customHeight="1" x14ac:dyDescent="0.45">
      <c r="B134" s="250" t="s">
        <v>119</v>
      </c>
      <c r="C134" s="251"/>
      <c r="D134" s="21"/>
      <c r="E134" s="21"/>
      <c r="F134" s="21"/>
      <c r="G134" s="21"/>
      <c r="H134" s="21"/>
      <c r="I134" s="21"/>
      <c r="J134" s="21"/>
      <c r="K134" s="21"/>
      <c r="L134" s="21"/>
      <c r="M134" s="21"/>
      <c r="N134" s="157"/>
      <c r="O134" s="157"/>
      <c r="P134" s="157"/>
      <c r="Q134" s="157"/>
      <c r="R134" s="157"/>
      <c r="S134" s="157"/>
      <c r="T134" s="157"/>
      <c r="U134" s="157"/>
      <c r="V134" s="157"/>
      <c r="W134" s="157"/>
      <c r="X134" s="42" t="s">
        <v>10</v>
      </c>
      <c r="Z134" s="83" t="s">
        <v>467</v>
      </c>
    </row>
    <row r="135" spans="2:32" ht="27" customHeight="1" x14ac:dyDescent="0.45">
      <c r="B135" s="254" t="s">
        <v>220</v>
      </c>
      <c r="C135" s="97" t="s">
        <v>7</v>
      </c>
      <c r="D135" s="186"/>
      <c r="E135" s="186"/>
      <c r="F135" s="186"/>
      <c r="G135" s="186"/>
      <c r="H135" s="186"/>
      <c r="I135" s="186"/>
      <c r="J135" s="186"/>
      <c r="K135" s="186"/>
      <c r="L135" s="186"/>
      <c r="M135" s="186"/>
      <c r="N135" s="189"/>
      <c r="O135" s="189"/>
      <c r="P135" s="189"/>
      <c r="Q135" s="189"/>
      <c r="R135" s="189"/>
      <c r="S135" s="189"/>
      <c r="T135" s="189"/>
      <c r="U135" s="189"/>
      <c r="V135" s="189"/>
      <c r="W135" s="189"/>
      <c r="X135" s="42" t="s">
        <v>10</v>
      </c>
      <c r="Z135" s="154"/>
    </row>
    <row r="136" spans="2:32" ht="27" customHeight="1" x14ac:dyDescent="0.45">
      <c r="B136" s="255"/>
      <c r="C136" s="97" t="s">
        <v>8</v>
      </c>
      <c r="D136" s="186"/>
      <c r="E136" s="186"/>
      <c r="F136" s="186"/>
      <c r="G136" s="186"/>
      <c r="H136" s="186"/>
      <c r="I136" s="186"/>
      <c r="J136" s="186"/>
      <c r="K136" s="186"/>
      <c r="L136" s="186"/>
      <c r="M136" s="186"/>
      <c r="N136" s="186"/>
      <c r="O136" s="186"/>
      <c r="P136" s="186"/>
      <c r="Q136" s="186"/>
      <c r="R136" s="186"/>
      <c r="S136" s="186"/>
      <c r="T136" s="186"/>
      <c r="U136" s="186"/>
      <c r="V136" s="186"/>
      <c r="W136" s="186"/>
      <c r="X136" s="37" t="s">
        <v>10</v>
      </c>
      <c r="Z136" s="154"/>
    </row>
    <row r="137" spans="2:32" ht="27" customHeight="1" x14ac:dyDescent="0.45">
      <c r="B137" s="254" t="s">
        <v>222</v>
      </c>
      <c r="C137" s="97" t="s">
        <v>7</v>
      </c>
      <c r="D137" s="184"/>
      <c r="E137" s="184"/>
      <c r="F137" s="184"/>
      <c r="G137" s="184"/>
      <c r="H137" s="184"/>
      <c r="I137" s="184"/>
      <c r="J137" s="184"/>
      <c r="K137" s="184"/>
      <c r="L137" s="184"/>
      <c r="M137" s="184"/>
      <c r="N137" s="188"/>
      <c r="O137" s="188"/>
      <c r="P137" s="188"/>
      <c r="Q137" s="188"/>
      <c r="R137" s="188"/>
      <c r="S137" s="188"/>
      <c r="T137" s="188"/>
      <c r="U137" s="188"/>
      <c r="V137" s="188"/>
      <c r="W137" s="188"/>
      <c r="X137" s="33" t="s">
        <v>10</v>
      </c>
      <c r="Z137" s="154"/>
    </row>
    <row r="138" spans="2:32" ht="27" customHeight="1" x14ac:dyDescent="0.45">
      <c r="B138" s="289"/>
      <c r="C138" s="97" t="s">
        <v>8</v>
      </c>
      <c r="D138" s="184"/>
      <c r="E138" s="184"/>
      <c r="F138" s="184"/>
      <c r="G138" s="184"/>
      <c r="H138" s="184"/>
      <c r="I138" s="184"/>
      <c r="J138" s="184"/>
      <c r="K138" s="184"/>
      <c r="L138" s="184"/>
      <c r="M138" s="184"/>
      <c r="N138" s="184"/>
      <c r="O138" s="184"/>
      <c r="P138" s="184"/>
      <c r="Q138" s="184"/>
      <c r="R138" s="184"/>
      <c r="S138" s="184"/>
      <c r="T138" s="184"/>
      <c r="U138" s="184"/>
      <c r="V138" s="184"/>
      <c r="W138" s="184"/>
      <c r="X138" s="37" t="s">
        <v>10</v>
      </c>
      <c r="Z138" s="154"/>
    </row>
    <row r="139" spans="2:32" ht="27" customHeight="1" thickBot="1" x14ac:dyDescent="0.5">
      <c r="B139" s="255"/>
      <c r="C139" s="97" t="s">
        <v>99</v>
      </c>
      <c r="D139" s="22"/>
      <c r="E139" s="22"/>
      <c r="F139" s="22"/>
      <c r="G139" s="22"/>
      <c r="H139" s="22"/>
      <c r="I139" s="22"/>
      <c r="J139" s="22"/>
      <c r="K139" s="22"/>
      <c r="L139" s="22"/>
      <c r="M139" s="22"/>
      <c r="N139" s="22"/>
      <c r="O139" s="22"/>
      <c r="P139" s="22"/>
      <c r="Q139" s="22"/>
      <c r="R139" s="22"/>
      <c r="S139" s="22"/>
      <c r="T139" s="22"/>
      <c r="U139" s="22"/>
      <c r="V139" s="22"/>
      <c r="W139" s="22"/>
      <c r="X139" s="37" t="s">
        <v>10</v>
      </c>
      <c r="Z139" s="83" t="s">
        <v>470</v>
      </c>
    </row>
    <row r="140" spans="2:32" ht="45" customHeight="1" x14ac:dyDescent="0.45">
      <c r="B140" s="250" t="s">
        <v>223</v>
      </c>
      <c r="C140" s="251"/>
      <c r="D140" s="195" t="str">
        <f>IF(計算!$O56=1,計算!$R56,IF(計算!$O56=2,計算!$U56,IF(計算!$O56=3,計算!$X56,IF(計算!$O56=4,計算!$AA56,IF(計算!$O56=5,計算!$AD56,"")))))</f>
        <v/>
      </c>
      <c r="E140" s="195" t="str">
        <f>IF(計算!$O57=1,計算!$R57,IF(計算!$O57=2,計算!$U57,IF(計算!$O57=3,計算!$X57,IF(計算!$O57=4,計算!$AA57,IF(計算!$O57=5,計算!$AD57,"")))))</f>
        <v/>
      </c>
      <c r="F140" s="195" t="str">
        <f>IF(計算!$O58=1,計算!$R58,IF(計算!$O58=2,計算!$U58,IF(計算!$O58=3,計算!$X58,IF(計算!$O58=4,計算!$AA58,IF(計算!$O58=5,計算!$AD58,"")))))</f>
        <v/>
      </c>
      <c r="G140" s="195" t="str">
        <f>IF(計算!$O59=1,計算!$R59,IF(計算!$O59=2,計算!$U59,IF(計算!$O59=3,計算!$X59,IF(計算!$O59=4,計算!$AA59,IF(計算!$O59=5,計算!$AD59,"")))))</f>
        <v/>
      </c>
      <c r="H140" s="195" t="str">
        <f>IF(計算!$O60=1,計算!$R60,IF(計算!$O60=2,計算!$U60,IF(計算!$O60=3,計算!$X60,IF(計算!$O60=4,計算!$AA60,IF(計算!$O60=5,計算!$AD60,"")))))</f>
        <v/>
      </c>
      <c r="I140" s="195" t="str">
        <f>IF(計算!$O61=1,計算!$R61,IF(計算!$O61=2,計算!$U61,IF(計算!$O61=3,計算!$X61,IF(計算!$O61=4,計算!$AA61,IF(計算!$O61=5,計算!$AD61,"")))))</f>
        <v/>
      </c>
      <c r="J140" s="195" t="str">
        <f>IF(計算!$O62=1,計算!$R62,IF(計算!$O62=2,計算!$U62,IF(計算!$O62=3,計算!$X62,IF(計算!$O62=4,計算!$AA62,IF(計算!$O62=5,計算!$AD62,"")))))</f>
        <v/>
      </c>
      <c r="K140" s="195" t="str">
        <f>IF(計算!$O63=1,計算!$R63,IF(計算!$O63=2,計算!$U63,IF(計算!$O63=3,計算!$X63,IF(計算!$O63=4,計算!$AA63,IF(計算!$O63=5,計算!$AD63,"")))))</f>
        <v/>
      </c>
      <c r="L140" s="195" t="str">
        <f>IF(計算!$O64=1,計算!$R64,IF(計算!$O64=2,計算!$U64,IF(計算!$O64=3,計算!$X64,IF(計算!$O64=4,計算!$AA64,IF(計算!$O64=5,計算!$AD64,"")))))</f>
        <v/>
      </c>
      <c r="M140" s="195" t="str">
        <f>IF(計算!$O65=1,計算!$R65,IF(計算!$O65=2,計算!$U65,IF(計算!$O65=3,計算!$X65,IF(計算!$O65=4,計算!$AA65,IF(計算!$O65=5,計算!$AD65,"")))))</f>
        <v/>
      </c>
      <c r="N140" s="195" t="str">
        <f>IF(計算!$O66=1,計算!$R66,IF(計算!$O66=2,計算!$U66,IF(計算!$O66=3,計算!$X66,IF(計算!$O66=4,計算!$AA66,IF(計算!$O66=5,計算!$AD66,"")))))</f>
        <v/>
      </c>
      <c r="O140" s="195" t="str">
        <f>IF(計算!$O67=1,計算!$R67,IF(計算!$O67=2,計算!$U67,IF(計算!$O67=3,計算!$X67,IF(計算!$O67=4,計算!$AA67,IF(計算!$O67=5,計算!$AD67,"")))))</f>
        <v/>
      </c>
      <c r="P140" s="195" t="str">
        <f>IF(計算!$O68=1,計算!$R68,IF(計算!$O68=2,計算!$U68,IF(計算!$O68=3,計算!$X68,IF(計算!$O68=4,計算!$AA68,IF(計算!$O68=5,計算!$AD68,"")))))</f>
        <v/>
      </c>
      <c r="Q140" s="195" t="str">
        <f>IF(計算!$O69=1,計算!$R69,IF(計算!$O69=2,計算!$U69,IF(計算!$O69=3,計算!$X69,IF(計算!$O69=4,計算!$AA69,IF(計算!$O69=5,計算!$AD69,"")))))</f>
        <v/>
      </c>
      <c r="R140" s="195" t="str">
        <f>IF(計算!$O70=1,計算!$R70,IF(計算!$O70=2,計算!$U70,IF(計算!$O70=3,計算!$X70,IF(計算!$O70=4,計算!$AA70,IF(計算!$O70=5,計算!$AD70,"")))))</f>
        <v/>
      </c>
      <c r="S140" s="195" t="str">
        <f>IF(計算!$O71=1,計算!$R71,IF(計算!$O71=2,計算!$U71,IF(計算!$O71=3,計算!$X71,IF(計算!$O71=4,計算!$AA71,IF(計算!$O71=5,計算!$AD71,"")))))</f>
        <v/>
      </c>
      <c r="T140" s="195" t="str">
        <f>IF(計算!$O72=1,計算!$R72,IF(計算!$O72=2,計算!$U72,IF(計算!$O72=3,計算!$X72,IF(計算!$O72=4,計算!$AA72,IF(計算!$O72=5,計算!$AD72,"")))))</f>
        <v/>
      </c>
      <c r="U140" s="195" t="str">
        <f>IF(計算!$O73=1,計算!$R73,IF(計算!$O73=2,計算!$U73,IF(計算!$O73=3,計算!$X73,IF(計算!$O73=4,計算!$AA73,IF(計算!$O73=5,計算!$AD73,"")))))</f>
        <v/>
      </c>
      <c r="V140" s="195" t="str">
        <f>IF(計算!$O74=1,計算!$R74,IF(計算!$O74=2,計算!$U74,IF(計算!$O74=3,計算!$X74,IF(計算!$O74=4,計算!$AA74,IF(計算!$O74=5,計算!$AD74,"")))))</f>
        <v/>
      </c>
      <c r="W140" s="195" t="str">
        <f>IF(計算!$O75=1,計算!$R75,IF(計算!$O75=2,計算!$U75,IF(計算!$O75=3,計算!$X75,IF(計算!$O75=4,計算!$AA75,IF(計算!$O75=5,計算!$AD75,"")))))</f>
        <v/>
      </c>
      <c r="X140" s="196" t="str">
        <f>IF(SUM(D140:W140)=0,"",SUM(D140:W140))</f>
        <v/>
      </c>
    </row>
    <row r="141" spans="2:32" ht="27" customHeight="1" thickBot="1" x14ac:dyDescent="0.5">
      <c r="B141" s="252" t="s">
        <v>224</v>
      </c>
      <c r="C141" s="253"/>
      <c r="D141" s="197" t="str">
        <f>IF(D140="","",ROUND(D140*0.0258,2))</f>
        <v/>
      </c>
      <c r="E141" s="197" t="str">
        <f t="shared" ref="E141:M141" si="41">IF(E140="","",ROUND(E140*0.0258,2))</f>
        <v/>
      </c>
      <c r="F141" s="197" t="str">
        <f t="shared" si="41"/>
        <v/>
      </c>
      <c r="G141" s="197" t="str">
        <f t="shared" si="41"/>
        <v/>
      </c>
      <c r="H141" s="197" t="str">
        <f t="shared" si="41"/>
        <v/>
      </c>
      <c r="I141" s="197" t="str">
        <f t="shared" si="41"/>
        <v/>
      </c>
      <c r="J141" s="197" t="str">
        <f t="shared" si="41"/>
        <v/>
      </c>
      <c r="K141" s="197" t="str">
        <f t="shared" si="41"/>
        <v/>
      </c>
      <c r="L141" s="197" t="str">
        <f t="shared" si="41"/>
        <v/>
      </c>
      <c r="M141" s="197" t="str">
        <f t="shared" si="41"/>
        <v/>
      </c>
      <c r="N141" s="197" t="str">
        <f t="shared" ref="N141:W141" si="42">IF(N140="","",ROUND(N140*0.0258,2))</f>
        <v/>
      </c>
      <c r="O141" s="197" t="str">
        <f t="shared" si="42"/>
        <v/>
      </c>
      <c r="P141" s="197" t="str">
        <f t="shared" si="42"/>
        <v/>
      </c>
      <c r="Q141" s="197" t="str">
        <f t="shared" si="42"/>
        <v/>
      </c>
      <c r="R141" s="197" t="str">
        <f t="shared" si="42"/>
        <v/>
      </c>
      <c r="S141" s="197" t="str">
        <f t="shared" si="42"/>
        <v/>
      </c>
      <c r="T141" s="197" t="str">
        <f t="shared" si="42"/>
        <v/>
      </c>
      <c r="U141" s="197" t="str">
        <f t="shared" si="42"/>
        <v/>
      </c>
      <c r="V141" s="197" t="str">
        <f t="shared" si="42"/>
        <v/>
      </c>
      <c r="W141" s="197" t="str">
        <f t="shared" si="42"/>
        <v/>
      </c>
      <c r="X141" s="198" t="str">
        <f>IF(SUM(D141:W141)=0,"",SUM(D141:W141))</f>
        <v/>
      </c>
      <c r="Z141" s="83" t="s">
        <v>471</v>
      </c>
    </row>
    <row r="142" spans="2:32" ht="27" customHeight="1" x14ac:dyDescent="0.45">
      <c r="B142" s="248" t="s">
        <v>219</v>
      </c>
      <c r="C142" s="98" t="s">
        <v>217</v>
      </c>
      <c r="D142" s="187"/>
      <c r="E142" s="187"/>
      <c r="F142" s="187"/>
      <c r="G142" s="187"/>
      <c r="H142" s="187"/>
      <c r="I142" s="187"/>
      <c r="J142" s="187"/>
      <c r="K142" s="187"/>
      <c r="L142" s="187"/>
      <c r="M142" s="187"/>
      <c r="N142" s="187"/>
      <c r="O142" s="187"/>
      <c r="P142" s="187"/>
      <c r="Q142" s="187"/>
      <c r="R142" s="187"/>
      <c r="S142" s="187"/>
      <c r="T142" s="187"/>
      <c r="U142" s="187"/>
      <c r="V142" s="187"/>
      <c r="W142" s="187"/>
      <c r="X142" s="33" t="s">
        <v>10</v>
      </c>
    </row>
    <row r="143" spans="2:32" ht="27" customHeight="1" x14ac:dyDescent="0.45">
      <c r="B143" s="249"/>
      <c r="C143" s="98" t="s">
        <v>218</v>
      </c>
      <c r="D143" s="187"/>
      <c r="E143" s="187"/>
      <c r="F143" s="187"/>
      <c r="G143" s="187"/>
      <c r="H143" s="187"/>
      <c r="I143" s="187"/>
      <c r="J143" s="187"/>
      <c r="K143" s="187"/>
      <c r="L143" s="187"/>
      <c r="M143" s="187"/>
      <c r="N143" s="187"/>
      <c r="O143" s="187"/>
      <c r="P143" s="187"/>
      <c r="Q143" s="187"/>
      <c r="R143" s="187"/>
      <c r="S143" s="187"/>
      <c r="T143" s="187"/>
      <c r="U143" s="187"/>
      <c r="V143" s="187"/>
      <c r="W143" s="187"/>
      <c r="X143" s="37" t="s">
        <v>10</v>
      </c>
    </row>
    <row r="144" spans="2:32" hidden="1" x14ac:dyDescent="0.45">
      <c r="B144" s="137" t="s">
        <v>300</v>
      </c>
      <c r="C144" s="137"/>
      <c r="D144" s="138">
        <f t="shared" ref="D144:M144" si="43">IF(D$131="",9,IF(OR(D$131="電気式パッケージ形空調機",D$131="ルームエアコン"),1,IF(AND(D$131="ガスヒートポンプ式空調機",D$133="都市ガス",D$139="kW"),2,IF(AND(D$131="ガスヒートポンプ式空調機",D$133="都市ガス",D$139="ｍ3N/h"),3,IF(AND(D$131="ガスヒートポンプ式空調機",D$133="LPG",D$139="kW"),4,IF(AND(D$131="ガスヒートポンプ式空調機",D$133="LPG",D$139="kg/h"),5,0))))))</f>
        <v>9</v>
      </c>
      <c r="E144" s="138">
        <f t="shared" si="43"/>
        <v>9</v>
      </c>
      <c r="F144" s="138">
        <f t="shared" si="43"/>
        <v>9</v>
      </c>
      <c r="G144" s="138">
        <f t="shared" si="43"/>
        <v>9</v>
      </c>
      <c r="H144" s="138">
        <f t="shared" si="43"/>
        <v>9</v>
      </c>
      <c r="I144" s="138">
        <f t="shared" si="43"/>
        <v>9</v>
      </c>
      <c r="J144" s="138">
        <f t="shared" si="43"/>
        <v>9</v>
      </c>
      <c r="K144" s="138">
        <f t="shared" si="43"/>
        <v>9</v>
      </c>
      <c r="L144" s="138">
        <f t="shared" si="43"/>
        <v>9</v>
      </c>
      <c r="M144" s="138">
        <f t="shared" si="43"/>
        <v>9</v>
      </c>
      <c r="N144" s="138">
        <f t="shared" ref="N144:V144" si="44">IF(N$131="",9,IF(OR(N$131="電気式パッケージ形空調機",N$131="ルームエアコン"),1,IF(AND(N$131="ガスヒートポンプ式空調機",N$133="都市ガス",N$139="kW"),2,IF(AND(N$131="ガスヒートポンプ式空調機",N$133="都市ガス",N$139="ｍ3N/h"),3,IF(AND(N$131="ガスヒートポンプ式空調機",N$133="LPG",N$139="kW"),4,IF(AND(N$131="ガスヒートポンプ式空調機",N$133="LPG",N$139="kg/h"),5,0))))))</f>
        <v>9</v>
      </c>
      <c r="O144" s="138">
        <f t="shared" si="44"/>
        <v>9</v>
      </c>
      <c r="P144" s="138">
        <f t="shared" si="44"/>
        <v>9</v>
      </c>
      <c r="Q144" s="138">
        <f t="shared" si="44"/>
        <v>9</v>
      </c>
      <c r="R144" s="138">
        <f t="shared" si="44"/>
        <v>9</v>
      </c>
      <c r="S144" s="138">
        <f t="shared" si="44"/>
        <v>9</v>
      </c>
      <c r="T144" s="138">
        <f t="shared" si="44"/>
        <v>9</v>
      </c>
      <c r="U144" s="138">
        <f t="shared" si="44"/>
        <v>9</v>
      </c>
      <c r="V144" s="138">
        <f t="shared" si="44"/>
        <v>9</v>
      </c>
      <c r="W144" s="138">
        <f>IF(W$131="",9,IF(OR(W$131="電気式パッケージ形空調機",W$131="ルームエアコン"),1,IF(AND(W$131="ガスヒートポンプ式空調機",W$133="都市ガス",W$139="kW"),2,IF(AND(W$131="ガスヒートポンプ式空調機",W$133="都市ガス",W$139="ｍ3N/h"),3,IF(AND(W$131="ガスヒートポンプ式空調機",W$133="LPG",W$139="kW"),4,IF(AND(W$131="ガスヒートポンプ式空調機",W$133="LPG",W$139="kg/h"),5,0))))))</f>
        <v>9</v>
      </c>
      <c r="X144" s="114"/>
      <c r="Y144" s="139">
        <f>COUNTIF($D144:$W144,0)</f>
        <v>0</v>
      </c>
      <c r="Z144" s="205">
        <f>COUNTIF($D144:$W144,1)</f>
        <v>0</v>
      </c>
      <c r="AA144" s="205">
        <f>COUNTIF($D144:$W144,2)</f>
        <v>0</v>
      </c>
      <c r="AB144" s="205">
        <f>COUNTIF($D144:$W144,3)</f>
        <v>0</v>
      </c>
      <c r="AC144" s="139">
        <f>COUNTIF($D144:$W144,4)</f>
        <v>0</v>
      </c>
      <c r="AD144" s="139">
        <f>COUNTIF($D144:$W144,5)</f>
        <v>0</v>
      </c>
      <c r="AE144" s="139"/>
      <c r="AF144" s="124">
        <v>140</v>
      </c>
    </row>
    <row r="145" spans="2:32" hidden="1" x14ac:dyDescent="0.45">
      <c r="B145" s="137" t="s">
        <v>301</v>
      </c>
      <c r="C145" s="137"/>
      <c r="D145" s="138">
        <f>IF(AND(D$133="",D$139=""),9,IF(AND(D$133="電気",D$139="kW"),1,IF(AND(D$133="都市ガス",D$139="kW"),2,IF(AND(D$133="都市ガス",D$139="ｍ3N/h"),3,IF(AND(D$133="LPG",D$139="kW"),4,IF(AND(D$133="LPG",D$139="kg/h"),5,0))))))</f>
        <v>9</v>
      </c>
      <c r="E145" s="138">
        <f t="shared" ref="E145:W145" si="45">IF(AND(E$133="",E$139=""),9,IF(AND(E$133="電気",E$139="kW"),1,IF(AND(E$133="都市ガス",E$139="kW"),2,IF(AND(E$133="都市ガス",E$139="ｍ3N/h"),3,IF(AND(E$133="LPG",E$139="kW"),4,IF(AND(E$133="LPG",E$139="kg/h"),5,0))))))</f>
        <v>9</v>
      </c>
      <c r="F145" s="138">
        <f t="shared" si="45"/>
        <v>9</v>
      </c>
      <c r="G145" s="138">
        <f t="shared" si="45"/>
        <v>9</v>
      </c>
      <c r="H145" s="138">
        <f t="shared" si="45"/>
        <v>9</v>
      </c>
      <c r="I145" s="138">
        <f t="shared" si="45"/>
        <v>9</v>
      </c>
      <c r="J145" s="138">
        <f t="shared" si="45"/>
        <v>9</v>
      </c>
      <c r="K145" s="138">
        <f t="shared" si="45"/>
        <v>9</v>
      </c>
      <c r="L145" s="138">
        <f t="shared" si="45"/>
        <v>9</v>
      </c>
      <c r="M145" s="138">
        <f t="shared" si="45"/>
        <v>9</v>
      </c>
      <c r="N145" s="138">
        <f t="shared" si="45"/>
        <v>9</v>
      </c>
      <c r="O145" s="138">
        <f t="shared" si="45"/>
        <v>9</v>
      </c>
      <c r="P145" s="138">
        <f t="shared" si="45"/>
        <v>9</v>
      </c>
      <c r="Q145" s="138">
        <f t="shared" si="45"/>
        <v>9</v>
      </c>
      <c r="R145" s="138">
        <f t="shared" si="45"/>
        <v>9</v>
      </c>
      <c r="S145" s="138">
        <f t="shared" si="45"/>
        <v>9</v>
      </c>
      <c r="T145" s="138">
        <f t="shared" si="45"/>
        <v>9</v>
      </c>
      <c r="U145" s="138">
        <f t="shared" si="45"/>
        <v>9</v>
      </c>
      <c r="V145" s="138">
        <f t="shared" si="45"/>
        <v>9</v>
      </c>
      <c r="W145" s="138">
        <f t="shared" si="45"/>
        <v>9</v>
      </c>
      <c r="X145" s="114"/>
      <c r="Y145" s="139">
        <f>COUNTIF($D145:$W145,0)</f>
        <v>0</v>
      </c>
      <c r="Z145" s="205">
        <f>COUNTIF($D145:$W145,1)</f>
        <v>0</v>
      </c>
      <c r="AA145" s="205">
        <f>COUNTIF($D145:$W145,2)</f>
        <v>0</v>
      </c>
      <c r="AB145" s="205">
        <f>COUNTIF($D145:$W145,3)</f>
        <v>0</v>
      </c>
      <c r="AC145" s="139">
        <f>COUNTIF($D145:$W145,4)</f>
        <v>0</v>
      </c>
      <c r="AD145" s="139">
        <f>COUNTIF($D145:$W145,5)</f>
        <v>0</v>
      </c>
      <c r="AE145" s="139"/>
      <c r="AF145" s="124">
        <v>141</v>
      </c>
    </row>
    <row r="146" spans="2:32" hidden="1" x14ac:dyDescent="0.45">
      <c r="B146" s="140" t="s">
        <v>299</v>
      </c>
      <c r="C146" s="140"/>
      <c r="D146" s="141">
        <f>IF(OR(AND(D144=0,D145=0),D144&lt;&gt;D145),1,IF(AND(D144=9,D145=9),2,IF(D144=D145,0,"")))</f>
        <v>2</v>
      </c>
      <c r="E146" s="141">
        <f t="shared" ref="E146:M146" si="46">IF(OR(AND(E144=0,E145=0),E144&lt;&gt;E145),1,IF(AND(E144=9,E145=9),2,IF(E144=E145,0,"")))</f>
        <v>2</v>
      </c>
      <c r="F146" s="141">
        <f t="shared" si="46"/>
        <v>2</v>
      </c>
      <c r="G146" s="141">
        <f t="shared" si="46"/>
        <v>2</v>
      </c>
      <c r="H146" s="141">
        <f t="shared" si="46"/>
        <v>2</v>
      </c>
      <c r="I146" s="141">
        <f t="shared" si="46"/>
        <v>2</v>
      </c>
      <c r="J146" s="141">
        <f t="shared" si="46"/>
        <v>2</v>
      </c>
      <c r="K146" s="141">
        <f t="shared" si="46"/>
        <v>2</v>
      </c>
      <c r="L146" s="141">
        <f t="shared" si="46"/>
        <v>2</v>
      </c>
      <c r="M146" s="141">
        <f t="shared" si="46"/>
        <v>2</v>
      </c>
      <c r="N146" s="141">
        <f t="shared" ref="N146:W146" si="47">IF(OR(AND(N144=0,N145=0),N144&lt;&gt;N145),1,IF(AND(N144=9,N145=9),2,IF(N144=N145,0,"")))</f>
        <v>2</v>
      </c>
      <c r="O146" s="141">
        <f t="shared" si="47"/>
        <v>2</v>
      </c>
      <c r="P146" s="141">
        <f t="shared" si="47"/>
        <v>2</v>
      </c>
      <c r="Q146" s="141">
        <f t="shared" si="47"/>
        <v>2</v>
      </c>
      <c r="R146" s="141">
        <f t="shared" si="47"/>
        <v>2</v>
      </c>
      <c r="S146" s="141">
        <f t="shared" si="47"/>
        <v>2</v>
      </c>
      <c r="T146" s="141">
        <f t="shared" si="47"/>
        <v>2</v>
      </c>
      <c r="U146" s="141">
        <f t="shared" si="47"/>
        <v>2</v>
      </c>
      <c r="V146" s="141">
        <f t="shared" si="47"/>
        <v>2</v>
      </c>
      <c r="W146" s="141">
        <f t="shared" si="47"/>
        <v>2</v>
      </c>
      <c r="X146" s="114" t="str">
        <f>IF(Z146&gt;0,"入力確認",IF(AE148=Y146,"適合","不適合"))</f>
        <v>適合</v>
      </c>
      <c r="Y146" s="139">
        <f>COUNTIF($D146:$W146,0)</f>
        <v>0</v>
      </c>
      <c r="Z146" s="205">
        <f>COUNTIF($D146:$W146,1)</f>
        <v>0</v>
      </c>
      <c r="AA146" s="205">
        <f>COUNTIF($D146:$W146,2)</f>
        <v>20</v>
      </c>
      <c r="AB146" s="205"/>
      <c r="AC146" s="139"/>
      <c r="AD146" s="139"/>
      <c r="AE146" s="139"/>
      <c r="AF146" s="124">
        <v>142</v>
      </c>
    </row>
    <row r="147" spans="2:32" hidden="1" x14ac:dyDescent="0.45">
      <c r="B147" s="193" t="s">
        <v>458</v>
      </c>
      <c r="C147" s="193"/>
      <c r="D147" s="194">
        <f t="shared" ref="D147:N147" si="48">IF(OR(D137&lt;0,D138&lt;0),1,IF(OR(D137&gt;0,D138&gt;0),0,2))</f>
        <v>2</v>
      </c>
      <c r="E147" s="194">
        <f t="shared" si="48"/>
        <v>2</v>
      </c>
      <c r="F147" s="194">
        <f t="shared" si="48"/>
        <v>2</v>
      </c>
      <c r="G147" s="194">
        <f t="shared" si="48"/>
        <v>2</v>
      </c>
      <c r="H147" s="194">
        <f t="shared" si="48"/>
        <v>2</v>
      </c>
      <c r="I147" s="194">
        <f t="shared" si="48"/>
        <v>2</v>
      </c>
      <c r="J147" s="194">
        <f t="shared" si="48"/>
        <v>2</v>
      </c>
      <c r="K147" s="194">
        <f t="shared" si="48"/>
        <v>2</v>
      </c>
      <c r="L147" s="194">
        <f t="shared" si="48"/>
        <v>2</v>
      </c>
      <c r="M147" s="194">
        <f t="shared" si="48"/>
        <v>2</v>
      </c>
      <c r="N147" s="194">
        <f t="shared" si="48"/>
        <v>2</v>
      </c>
      <c r="O147" s="194">
        <f>IF(OR(O137&lt;0,O138&lt;0),1,IF(OR(O137&gt;0,O138&gt;0),0,2))</f>
        <v>2</v>
      </c>
      <c r="P147" s="194">
        <f t="shared" ref="P147:W147" si="49">IF(OR(P137&lt;0,P138&lt;0),1,IF(OR(P137&gt;0,P138&gt;0),0,2))</f>
        <v>2</v>
      </c>
      <c r="Q147" s="194">
        <f t="shared" si="49"/>
        <v>2</v>
      </c>
      <c r="R147" s="194">
        <f t="shared" si="49"/>
        <v>2</v>
      </c>
      <c r="S147" s="194">
        <f t="shared" si="49"/>
        <v>2</v>
      </c>
      <c r="T147" s="194">
        <f t="shared" si="49"/>
        <v>2</v>
      </c>
      <c r="U147" s="194">
        <f t="shared" si="49"/>
        <v>2</v>
      </c>
      <c r="V147" s="194">
        <f t="shared" si="49"/>
        <v>2</v>
      </c>
      <c r="W147" s="194">
        <f t="shared" si="49"/>
        <v>2</v>
      </c>
      <c r="X147" s="114" t="str">
        <f>IF(Z147&gt;0,"入力確認",IF(AE148=Y147,"適合","不適合"))</f>
        <v>適合</v>
      </c>
      <c r="Y147" s="139">
        <f>COUNTIF($D147:$W147,0)</f>
        <v>0</v>
      </c>
      <c r="Z147" s="205">
        <f>COUNTIF($D147:$W147,1)</f>
        <v>0</v>
      </c>
      <c r="AA147" s="205">
        <f>COUNTIF($D147:$W147,2)</f>
        <v>20</v>
      </c>
      <c r="AB147" s="205"/>
      <c r="AC147" s="139"/>
      <c r="AD147" s="139"/>
      <c r="AE147" s="139"/>
      <c r="AF147" s="124">
        <v>143</v>
      </c>
    </row>
    <row r="148" spans="2:32" hidden="1" x14ac:dyDescent="0.45">
      <c r="B148" s="116" t="s">
        <v>273</v>
      </c>
      <c r="C148" s="114"/>
      <c r="D148" s="114">
        <f t="shared" ref="D148:M148" si="50">IF(AND(D131="",D132="",D133="",D134="",D135="",D136="",D137="",D138="",D139="",D142="",D143=""),2,IF(AND(D131&lt;&gt;"",D132&lt;&gt;"",D133&lt;&gt;"",D134&lt;&gt;"",D135&lt;&gt;"",D136&lt;&gt;"",D137&lt;&gt;"",D138&lt;&gt;"",D139&lt;&gt;"",OR(D142&lt;&gt;"",D143&lt;&gt;"")),0,1))</f>
        <v>2</v>
      </c>
      <c r="E148" s="114">
        <f t="shared" si="50"/>
        <v>2</v>
      </c>
      <c r="F148" s="114">
        <f t="shared" si="50"/>
        <v>2</v>
      </c>
      <c r="G148" s="114">
        <f t="shared" si="50"/>
        <v>2</v>
      </c>
      <c r="H148" s="114">
        <f t="shared" si="50"/>
        <v>2</v>
      </c>
      <c r="I148" s="114">
        <f t="shared" si="50"/>
        <v>2</v>
      </c>
      <c r="J148" s="114">
        <f t="shared" si="50"/>
        <v>2</v>
      </c>
      <c r="K148" s="114">
        <f t="shared" si="50"/>
        <v>2</v>
      </c>
      <c r="L148" s="114">
        <f t="shared" si="50"/>
        <v>2</v>
      </c>
      <c r="M148" s="114">
        <f t="shared" si="50"/>
        <v>2</v>
      </c>
      <c r="N148" s="114">
        <f t="shared" ref="N148:W148" si="51">IF(AND(N131="",N132="",N133="",N134="",N135="",N136="",N137="",N138="",N139="",N142="",N143=""),2,IF(AND(N131&lt;&gt;"",N132&lt;&gt;"",N133&lt;&gt;"",N134&lt;&gt;"",N135&lt;&gt;"",N136&lt;&gt;"",N137&lt;&gt;"",N138&lt;&gt;"",N139&lt;&gt;"",OR(N142&lt;&gt;"",N143&lt;&gt;"")),0,1))</f>
        <v>2</v>
      </c>
      <c r="O148" s="114">
        <f>IF(AND(O131="",O132="",O133="",O134="",O135="",O136="",O137="",O138="",O139="",O142="",O143=""),2,IF(AND(O131&lt;&gt;"",O132&lt;&gt;"",O133&lt;&gt;"",O134&lt;&gt;"",O135&lt;&gt;"",O136&lt;&gt;"",O137&lt;&gt;"",O138&lt;&gt;"",O139&lt;&gt;"",OR(O142&lt;&gt;"",O143&lt;&gt;"")),0,1))</f>
        <v>2</v>
      </c>
      <c r="P148" s="114">
        <f t="shared" si="51"/>
        <v>2</v>
      </c>
      <c r="Q148" s="114">
        <f t="shared" si="51"/>
        <v>2</v>
      </c>
      <c r="R148" s="114">
        <f t="shared" si="51"/>
        <v>2</v>
      </c>
      <c r="S148" s="114">
        <f t="shared" si="51"/>
        <v>2</v>
      </c>
      <c r="T148" s="114">
        <f t="shared" si="51"/>
        <v>2</v>
      </c>
      <c r="U148" s="114">
        <f t="shared" si="51"/>
        <v>2</v>
      </c>
      <c r="V148" s="114">
        <f t="shared" si="51"/>
        <v>2</v>
      </c>
      <c r="W148" s="114">
        <f t="shared" si="51"/>
        <v>2</v>
      </c>
      <c r="X148" s="114" t="str">
        <f>IF(Z148&gt;0,"入力確認",IF(AE148=Y148,"適合","不適合"))</f>
        <v>適合</v>
      </c>
      <c r="Y148" s="139">
        <f>COUNTIF($D148:$W148,0)</f>
        <v>0</v>
      </c>
      <c r="Z148" s="205">
        <f>COUNTIF($D148:$W148,1)</f>
        <v>0</v>
      </c>
      <c r="AA148" s="205">
        <f>COUNTIF($D148:$W148,2)</f>
        <v>20</v>
      </c>
      <c r="AB148" s="205"/>
      <c r="AC148" s="139"/>
      <c r="AD148" s="139"/>
      <c r="AE148" s="192">
        <f>20-COUNTIF($D$131:$W$131,"")</f>
        <v>0</v>
      </c>
      <c r="AF148" s="124">
        <v>144</v>
      </c>
    </row>
    <row r="150" spans="2:32" ht="33" customHeight="1" x14ac:dyDescent="0.45">
      <c r="B150" s="28" t="s">
        <v>296</v>
      </c>
      <c r="C150" s="39"/>
    </row>
    <row r="151" spans="2:32" ht="9" customHeight="1" x14ac:dyDescent="0.45">
      <c r="B151" s="23"/>
      <c r="C151" s="39"/>
    </row>
    <row r="152" spans="2:32" ht="27" customHeight="1" x14ac:dyDescent="0.45">
      <c r="B152" s="85" t="s">
        <v>194</v>
      </c>
      <c r="C152" s="260" t="s">
        <v>134</v>
      </c>
      <c r="D152" s="260"/>
      <c r="E152" s="260"/>
      <c r="F152" s="260"/>
      <c r="G152" s="260"/>
      <c r="H152" s="270" t="s">
        <v>135</v>
      </c>
      <c r="I152" s="270"/>
      <c r="J152" s="270"/>
      <c r="K152" s="270"/>
      <c r="L152" s="270"/>
      <c r="M152" s="270"/>
      <c r="N152" s="270"/>
      <c r="O152" s="269" t="s">
        <v>305</v>
      </c>
      <c r="P152" s="269"/>
      <c r="Q152" s="269"/>
      <c r="R152" s="269"/>
      <c r="S152" s="269"/>
      <c r="T152" s="269"/>
      <c r="U152" s="268" t="s">
        <v>193</v>
      </c>
      <c r="V152" s="243"/>
      <c r="W152" s="160"/>
      <c r="X152" s="162"/>
      <c r="Y152" s="147"/>
    </row>
    <row r="153" spans="2:32" ht="27" customHeight="1" x14ac:dyDescent="0.45">
      <c r="B153" s="91" t="s">
        <v>316</v>
      </c>
      <c r="C153" s="271"/>
      <c r="D153" s="271"/>
      <c r="E153" s="271"/>
      <c r="F153" s="271"/>
      <c r="G153" s="271"/>
      <c r="H153" s="271"/>
      <c r="I153" s="271"/>
      <c r="J153" s="271"/>
      <c r="K153" s="271"/>
      <c r="L153" s="271"/>
      <c r="M153" s="271"/>
      <c r="N153" s="271"/>
      <c r="O153" s="271"/>
      <c r="P153" s="271"/>
      <c r="Q153" s="271"/>
      <c r="R153" s="271"/>
      <c r="S153" s="271"/>
      <c r="T153" s="271"/>
      <c r="U153" s="271"/>
      <c r="V153" s="271"/>
      <c r="W153" s="161"/>
      <c r="X153" s="162"/>
      <c r="Y153" s="148"/>
    </row>
    <row r="154" spans="2:32" ht="27" customHeight="1" x14ac:dyDescent="0.45">
      <c r="B154" s="84" t="s">
        <v>336</v>
      </c>
      <c r="C154" s="259"/>
      <c r="D154" s="259"/>
      <c r="E154" s="259"/>
      <c r="F154" s="259"/>
      <c r="G154" s="259"/>
      <c r="H154" s="259"/>
      <c r="I154" s="259"/>
      <c r="J154" s="259"/>
      <c r="K154" s="259"/>
      <c r="L154" s="259"/>
      <c r="M154" s="259"/>
      <c r="N154" s="259"/>
      <c r="O154" s="259"/>
      <c r="P154" s="259"/>
      <c r="Q154" s="259"/>
      <c r="R154" s="259"/>
      <c r="S154" s="259"/>
      <c r="T154" s="259"/>
      <c r="U154" s="259"/>
      <c r="V154" s="259"/>
      <c r="W154" s="161"/>
      <c r="X154" s="162"/>
      <c r="Y154" s="148"/>
    </row>
    <row r="155" spans="2:32" ht="27" customHeight="1" x14ac:dyDescent="0.45">
      <c r="B155" s="84" t="s">
        <v>318</v>
      </c>
      <c r="C155" s="259"/>
      <c r="D155" s="259"/>
      <c r="E155" s="259"/>
      <c r="F155" s="259"/>
      <c r="G155" s="259"/>
      <c r="H155" s="259"/>
      <c r="I155" s="259"/>
      <c r="J155" s="259"/>
      <c r="K155" s="259"/>
      <c r="L155" s="259"/>
      <c r="M155" s="259"/>
      <c r="N155" s="259"/>
      <c r="O155" s="259"/>
      <c r="P155" s="259"/>
      <c r="Q155" s="259"/>
      <c r="R155" s="259"/>
      <c r="S155" s="259"/>
      <c r="T155" s="259"/>
      <c r="U155" s="259"/>
      <c r="V155" s="259"/>
      <c r="W155" s="161"/>
      <c r="X155" s="162"/>
      <c r="Y155" s="148"/>
    </row>
    <row r="156" spans="2:32" ht="27" customHeight="1" x14ac:dyDescent="0.45">
      <c r="B156" s="84" t="s">
        <v>319</v>
      </c>
      <c r="C156" s="259"/>
      <c r="D156" s="259"/>
      <c r="E156" s="259"/>
      <c r="F156" s="259"/>
      <c r="G156" s="259"/>
      <c r="H156" s="259"/>
      <c r="I156" s="259"/>
      <c r="J156" s="259"/>
      <c r="K156" s="259"/>
      <c r="L156" s="259"/>
      <c r="M156" s="259"/>
      <c r="N156" s="259"/>
      <c r="O156" s="259"/>
      <c r="P156" s="259"/>
      <c r="Q156" s="259"/>
      <c r="R156" s="259"/>
      <c r="S156" s="259"/>
      <c r="T156" s="259"/>
      <c r="U156" s="259"/>
      <c r="V156" s="259"/>
      <c r="W156" s="161"/>
      <c r="X156" s="162"/>
      <c r="Y156" s="148"/>
    </row>
    <row r="157" spans="2:32" ht="27" customHeight="1" x14ac:dyDescent="0.45">
      <c r="B157" s="84" t="s">
        <v>320</v>
      </c>
      <c r="C157" s="259"/>
      <c r="D157" s="259"/>
      <c r="E157" s="259"/>
      <c r="F157" s="259"/>
      <c r="G157" s="259"/>
      <c r="H157" s="259"/>
      <c r="I157" s="259"/>
      <c r="J157" s="259"/>
      <c r="K157" s="259"/>
      <c r="L157" s="259"/>
      <c r="M157" s="259"/>
      <c r="N157" s="259"/>
      <c r="O157" s="259"/>
      <c r="P157" s="259"/>
      <c r="Q157" s="259"/>
      <c r="R157" s="259"/>
      <c r="S157" s="259"/>
      <c r="T157" s="259"/>
      <c r="U157" s="259"/>
      <c r="V157" s="259"/>
      <c r="W157" s="161"/>
      <c r="X157" s="162"/>
      <c r="Y157" s="148"/>
    </row>
    <row r="158" spans="2:32" ht="27" customHeight="1" x14ac:dyDescent="0.45">
      <c r="B158" s="84" t="s">
        <v>321</v>
      </c>
      <c r="C158" s="259"/>
      <c r="D158" s="259"/>
      <c r="E158" s="259"/>
      <c r="F158" s="259"/>
      <c r="G158" s="259"/>
      <c r="H158" s="259"/>
      <c r="I158" s="259"/>
      <c r="J158" s="259"/>
      <c r="K158" s="259"/>
      <c r="L158" s="259"/>
      <c r="M158" s="259"/>
      <c r="N158" s="259"/>
      <c r="O158" s="259"/>
      <c r="P158" s="259"/>
      <c r="Q158" s="259"/>
      <c r="R158" s="259"/>
      <c r="S158" s="259"/>
      <c r="T158" s="259"/>
      <c r="U158" s="259"/>
      <c r="V158" s="259"/>
      <c r="W158" s="161"/>
      <c r="X158" s="162"/>
      <c r="Y158" s="148"/>
    </row>
    <row r="159" spans="2:32" ht="27" customHeight="1" x14ac:dyDescent="0.45">
      <c r="B159" s="84" t="s">
        <v>322</v>
      </c>
      <c r="C159" s="259"/>
      <c r="D159" s="259"/>
      <c r="E159" s="259"/>
      <c r="F159" s="259"/>
      <c r="G159" s="259"/>
      <c r="H159" s="259"/>
      <c r="I159" s="259"/>
      <c r="J159" s="259"/>
      <c r="K159" s="259"/>
      <c r="L159" s="259"/>
      <c r="M159" s="259"/>
      <c r="N159" s="259"/>
      <c r="O159" s="259"/>
      <c r="P159" s="259"/>
      <c r="Q159" s="259"/>
      <c r="R159" s="259"/>
      <c r="S159" s="259"/>
      <c r="T159" s="259"/>
      <c r="U159" s="259"/>
      <c r="V159" s="259"/>
      <c r="W159" s="161"/>
      <c r="X159" s="162"/>
      <c r="Y159" s="148"/>
    </row>
    <row r="160" spans="2:32" ht="27" customHeight="1" x14ac:dyDescent="0.45">
      <c r="B160" s="84" t="s">
        <v>323</v>
      </c>
      <c r="C160" s="259"/>
      <c r="D160" s="259"/>
      <c r="E160" s="259"/>
      <c r="F160" s="259"/>
      <c r="G160" s="259"/>
      <c r="H160" s="259"/>
      <c r="I160" s="259"/>
      <c r="J160" s="259"/>
      <c r="K160" s="259"/>
      <c r="L160" s="259"/>
      <c r="M160" s="259"/>
      <c r="N160" s="259"/>
      <c r="O160" s="259"/>
      <c r="P160" s="259"/>
      <c r="Q160" s="259"/>
      <c r="R160" s="259"/>
      <c r="S160" s="259"/>
      <c r="T160" s="259"/>
      <c r="U160" s="259"/>
      <c r="V160" s="259"/>
      <c r="W160" s="161"/>
      <c r="X160" s="162"/>
      <c r="Y160" s="148"/>
    </row>
    <row r="161" spans="2:25" ht="27" customHeight="1" x14ac:dyDescent="0.45">
      <c r="B161" s="84" t="s">
        <v>324</v>
      </c>
      <c r="C161" s="259"/>
      <c r="D161" s="259"/>
      <c r="E161" s="259"/>
      <c r="F161" s="259"/>
      <c r="G161" s="259"/>
      <c r="H161" s="259"/>
      <c r="I161" s="259"/>
      <c r="J161" s="259"/>
      <c r="K161" s="259"/>
      <c r="L161" s="259"/>
      <c r="M161" s="259"/>
      <c r="N161" s="259"/>
      <c r="O161" s="259"/>
      <c r="P161" s="259"/>
      <c r="Q161" s="259"/>
      <c r="R161" s="259"/>
      <c r="S161" s="259"/>
      <c r="T161" s="259"/>
      <c r="U161" s="259"/>
      <c r="V161" s="259"/>
      <c r="W161" s="161"/>
      <c r="X161" s="162"/>
      <c r="Y161" s="148"/>
    </row>
    <row r="162" spans="2:25" ht="27" customHeight="1" x14ac:dyDescent="0.45">
      <c r="B162" s="84" t="s">
        <v>325</v>
      </c>
      <c r="C162" s="259"/>
      <c r="D162" s="259"/>
      <c r="E162" s="259"/>
      <c r="F162" s="259"/>
      <c r="G162" s="259"/>
      <c r="H162" s="259"/>
      <c r="I162" s="259"/>
      <c r="J162" s="259"/>
      <c r="K162" s="259"/>
      <c r="L162" s="259"/>
      <c r="M162" s="259"/>
      <c r="N162" s="259"/>
      <c r="O162" s="259"/>
      <c r="P162" s="259"/>
      <c r="Q162" s="259"/>
      <c r="R162" s="259"/>
      <c r="S162" s="259"/>
      <c r="T162" s="259"/>
      <c r="U162" s="259"/>
      <c r="V162" s="259"/>
      <c r="W162" s="161"/>
      <c r="X162" s="162"/>
      <c r="Y162" s="148"/>
    </row>
    <row r="163" spans="2:25" ht="27" customHeight="1" x14ac:dyDescent="0.45">
      <c r="B163" s="84" t="s">
        <v>381</v>
      </c>
      <c r="C163" s="259"/>
      <c r="D163" s="259"/>
      <c r="E163" s="259"/>
      <c r="F163" s="259"/>
      <c r="G163" s="259"/>
      <c r="H163" s="259"/>
      <c r="I163" s="259"/>
      <c r="J163" s="259"/>
      <c r="K163" s="259"/>
      <c r="L163" s="259"/>
      <c r="M163" s="259"/>
      <c r="N163" s="259"/>
      <c r="O163" s="259"/>
      <c r="P163" s="259"/>
      <c r="Q163" s="259"/>
      <c r="R163" s="259"/>
      <c r="S163" s="259"/>
      <c r="T163" s="259"/>
      <c r="U163" s="259"/>
      <c r="V163" s="259"/>
      <c r="W163" s="161"/>
      <c r="X163" s="162"/>
      <c r="Y163" s="148"/>
    </row>
    <row r="164" spans="2:25" ht="27" customHeight="1" x14ac:dyDescent="0.45">
      <c r="B164" s="84" t="s">
        <v>382</v>
      </c>
      <c r="C164" s="259"/>
      <c r="D164" s="259"/>
      <c r="E164" s="259"/>
      <c r="F164" s="259"/>
      <c r="G164" s="259"/>
      <c r="H164" s="259"/>
      <c r="I164" s="259"/>
      <c r="J164" s="259"/>
      <c r="K164" s="259"/>
      <c r="L164" s="259"/>
      <c r="M164" s="259"/>
      <c r="N164" s="259"/>
      <c r="O164" s="259"/>
      <c r="P164" s="259"/>
      <c r="Q164" s="259"/>
      <c r="R164" s="259"/>
      <c r="S164" s="259"/>
      <c r="T164" s="259"/>
      <c r="U164" s="259"/>
      <c r="V164" s="259"/>
      <c r="W164" s="161"/>
      <c r="X164" s="162"/>
      <c r="Y164" s="148"/>
    </row>
    <row r="165" spans="2:25" ht="27" customHeight="1" x14ac:dyDescent="0.45">
      <c r="B165" s="84" t="s">
        <v>383</v>
      </c>
      <c r="C165" s="259"/>
      <c r="D165" s="259"/>
      <c r="E165" s="259"/>
      <c r="F165" s="259"/>
      <c r="G165" s="259"/>
      <c r="H165" s="259"/>
      <c r="I165" s="259"/>
      <c r="J165" s="259"/>
      <c r="K165" s="259"/>
      <c r="L165" s="259"/>
      <c r="M165" s="259"/>
      <c r="N165" s="259"/>
      <c r="O165" s="259"/>
      <c r="P165" s="259"/>
      <c r="Q165" s="259"/>
      <c r="R165" s="259"/>
      <c r="S165" s="259"/>
      <c r="T165" s="259"/>
      <c r="U165" s="259"/>
      <c r="V165" s="259"/>
      <c r="W165" s="161"/>
      <c r="X165" s="162"/>
      <c r="Y165" s="148"/>
    </row>
    <row r="166" spans="2:25" ht="27" customHeight="1" x14ac:dyDescent="0.45">
      <c r="B166" s="84" t="s">
        <v>384</v>
      </c>
      <c r="C166" s="259"/>
      <c r="D166" s="259"/>
      <c r="E166" s="259"/>
      <c r="F166" s="259"/>
      <c r="G166" s="259"/>
      <c r="H166" s="259"/>
      <c r="I166" s="259"/>
      <c r="J166" s="259"/>
      <c r="K166" s="259"/>
      <c r="L166" s="259"/>
      <c r="M166" s="259"/>
      <c r="N166" s="259"/>
      <c r="O166" s="259"/>
      <c r="P166" s="259"/>
      <c r="Q166" s="259"/>
      <c r="R166" s="259"/>
      <c r="S166" s="259"/>
      <c r="T166" s="259"/>
      <c r="U166" s="259"/>
      <c r="V166" s="259"/>
      <c r="W166" s="161"/>
      <c r="X166" s="162"/>
      <c r="Y166" s="148"/>
    </row>
    <row r="167" spans="2:25" ht="27" customHeight="1" x14ac:dyDescent="0.45">
      <c r="B167" s="84" t="s">
        <v>385</v>
      </c>
      <c r="C167" s="259"/>
      <c r="D167" s="259"/>
      <c r="E167" s="259"/>
      <c r="F167" s="259"/>
      <c r="G167" s="259"/>
      <c r="H167" s="259"/>
      <c r="I167" s="259"/>
      <c r="J167" s="259"/>
      <c r="K167" s="259"/>
      <c r="L167" s="259"/>
      <c r="M167" s="259"/>
      <c r="N167" s="259"/>
      <c r="O167" s="259"/>
      <c r="P167" s="259"/>
      <c r="Q167" s="259"/>
      <c r="R167" s="259"/>
      <c r="S167" s="259"/>
      <c r="T167" s="259"/>
      <c r="U167" s="259"/>
      <c r="V167" s="259"/>
      <c r="W167" s="161"/>
      <c r="X167" s="162"/>
      <c r="Y167" s="148"/>
    </row>
    <row r="168" spans="2:25" ht="27" customHeight="1" x14ac:dyDescent="0.45">
      <c r="B168" s="84" t="s">
        <v>386</v>
      </c>
      <c r="C168" s="259"/>
      <c r="D168" s="259"/>
      <c r="E168" s="259"/>
      <c r="F168" s="259"/>
      <c r="G168" s="259"/>
      <c r="H168" s="259"/>
      <c r="I168" s="259"/>
      <c r="J168" s="259"/>
      <c r="K168" s="259"/>
      <c r="L168" s="259"/>
      <c r="M168" s="259"/>
      <c r="N168" s="259"/>
      <c r="O168" s="259"/>
      <c r="P168" s="259"/>
      <c r="Q168" s="259"/>
      <c r="R168" s="259"/>
      <c r="S168" s="259"/>
      <c r="T168" s="259"/>
      <c r="U168" s="259"/>
      <c r="V168" s="259"/>
      <c r="W168" s="161"/>
      <c r="X168" s="162"/>
      <c r="Y168" s="148"/>
    </row>
    <row r="169" spans="2:25" ht="27" customHeight="1" x14ac:dyDescent="0.45">
      <c r="B169" s="84" t="s">
        <v>387</v>
      </c>
      <c r="C169" s="259"/>
      <c r="D169" s="259"/>
      <c r="E169" s="259"/>
      <c r="F169" s="259"/>
      <c r="G169" s="259"/>
      <c r="H169" s="259"/>
      <c r="I169" s="259"/>
      <c r="J169" s="259"/>
      <c r="K169" s="259"/>
      <c r="L169" s="259"/>
      <c r="M169" s="259"/>
      <c r="N169" s="259"/>
      <c r="O169" s="259"/>
      <c r="P169" s="259"/>
      <c r="Q169" s="259"/>
      <c r="R169" s="259"/>
      <c r="S169" s="259"/>
      <c r="T169" s="259"/>
      <c r="U169" s="259"/>
      <c r="V169" s="259"/>
      <c r="W169" s="161"/>
      <c r="X169" s="162"/>
      <c r="Y169" s="148"/>
    </row>
    <row r="170" spans="2:25" ht="27" customHeight="1" x14ac:dyDescent="0.45">
      <c r="B170" s="84" t="s">
        <v>388</v>
      </c>
      <c r="C170" s="259"/>
      <c r="D170" s="259"/>
      <c r="E170" s="259"/>
      <c r="F170" s="259"/>
      <c r="G170" s="259"/>
      <c r="H170" s="259"/>
      <c r="I170" s="259"/>
      <c r="J170" s="259"/>
      <c r="K170" s="259"/>
      <c r="L170" s="259"/>
      <c r="M170" s="259"/>
      <c r="N170" s="259"/>
      <c r="O170" s="259"/>
      <c r="P170" s="259"/>
      <c r="Q170" s="259"/>
      <c r="R170" s="259"/>
      <c r="S170" s="259"/>
      <c r="T170" s="259"/>
      <c r="U170" s="259"/>
      <c r="V170" s="259"/>
      <c r="W170" s="161"/>
      <c r="X170" s="162"/>
      <c r="Y170" s="148"/>
    </row>
    <row r="171" spans="2:25" ht="27" customHeight="1" x14ac:dyDescent="0.45">
      <c r="B171" s="84" t="s">
        <v>389</v>
      </c>
      <c r="C171" s="259"/>
      <c r="D171" s="259"/>
      <c r="E171" s="259"/>
      <c r="F171" s="259"/>
      <c r="G171" s="259"/>
      <c r="H171" s="259"/>
      <c r="I171" s="259"/>
      <c r="J171" s="259"/>
      <c r="K171" s="259"/>
      <c r="L171" s="259"/>
      <c r="M171" s="259"/>
      <c r="N171" s="259"/>
      <c r="O171" s="259"/>
      <c r="P171" s="259"/>
      <c r="Q171" s="259"/>
      <c r="R171" s="259"/>
      <c r="S171" s="259"/>
      <c r="T171" s="259"/>
      <c r="U171" s="259"/>
      <c r="V171" s="259"/>
      <c r="W171" s="161"/>
      <c r="X171" s="162"/>
      <c r="Y171" s="148"/>
    </row>
    <row r="172" spans="2:25" ht="27" customHeight="1" x14ac:dyDescent="0.45">
      <c r="B172" s="84" t="s">
        <v>390</v>
      </c>
      <c r="C172" s="272"/>
      <c r="D172" s="272"/>
      <c r="E172" s="272"/>
      <c r="F172" s="272"/>
      <c r="G172" s="272"/>
      <c r="H172" s="272"/>
      <c r="I172" s="272"/>
      <c r="J172" s="272"/>
      <c r="K172" s="272"/>
      <c r="L172" s="272"/>
      <c r="M172" s="272"/>
      <c r="N172" s="272"/>
      <c r="O172" s="272"/>
      <c r="P172" s="272"/>
      <c r="Q172" s="272"/>
      <c r="R172" s="272"/>
      <c r="S172" s="272"/>
      <c r="T172" s="272"/>
      <c r="U172" s="272"/>
      <c r="V172" s="272"/>
      <c r="W172" s="161"/>
      <c r="X172" s="162"/>
      <c r="Y172" s="148"/>
    </row>
    <row r="173" spans="2:25" x14ac:dyDescent="0.45">
      <c r="B173" s="86"/>
      <c r="C173" s="87"/>
      <c r="D173" s="87"/>
      <c r="E173" s="87"/>
      <c r="F173" s="87"/>
      <c r="G173" s="87"/>
      <c r="H173" s="87"/>
      <c r="I173" s="88"/>
      <c r="J173" s="88"/>
      <c r="K173" s="88"/>
      <c r="L173" s="88"/>
      <c r="M173" s="86"/>
      <c r="N173" s="146"/>
      <c r="O173" s="146"/>
      <c r="P173" s="146"/>
      <c r="Q173" s="146"/>
      <c r="R173" s="146"/>
      <c r="S173" s="146"/>
      <c r="T173" s="146"/>
      <c r="U173" s="146"/>
      <c r="V173" s="146"/>
      <c r="W173" s="146"/>
      <c r="X173" s="146"/>
    </row>
    <row r="174" spans="2:25" ht="27" customHeight="1" x14ac:dyDescent="0.45">
      <c r="B174" s="85" t="s">
        <v>195</v>
      </c>
      <c r="C174" s="260" t="s">
        <v>134</v>
      </c>
      <c r="D174" s="260"/>
      <c r="E174" s="260"/>
      <c r="F174" s="260"/>
      <c r="G174" s="260"/>
      <c r="H174" s="270" t="s">
        <v>135</v>
      </c>
      <c r="I174" s="270"/>
      <c r="J174" s="270"/>
      <c r="K174" s="270"/>
      <c r="L174" s="270"/>
      <c r="M174" s="270"/>
      <c r="N174" s="270"/>
      <c r="O174" s="269" t="s">
        <v>305</v>
      </c>
      <c r="P174" s="269"/>
      <c r="Q174" s="269"/>
      <c r="R174" s="269"/>
      <c r="S174" s="269"/>
      <c r="T174" s="269"/>
      <c r="U174" s="268" t="s">
        <v>193</v>
      </c>
      <c r="V174" s="243"/>
      <c r="W174" s="268" t="s">
        <v>216</v>
      </c>
      <c r="X174" s="243"/>
    </row>
    <row r="175" spans="2:25" ht="27" customHeight="1" x14ac:dyDescent="0.45">
      <c r="B175" s="149" t="s">
        <v>326</v>
      </c>
      <c r="C175" s="271"/>
      <c r="D175" s="271"/>
      <c r="E175" s="271"/>
      <c r="F175" s="271"/>
      <c r="G175" s="271"/>
      <c r="H175" s="271"/>
      <c r="I175" s="271"/>
      <c r="J175" s="271"/>
      <c r="K175" s="271"/>
      <c r="L175" s="271"/>
      <c r="M175" s="271"/>
      <c r="N175" s="271"/>
      <c r="O175" s="271"/>
      <c r="P175" s="271"/>
      <c r="Q175" s="271"/>
      <c r="R175" s="271"/>
      <c r="S175" s="271"/>
      <c r="T175" s="271"/>
      <c r="U175" s="271"/>
      <c r="V175" s="271"/>
      <c r="W175" s="273"/>
      <c r="X175" s="274"/>
    </row>
    <row r="176" spans="2:25" ht="27" customHeight="1" x14ac:dyDescent="0.45">
      <c r="B176" s="150" t="s">
        <v>337</v>
      </c>
      <c r="C176" s="259"/>
      <c r="D176" s="259"/>
      <c r="E176" s="259"/>
      <c r="F176" s="259"/>
      <c r="G176" s="259"/>
      <c r="H176" s="259"/>
      <c r="I176" s="259"/>
      <c r="J176" s="259"/>
      <c r="K176" s="259"/>
      <c r="L176" s="259"/>
      <c r="M176" s="259"/>
      <c r="N176" s="259"/>
      <c r="O176" s="259"/>
      <c r="P176" s="259"/>
      <c r="Q176" s="259"/>
      <c r="R176" s="259"/>
      <c r="S176" s="259"/>
      <c r="T176" s="259"/>
      <c r="U176" s="259"/>
      <c r="V176" s="259"/>
      <c r="W176" s="275"/>
      <c r="X176" s="276"/>
    </row>
    <row r="177" spans="2:24" ht="27" customHeight="1" x14ac:dyDescent="0.45">
      <c r="B177" s="150" t="s">
        <v>328</v>
      </c>
      <c r="C177" s="259"/>
      <c r="D177" s="259"/>
      <c r="E177" s="259"/>
      <c r="F177" s="259"/>
      <c r="G177" s="259"/>
      <c r="H177" s="259"/>
      <c r="I177" s="259"/>
      <c r="J177" s="259"/>
      <c r="K177" s="259"/>
      <c r="L177" s="259"/>
      <c r="M177" s="259"/>
      <c r="N177" s="259"/>
      <c r="O177" s="259"/>
      <c r="P177" s="259"/>
      <c r="Q177" s="259"/>
      <c r="R177" s="259"/>
      <c r="S177" s="259"/>
      <c r="T177" s="259"/>
      <c r="U177" s="259"/>
      <c r="V177" s="259"/>
      <c r="W177" s="275"/>
      <c r="X177" s="276"/>
    </row>
    <row r="178" spans="2:24" ht="27" customHeight="1" x14ac:dyDescent="0.45">
      <c r="B178" s="150" t="s">
        <v>329</v>
      </c>
      <c r="C178" s="259"/>
      <c r="D178" s="259"/>
      <c r="E178" s="259"/>
      <c r="F178" s="259"/>
      <c r="G178" s="259"/>
      <c r="H178" s="259"/>
      <c r="I178" s="259"/>
      <c r="J178" s="259"/>
      <c r="K178" s="259"/>
      <c r="L178" s="259"/>
      <c r="M178" s="259"/>
      <c r="N178" s="259"/>
      <c r="O178" s="259"/>
      <c r="P178" s="259"/>
      <c r="Q178" s="259"/>
      <c r="R178" s="259"/>
      <c r="S178" s="259"/>
      <c r="T178" s="259"/>
      <c r="U178" s="259"/>
      <c r="V178" s="259"/>
      <c r="W178" s="275"/>
      <c r="X178" s="276"/>
    </row>
    <row r="179" spans="2:24" ht="27" customHeight="1" x14ac:dyDescent="0.45">
      <c r="B179" s="150" t="s">
        <v>330</v>
      </c>
      <c r="C179" s="259"/>
      <c r="D179" s="259"/>
      <c r="E179" s="259"/>
      <c r="F179" s="259"/>
      <c r="G179" s="259"/>
      <c r="H179" s="259"/>
      <c r="I179" s="259"/>
      <c r="J179" s="259"/>
      <c r="K179" s="259"/>
      <c r="L179" s="259"/>
      <c r="M179" s="259"/>
      <c r="N179" s="259"/>
      <c r="O179" s="259"/>
      <c r="P179" s="259"/>
      <c r="Q179" s="259"/>
      <c r="R179" s="259"/>
      <c r="S179" s="259"/>
      <c r="T179" s="259"/>
      <c r="U179" s="259"/>
      <c r="V179" s="259"/>
      <c r="W179" s="275"/>
      <c r="X179" s="276"/>
    </row>
    <row r="180" spans="2:24" ht="27" customHeight="1" x14ac:dyDescent="0.45">
      <c r="B180" s="150" t="s">
        <v>331</v>
      </c>
      <c r="C180" s="259"/>
      <c r="D180" s="259"/>
      <c r="E180" s="259"/>
      <c r="F180" s="259"/>
      <c r="G180" s="259"/>
      <c r="H180" s="259"/>
      <c r="I180" s="259"/>
      <c r="J180" s="259"/>
      <c r="K180" s="259"/>
      <c r="L180" s="259"/>
      <c r="M180" s="259"/>
      <c r="N180" s="259"/>
      <c r="O180" s="259"/>
      <c r="P180" s="259"/>
      <c r="Q180" s="259"/>
      <c r="R180" s="259"/>
      <c r="S180" s="259"/>
      <c r="T180" s="259"/>
      <c r="U180" s="259"/>
      <c r="V180" s="259"/>
      <c r="W180" s="275"/>
      <c r="X180" s="276"/>
    </row>
    <row r="181" spans="2:24" ht="27" customHeight="1" x14ac:dyDescent="0.45">
      <c r="B181" s="150" t="s">
        <v>332</v>
      </c>
      <c r="C181" s="259"/>
      <c r="D181" s="259"/>
      <c r="E181" s="259"/>
      <c r="F181" s="259"/>
      <c r="G181" s="259"/>
      <c r="H181" s="259"/>
      <c r="I181" s="259"/>
      <c r="J181" s="259"/>
      <c r="K181" s="259"/>
      <c r="L181" s="259"/>
      <c r="M181" s="259"/>
      <c r="N181" s="259"/>
      <c r="O181" s="259"/>
      <c r="P181" s="259"/>
      <c r="Q181" s="259"/>
      <c r="R181" s="259"/>
      <c r="S181" s="259"/>
      <c r="T181" s="259"/>
      <c r="U181" s="259"/>
      <c r="V181" s="259"/>
      <c r="W181" s="275"/>
      <c r="X181" s="276"/>
    </row>
    <row r="182" spans="2:24" ht="27" customHeight="1" x14ac:dyDescent="0.45">
      <c r="B182" s="150" t="s">
        <v>333</v>
      </c>
      <c r="C182" s="259"/>
      <c r="D182" s="259"/>
      <c r="E182" s="259"/>
      <c r="F182" s="259"/>
      <c r="G182" s="259"/>
      <c r="H182" s="259"/>
      <c r="I182" s="259"/>
      <c r="J182" s="259"/>
      <c r="K182" s="259"/>
      <c r="L182" s="259"/>
      <c r="M182" s="259"/>
      <c r="N182" s="259"/>
      <c r="O182" s="259"/>
      <c r="P182" s="259"/>
      <c r="Q182" s="259"/>
      <c r="R182" s="259"/>
      <c r="S182" s="259"/>
      <c r="T182" s="259"/>
      <c r="U182" s="259"/>
      <c r="V182" s="259"/>
      <c r="W182" s="275"/>
      <c r="X182" s="276"/>
    </row>
    <row r="183" spans="2:24" ht="27" customHeight="1" x14ac:dyDescent="0.45">
      <c r="B183" s="150" t="s">
        <v>334</v>
      </c>
      <c r="C183" s="259"/>
      <c r="D183" s="259"/>
      <c r="E183" s="259"/>
      <c r="F183" s="259"/>
      <c r="G183" s="259"/>
      <c r="H183" s="259"/>
      <c r="I183" s="259"/>
      <c r="J183" s="259"/>
      <c r="K183" s="259"/>
      <c r="L183" s="259"/>
      <c r="M183" s="259"/>
      <c r="N183" s="259"/>
      <c r="O183" s="259"/>
      <c r="P183" s="259"/>
      <c r="Q183" s="259"/>
      <c r="R183" s="259"/>
      <c r="S183" s="259"/>
      <c r="T183" s="259"/>
      <c r="U183" s="259"/>
      <c r="V183" s="259"/>
      <c r="W183" s="275"/>
      <c r="X183" s="276"/>
    </row>
    <row r="184" spans="2:24" ht="27" customHeight="1" x14ac:dyDescent="0.45">
      <c r="B184" s="150" t="s">
        <v>335</v>
      </c>
      <c r="C184" s="259"/>
      <c r="D184" s="259"/>
      <c r="E184" s="259"/>
      <c r="F184" s="259"/>
      <c r="G184" s="259"/>
      <c r="H184" s="259"/>
      <c r="I184" s="259"/>
      <c r="J184" s="259"/>
      <c r="K184" s="259"/>
      <c r="L184" s="259"/>
      <c r="M184" s="259"/>
      <c r="N184" s="259"/>
      <c r="O184" s="259"/>
      <c r="P184" s="259"/>
      <c r="Q184" s="259"/>
      <c r="R184" s="259"/>
      <c r="S184" s="259"/>
      <c r="T184" s="259"/>
      <c r="U184" s="259"/>
      <c r="V184" s="259"/>
      <c r="W184" s="275"/>
      <c r="X184" s="276"/>
    </row>
    <row r="185" spans="2:24" ht="27" customHeight="1" x14ac:dyDescent="0.45">
      <c r="B185" s="150" t="s">
        <v>391</v>
      </c>
      <c r="C185" s="259"/>
      <c r="D185" s="259"/>
      <c r="E185" s="259"/>
      <c r="F185" s="259"/>
      <c r="G185" s="259"/>
      <c r="H185" s="259"/>
      <c r="I185" s="259"/>
      <c r="J185" s="259"/>
      <c r="K185" s="259"/>
      <c r="L185" s="259"/>
      <c r="M185" s="259"/>
      <c r="N185" s="259"/>
      <c r="O185" s="259"/>
      <c r="P185" s="259"/>
      <c r="Q185" s="259"/>
      <c r="R185" s="259"/>
      <c r="S185" s="259"/>
      <c r="T185" s="259"/>
      <c r="U185" s="259"/>
      <c r="V185" s="259"/>
      <c r="W185" s="275"/>
      <c r="X185" s="276"/>
    </row>
    <row r="186" spans="2:24" ht="27" customHeight="1" x14ac:dyDescent="0.45">
      <c r="B186" s="150" t="s">
        <v>392</v>
      </c>
      <c r="C186" s="259"/>
      <c r="D186" s="259"/>
      <c r="E186" s="259"/>
      <c r="F186" s="259"/>
      <c r="G186" s="259"/>
      <c r="H186" s="259"/>
      <c r="I186" s="259"/>
      <c r="J186" s="259"/>
      <c r="K186" s="259"/>
      <c r="L186" s="259"/>
      <c r="M186" s="259"/>
      <c r="N186" s="259"/>
      <c r="O186" s="259"/>
      <c r="P186" s="259"/>
      <c r="Q186" s="259"/>
      <c r="R186" s="259"/>
      <c r="S186" s="259"/>
      <c r="T186" s="259"/>
      <c r="U186" s="259"/>
      <c r="V186" s="259"/>
      <c r="W186" s="275"/>
      <c r="X186" s="276"/>
    </row>
    <row r="187" spans="2:24" ht="27" customHeight="1" x14ac:dyDescent="0.45">
      <c r="B187" s="150" t="s">
        <v>393</v>
      </c>
      <c r="C187" s="259"/>
      <c r="D187" s="259"/>
      <c r="E187" s="259"/>
      <c r="F187" s="259"/>
      <c r="G187" s="259"/>
      <c r="H187" s="259"/>
      <c r="I187" s="259"/>
      <c r="J187" s="259"/>
      <c r="K187" s="259"/>
      <c r="L187" s="259"/>
      <c r="M187" s="259"/>
      <c r="N187" s="259"/>
      <c r="O187" s="259"/>
      <c r="P187" s="259"/>
      <c r="Q187" s="259"/>
      <c r="R187" s="259"/>
      <c r="S187" s="259"/>
      <c r="T187" s="259"/>
      <c r="U187" s="259"/>
      <c r="V187" s="259"/>
      <c r="W187" s="275"/>
      <c r="X187" s="276"/>
    </row>
    <row r="188" spans="2:24" ht="27" customHeight="1" x14ac:dyDescent="0.45">
      <c r="B188" s="150" t="s">
        <v>394</v>
      </c>
      <c r="C188" s="259"/>
      <c r="D188" s="259"/>
      <c r="E188" s="259"/>
      <c r="F188" s="259"/>
      <c r="G188" s="259"/>
      <c r="H188" s="259"/>
      <c r="I188" s="259"/>
      <c r="J188" s="259"/>
      <c r="K188" s="259"/>
      <c r="L188" s="259"/>
      <c r="M188" s="259"/>
      <c r="N188" s="259"/>
      <c r="O188" s="259"/>
      <c r="P188" s="259"/>
      <c r="Q188" s="259"/>
      <c r="R188" s="259"/>
      <c r="S188" s="259"/>
      <c r="T188" s="259"/>
      <c r="U188" s="259"/>
      <c r="V188" s="259"/>
      <c r="W188" s="275"/>
      <c r="X188" s="276"/>
    </row>
    <row r="189" spans="2:24" ht="27" customHeight="1" x14ac:dyDescent="0.45">
      <c r="B189" s="150" t="s">
        <v>395</v>
      </c>
      <c r="C189" s="259"/>
      <c r="D189" s="259"/>
      <c r="E189" s="259"/>
      <c r="F189" s="259"/>
      <c r="G189" s="259"/>
      <c r="H189" s="259"/>
      <c r="I189" s="259"/>
      <c r="J189" s="259"/>
      <c r="K189" s="259"/>
      <c r="L189" s="259"/>
      <c r="M189" s="259"/>
      <c r="N189" s="259"/>
      <c r="O189" s="259"/>
      <c r="P189" s="259"/>
      <c r="Q189" s="259"/>
      <c r="R189" s="259"/>
      <c r="S189" s="259"/>
      <c r="T189" s="259"/>
      <c r="U189" s="259"/>
      <c r="V189" s="259"/>
      <c r="W189" s="275"/>
      <c r="X189" s="276"/>
    </row>
    <row r="190" spans="2:24" ht="27" customHeight="1" x14ac:dyDescent="0.45">
      <c r="B190" s="150" t="s">
        <v>396</v>
      </c>
      <c r="C190" s="259"/>
      <c r="D190" s="259"/>
      <c r="E190" s="259"/>
      <c r="F190" s="259"/>
      <c r="G190" s="259"/>
      <c r="H190" s="259"/>
      <c r="I190" s="259"/>
      <c r="J190" s="259"/>
      <c r="K190" s="259"/>
      <c r="L190" s="259"/>
      <c r="M190" s="259"/>
      <c r="N190" s="259"/>
      <c r="O190" s="259"/>
      <c r="P190" s="259"/>
      <c r="Q190" s="259"/>
      <c r="R190" s="259"/>
      <c r="S190" s="259"/>
      <c r="T190" s="259"/>
      <c r="U190" s="259"/>
      <c r="V190" s="259"/>
      <c r="W190" s="275"/>
      <c r="X190" s="276"/>
    </row>
    <row r="191" spans="2:24" ht="27" customHeight="1" x14ac:dyDescent="0.45">
      <c r="B191" s="150" t="s">
        <v>397</v>
      </c>
      <c r="C191" s="259"/>
      <c r="D191" s="259"/>
      <c r="E191" s="259"/>
      <c r="F191" s="259"/>
      <c r="G191" s="259"/>
      <c r="H191" s="259"/>
      <c r="I191" s="259"/>
      <c r="J191" s="259"/>
      <c r="K191" s="259"/>
      <c r="L191" s="259"/>
      <c r="M191" s="259"/>
      <c r="N191" s="259"/>
      <c r="O191" s="259"/>
      <c r="P191" s="259"/>
      <c r="Q191" s="259"/>
      <c r="R191" s="259"/>
      <c r="S191" s="259"/>
      <c r="T191" s="259"/>
      <c r="U191" s="259"/>
      <c r="V191" s="259"/>
      <c r="W191" s="275"/>
      <c r="X191" s="276"/>
    </row>
    <row r="192" spans="2:24" ht="27" customHeight="1" x14ac:dyDescent="0.45">
      <c r="B192" s="150" t="s">
        <v>398</v>
      </c>
      <c r="C192" s="259"/>
      <c r="D192" s="259"/>
      <c r="E192" s="259"/>
      <c r="F192" s="259"/>
      <c r="G192" s="259"/>
      <c r="H192" s="259"/>
      <c r="I192" s="259"/>
      <c r="J192" s="259"/>
      <c r="K192" s="259"/>
      <c r="L192" s="259"/>
      <c r="M192" s="259"/>
      <c r="N192" s="259"/>
      <c r="O192" s="259"/>
      <c r="P192" s="259"/>
      <c r="Q192" s="259"/>
      <c r="R192" s="259"/>
      <c r="S192" s="259"/>
      <c r="T192" s="259"/>
      <c r="U192" s="259"/>
      <c r="V192" s="259"/>
      <c r="W192" s="275"/>
      <c r="X192" s="276"/>
    </row>
    <row r="193" spans="2:24" ht="27" customHeight="1" x14ac:dyDescent="0.45">
      <c r="B193" s="150" t="s">
        <v>399</v>
      </c>
      <c r="C193" s="259"/>
      <c r="D193" s="259"/>
      <c r="E193" s="259"/>
      <c r="F193" s="259"/>
      <c r="G193" s="259"/>
      <c r="H193" s="259"/>
      <c r="I193" s="259"/>
      <c r="J193" s="259"/>
      <c r="K193" s="259"/>
      <c r="L193" s="259"/>
      <c r="M193" s="259"/>
      <c r="N193" s="259"/>
      <c r="O193" s="259"/>
      <c r="P193" s="259"/>
      <c r="Q193" s="259"/>
      <c r="R193" s="259"/>
      <c r="S193" s="259"/>
      <c r="T193" s="259"/>
      <c r="U193" s="259"/>
      <c r="V193" s="259"/>
      <c r="W193" s="275"/>
      <c r="X193" s="276"/>
    </row>
    <row r="194" spans="2:24" ht="27" customHeight="1" x14ac:dyDescent="0.45">
      <c r="B194" s="151" t="s">
        <v>400</v>
      </c>
      <c r="C194" s="272"/>
      <c r="D194" s="272"/>
      <c r="E194" s="272"/>
      <c r="F194" s="272"/>
      <c r="G194" s="272"/>
      <c r="H194" s="272"/>
      <c r="I194" s="272"/>
      <c r="J194" s="272"/>
      <c r="K194" s="272"/>
      <c r="L194" s="272"/>
      <c r="M194" s="272"/>
      <c r="N194" s="272"/>
      <c r="O194" s="272"/>
      <c r="P194" s="272"/>
      <c r="Q194" s="272"/>
      <c r="R194" s="272"/>
      <c r="S194" s="272"/>
      <c r="T194" s="272"/>
      <c r="U194" s="272"/>
      <c r="V194" s="272"/>
      <c r="W194" s="277"/>
      <c r="X194" s="278"/>
    </row>
    <row r="195" spans="2:24" x14ac:dyDescent="0.45">
      <c r="B195" s="38"/>
      <c r="C195" s="39"/>
    </row>
  </sheetData>
  <sheetProtection password="DFA8" sheet="1" objects="1" scenarios="1" formatCells="0" selectLockedCells="1"/>
  <mergeCells count="417">
    <mergeCell ref="H22:O22"/>
    <mergeCell ref="H106:O106"/>
    <mergeCell ref="W193:X193"/>
    <mergeCell ref="W194:X194"/>
    <mergeCell ref="O193:T193"/>
    <mergeCell ref="U193:V193"/>
    <mergeCell ref="C194:G194"/>
    <mergeCell ref="H194:N194"/>
    <mergeCell ref="O194:T194"/>
    <mergeCell ref="U194:V194"/>
    <mergeCell ref="C193:G193"/>
    <mergeCell ref="H193:N193"/>
    <mergeCell ref="W174:X174"/>
    <mergeCell ref="W175:X175"/>
    <mergeCell ref="W176:X176"/>
    <mergeCell ref="W177:X177"/>
    <mergeCell ref="W178:X178"/>
    <mergeCell ref="W179:X179"/>
    <mergeCell ref="W180:X180"/>
    <mergeCell ref="W181:X181"/>
    <mergeCell ref="W182:X182"/>
    <mergeCell ref="C192:G192"/>
    <mergeCell ref="H192:N192"/>
    <mergeCell ref="O192:T192"/>
    <mergeCell ref="U192:V192"/>
    <mergeCell ref="C190:G190"/>
    <mergeCell ref="H190:N190"/>
    <mergeCell ref="W183:X183"/>
    <mergeCell ref="W184:X184"/>
    <mergeCell ref="W185:X185"/>
    <mergeCell ref="W186:X186"/>
    <mergeCell ref="W187:X187"/>
    <mergeCell ref="W188:X188"/>
    <mergeCell ref="W189:X189"/>
    <mergeCell ref="W190:X190"/>
    <mergeCell ref="W191:X191"/>
    <mergeCell ref="W192:X192"/>
    <mergeCell ref="C189:G189"/>
    <mergeCell ref="H189:N189"/>
    <mergeCell ref="O189:T189"/>
    <mergeCell ref="U189:V189"/>
    <mergeCell ref="C187:G187"/>
    <mergeCell ref="H187:N187"/>
    <mergeCell ref="O190:T190"/>
    <mergeCell ref="U190:V190"/>
    <mergeCell ref="C191:G191"/>
    <mergeCell ref="H191:N191"/>
    <mergeCell ref="O191:T191"/>
    <mergeCell ref="U191:V191"/>
    <mergeCell ref="C186:G186"/>
    <mergeCell ref="H186:N186"/>
    <mergeCell ref="O186:T186"/>
    <mergeCell ref="U186:V186"/>
    <mergeCell ref="C184:G184"/>
    <mergeCell ref="H184:N184"/>
    <mergeCell ref="O187:T187"/>
    <mergeCell ref="U187:V187"/>
    <mergeCell ref="C188:G188"/>
    <mergeCell ref="H188:N188"/>
    <mergeCell ref="O188:T188"/>
    <mergeCell ref="U188:V188"/>
    <mergeCell ref="C183:G183"/>
    <mergeCell ref="H183:N183"/>
    <mergeCell ref="O183:T183"/>
    <mergeCell ref="U183:V183"/>
    <mergeCell ref="C181:G181"/>
    <mergeCell ref="H181:N181"/>
    <mergeCell ref="O184:T184"/>
    <mergeCell ref="U184:V184"/>
    <mergeCell ref="C185:G185"/>
    <mergeCell ref="H185:N185"/>
    <mergeCell ref="O185:T185"/>
    <mergeCell ref="U185:V185"/>
    <mergeCell ref="C180:G180"/>
    <mergeCell ref="H180:N180"/>
    <mergeCell ref="O180:T180"/>
    <mergeCell ref="U180:V180"/>
    <mergeCell ref="C178:G178"/>
    <mergeCell ref="H178:N178"/>
    <mergeCell ref="O181:T181"/>
    <mergeCell ref="U181:V181"/>
    <mergeCell ref="C182:G182"/>
    <mergeCell ref="H182:N182"/>
    <mergeCell ref="O182:T182"/>
    <mergeCell ref="U182:V182"/>
    <mergeCell ref="C177:G177"/>
    <mergeCell ref="H177:N177"/>
    <mergeCell ref="O177:T177"/>
    <mergeCell ref="U177:V177"/>
    <mergeCell ref="C175:G175"/>
    <mergeCell ref="H175:N175"/>
    <mergeCell ref="O178:T178"/>
    <mergeCell ref="U178:V178"/>
    <mergeCell ref="C179:G179"/>
    <mergeCell ref="H179:N179"/>
    <mergeCell ref="O179:T179"/>
    <mergeCell ref="U179:V179"/>
    <mergeCell ref="C174:G174"/>
    <mergeCell ref="H174:N174"/>
    <mergeCell ref="O174:T174"/>
    <mergeCell ref="U174:V174"/>
    <mergeCell ref="C171:G171"/>
    <mergeCell ref="H171:N171"/>
    <mergeCell ref="O175:T175"/>
    <mergeCell ref="U175:V175"/>
    <mergeCell ref="C176:G176"/>
    <mergeCell ref="H176:N176"/>
    <mergeCell ref="O176:T176"/>
    <mergeCell ref="U176:V176"/>
    <mergeCell ref="C170:G170"/>
    <mergeCell ref="H170:N170"/>
    <mergeCell ref="O170:T170"/>
    <mergeCell ref="U170:V170"/>
    <mergeCell ref="O171:T171"/>
    <mergeCell ref="U171:V171"/>
    <mergeCell ref="C172:G172"/>
    <mergeCell ref="H172:N172"/>
    <mergeCell ref="O172:T172"/>
    <mergeCell ref="U172:V172"/>
    <mergeCell ref="C167:G167"/>
    <mergeCell ref="H167:N167"/>
    <mergeCell ref="O167:T167"/>
    <mergeCell ref="U167:V167"/>
    <mergeCell ref="C168:G168"/>
    <mergeCell ref="H168:N168"/>
    <mergeCell ref="O168:T168"/>
    <mergeCell ref="U168:V168"/>
    <mergeCell ref="C169:G169"/>
    <mergeCell ref="H169:N169"/>
    <mergeCell ref="O169:T169"/>
    <mergeCell ref="U169:V169"/>
    <mergeCell ref="C164:G164"/>
    <mergeCell ref="H164:N164"/>
    <mergeCell ref="O164:T164"/>
    <mergeCell ref="U164:V164"/>
    <mergeCell ref="C165:G165"/>
    <mergeCell ref="H165:N165"/>
    <mergeCell ref="O165:T165"/>
    <mergeCell ref="U165:V165"/>
    <mergeCell ref="C166:G166"/>
    <mergeCell ref="H166:N166"/>
    <mergeCell ref="O166:T166"/>
    <mergeCell ref="U166:V166"/>
    <mergeCell ref="C161:G161"/>
    <mergeCell ref="H161:N161"/>
    <mergeCell ref="O161:T161"/>
    <mergeCell ref="U161:V161"/>
    <mergeCell ref="C162:G162"/>
    <mergeCell ref="H162:N162"/>
    <mergeCell ref="O162:T162"/>
    <mergeCell ref="U162:V162"/>
    <mergeCell ref="C163:G163"/>
    <mergeCell ref="H163:N163"/>
    <mergeCell ref="O163:T163"/>
    <mergeCell ref="U163:V163"/>
    <mergeCell ref="C158:G158"/>
    <mergeCell ref="H158:N158"/>
    <mergeCell ref="O158:T158"/>
    <mergeCell ref="U158:V158"/>
    <mergeCell ref="C159:G159"/>
    <mergeCell ref="H159:N159"/>
    <mergeCell ref="O159:T159"/>
    <mergeCell ref="U159:V159"/>
    <mergeCell ref="C160:G160"/>
    <mergeCell ref="H160:N160"/>
    <mergeCell ref="O160:T160"/>
    <mergeCell ref="U160:V160"/>
    <mergeCell ref="C155:G155"/>
    <mergeCell ref="H155:N155"/>
    <mergeCell ref="O155:T155"/>
    <mergeCell ref="U155:V155"/>
    <mergeCell ref="C156:G156"/>
    <mergeCell ref="H156:N156"/>
    <mergeCell ref="O156:T156"/>
    <mergeCell ref="U156:V156"/>
    <mergeCell ref="C157:G157"/>
    <mergeCell ref="H157:N157"/>
    <mergeCell ref="O157:T157"/>
    <mergeCell ref="U157:V157"/>
    <mergeCell ref="F106:G106"/>
    <mergeCell ref="C153:G153"/>
    <mergeCell ref="H153:N153"/>
    <mergeCell ref="O153:T153"/>
    <mergeCell ref="U153:V153"/>
    <mergeCell ref="C154:G154"/>
    <mergeCell ref="H154:N154"/>
    <mergeCell ref="O154:T154"/>
    <mergeCell ref="U154:V154"/>
    <mergeCell ref="C99:G99"/>
    <mergeCell ref="H99:N99"/>
    <mergeCell ref="O99:T99"/>
    <mergeCell ref="U99:V99"/>
    <mergeCell ref="C100:G100"/>
    <mergeCell ref="H100:N100"/>
    <mergeCell ref="O100:T100"/>
    <mergeCell ref="U100:V100"/>
    <mergeCell ref="C152:G152"/>
    <mergeCell ref="H152:N152"/>
    <mergeCell ref="O152:T152"/>
    <mergeCell ref="U152:V152"/>
    <mergeCell ref="B111:C111"/>
    <mergeCell ref="B131:C131"/>
    <mergeCell ref="B130:C130"/>
    <mergeCell ref="B109:C109"/>
    <mergeCell ref="B110:C110"/>
    <mergeCell ref="B112:C112"/>
    <mergeCell ref="B103:F103"/>
    <mergeCell ref="B113:C113"/>
    <mergeCell ref="B137:B139"/>
    <mergeCell ref="B132:C132"/>
    <mergeCell ref="B133:C133"/>
    <mergeCell ref="B134:C134"/>
    <mergeCell ref="C96:G96"/>
    <mergeCell ref="H96:N96"/>
    <mergeCell ref="O96:T96"/>
    <mergeCell ref="U96:V96"/>
    <mergeCell ref="C97:G97"/>
    <mergeCell ref="H97:N97"/>
    <mergeCell ref="O97:T97"/>
    <mergeCell ref="U97:V97"/>
    <mergeCell ref="C98:G98"/>
    <mergeCell ref="H98:N98"/>
    <mergeCell ref="O98:T98"/>
    <mergeCell ref="U98:V98"/>
    <mergeCell ref="C93:G93"/>
    <mergeCell ref="H93:N93"/>
    <mergeCell ref="O93:T93"/>
    <mergeCell ref="U93:V93"/>
    <mergeCell ref="C94:G94"/>
    <mergeCell ref="H94:N94"/>
    <mergeCell ref="O94:T94"/>
    <mergeCell ref="U94:V94"/>
    <mergeCell ref="C95:G95"/>
    <mergeCell ref="H95:N95"/>
    <mergeCell ref="O95:T95"/>
    <mergeCell ref="U95:V95"/>
    <mergeCell ref="O90:T90"/>
    <mergeCell ref="U90:V90"/>
    <mergeCell ref="C91:G91"/>
    <mergeCell ref="H91:N91"/>
    <mergeCell ref="O91:T91"/>
    <mergeCell ref="U91:V91"/>
    <mergeCell ref="C92:G92"/>
    <mergeCell ref="H92:N92"/>
    <mergeCell ref="O92:T92"/>
    <mergeCell ref="U92:V92"/>
    <mergeCell ref="C90:G90"/>
    <mergeCell ref="H90:N90"/>
    <mergeCell ref="C88:G88"/>
    <mergeCell ref="H88:N88"/>
    <mergeCell ref="O88:T88"/>
    <mergeCell ref="U88:V88"/>
    <mergeCell ref="C89:G89"/>
    <mergeCell ref="H89:N89"/>
    <mergeCell ref="O89:T89"/>
    <mergeCell ref="U89:V89"/>
    <mergeCell ref="C87:G87"/>
    <mergeCell ref="H87:N87"/>
    <mergeCell ref="H85:N85"/>
    <mergeCell ref="O85:T85"/>
    <mergeCell ref="U85:V85"/>
    <mergeCell ref="C86:G86"/>
    <mergeCell ref="H86:N86"/>
    <mergeCell ref="O86:T86"/>
    <mergeCell ref="U86:V86"/>
    <mergeCell ref="O87:T87"/>
    <mergeCell ref="U87:V87"/>
    <mergeCell ref="W98:X98"/>
    <mergeCell ref="W99:X99"/>
    <mergeCell ref="W100:X100"/>
    <mergeCell ref="C80:G80"/>
    <mergeCell ref="H80:N80"/>
    <mergeCell ref="O80:T80"/>
    <mergeCell ref="U80:V80"/>
    <mergeCell ref="C81:G81"/>
    <mergeCell ref="H81:N81"/>
    <mergeCell ref="O81:T81"/>
    <mergeCell ref="U81:V81"/>
    <mergeCell ref="C82:G82"/>
    <mergeCell ref="H82:N82"/>
    <mergeCell ref="O82:T82"/>
    <mergeCell ref="U82:V82"/>
    <mergeCell ref="C83:G83"/>
    <mergeCell ref="H83:N83"/>
    <mergeCell ref="O83:T83"/>
    <mergeCell ref="U83:V83"/>
    <mergeCell ref="C84:G84"/>
    <mergeCell ref="H84:N84"/>
    <mergeCell ref="O84:T84"/>
    <mergeCell ref="U84:V84"/>
    <mergeCell ref="C85:G85"/>
    <mergeCell ref="W89:X89"/>
    <mergeCell ref="W90:X90"/>
    <mergeCell ref="W91:X91"/>
    <mergeCell ref="W92:X92"/>
    <mergeCell ref="W93:X93"/>
    <mergeCell ref="W94:X94"/>
    <mergeCell ref="W95:X95"/>
    <mergeCell ref="W96:X96"/>
    <mergeCell ref="W97:X97"/>
    <mergeCell ref="W80:X80"/>
    <mergeCell ref="W81:X81"/>
    <mergeCell ref="W82:X82"/>
    <mergeCell ref="W83:X83"/>
    <mergeCell ref="W84:X84"/>
    <mergeCell ref="W85:X85"/>
    <mergeCell ref="W86:X86"/>
    <mergeCell ref="W87:X87"/>
    <mergeCell ref="W88:X88"/>
    <mergeCell ref="C66:G66"/>
    <mergeCell ref="C76:G76"/>
    <mergeCell ref="C77:G77"/>
    <mergeCell ref="C78:G78"/>
    <mergeCell ref="H68:N68"/>
    <mergeCell ref="U63:V63"/>
    <mergeCell ref="U64:V64"/>
    <mergeCell ref="U65:V65"/>
    <mergeCell ref="U66:V66"/>
    <mergeCell ref="U67:V67"/>
    <mergeCell ref="U68:V68"/>
    <mergeCell ref="U69:V69"/>
    <mergeCell ref="U70:V70"/>
    <mergeCell ref="U71:V71"/>
    <mergeCell ref="U72:V72"/>
    <mergeCell ref="U73:V73"/>
    <mergeCell ref="U74:V74"/>
    <mergeCell ref="U75:V75"/>
    <mergeCell ref="U76:V76"/>
    <mergeCell ref="U77:V77"/>
    <mergeCell ref="U78:V78"/>
    <mergeCell ref="H63:N63"/>
    <mergeCell ref="H64:N64"/>
    <mergeCell ref="H65:N65"/>
    <mergeCell ref="H66:N66"/>
    <mergeCell ref="H67:N67"/>
    <mergeCell ref="H78:N78"/>
    <mergeCell ref="C67:G67"/>
    <mergeCell ref="O63:T63"/>
    <mergeCell ref="O64:T64"/>
    <mergeCell ref="O65:T65"/>
    <mergeCell ref="O66:T66"/>
    <mergeCell ref="O67:T67"/>
    <mergeCell ref="O68:T68"/>
    <mergeCell ref="O69:T69"/>
    <mergeCell ref="O70:T70"/>
    <mergeCell ref="O71:T71"/>
    <mergeCell ref="O72:T72"/>
    <mergeCell ref="O73:T73"/>
    <mergeCell ref="O74:T74"/>
    <mergeCell ref="O75:T75"/>
    <mergeCell ref="O76:T76"/>
    <mergeCell ref="O77:T77"/>
    <mergeCell ref="O78:T78"/>
    <mergeCell ref="C65:G65"/>
    <mergeCell ref="H69:N69"/>
    <mergeCell ref="H70:N70"/>
    <mergeCell ref="H71:N71"/>
    <mergeCell ref="H72:N72"/>
    <mergeCell ref="H73:N73"/>
    <mergeCell ref="H74:N74"/>
    <mergeCell ref="H75:N75"/>
    <mergeCell ref="H76:N76"/>
    <mergeCell ref="H77:N77"/>
    <mergeCell ref="U58:V58"/>
    <mergeCell ref="O58:T58"/>
    <mergeCell ref="C58:G58"/>
    <mergeCell ref="H58:N58"/>
    <mergeCell ref="C59:G59"/>
    <mergeCell ref="C60:G60"/>
    <mergeCell ref="C61:G61"/>
    <mergeCell ref="C62:G62"/>
    <mergeCell ref="O59:T59"/>
    <mergeCell ref="O60:T60"/>
    <mergeCell ref="O61:T61"/>
    <mergeCell ref="O62:T62"/>
    <mergeCell ref="U59:V59"/>
    <mergeCell ref="U60:V60"/>
    <mergeCell ref="U61:V61"/>
    <mergeCell ref="U62:V62"/>
    <mergeCell ref="H59:N59"/>
    <mergeCell ref="H60:N60"/>
    <mergeCell ref="B34:C34"/>
    <mergeCell ref="B35:C35"/>
    <mergeCell ref="B37:C37"/>
    <mergeCell ref="B38:C38"/>
    <mergeCell ref="B39:C39"/>
    <mergeCell ref="B40:C40"/>
    <mergeCell ref="B25:C25"/>
    <mergeCell ref="B26:C26"/>
    <mergeCell ref="B27:C27"/>
    <mergeCell ref="B28:C28"/>
    <mergeCell ref="B29:C29"/>
    <mergeCell ref="B36:C36"/>
    <mergeCell ref="F22:G22"/>
    <mergeCell ref="G103:H103"/>
    <mergeCell ref="B121:B122"/>
    <mergeCell ref="B142:B143"/>
    <mergeCell ref="B140:C140"/>
    <mergeCell ref="B141:C141"/>
    <mergeCell ref="B119:C119"/>
    <mergeCell ref="B120:C120"/>
    <mergeCell ref="B135:B136"/>
    <mergeCell ref="B114:B115"/>
    <mergeCell ref="B116:B118"/>
    <mergeCell ref="C68:G68"/>
    <mergeCell ref="C69:G69"/>
    <mergeCell ref="C70:G70"/>
    <mergeCell ref="C71:G71"/>
    <mergeCell ref="C72:G72"/>
    <mergeCell ref="C73:G73"/>
    <mergeCell ref="C74:G74"/>
    <mergeCell ref="C75:G75"/>
    <mergeCell ref="C63:G63"/>
    <mergeCell ref="C64:G64"/>
    <mergeCell ref="B33:C33"/>
    <mergeCell ref="H61:N61"/>
    <mergeCell ref="H62:N62"/>
  </mergeCells>
  <phoneticPr fontId="12"/>
  <conditionalFormatting sqref="D40:W40">
    <cfRule type="expression" dxfId="70" priority="53">
      <formula>D45=1</formula>
    </cfRule>
    <cfRule type="expression" dxfId="69" priority="71">
      <formula>D40="---"</formula>
    </cfRule>
    <cfRule type="expression" dxfId="68" priority="72">
      <formula>D40&gt;0.4</formula>
    </cfRule>
  </conditionalFormatting>
  <conditionalFormatting sqref="D41:W41">
    <cfRule type="expression" dxfId="67" priority="69">
      <formula>OR(D35="継続",D41="")</formula>
    </cfRule>
    <cfRule type="expression" dxfId="66" priority="70">
      <formula>AND(D41&lt;&gt;"継続",D41&lt;40)</formula>
    </cfRule>
  </conditionalFormatting>
  <conditionalFormatting sqref="D42:W42">
    <cfRule type="expression" dxfId="65" priority="62">
      <formula>OR(D35="継続",D42="")</formula>
    </cfRule>
    <cfRule type="expression" dxfId="64" priority="63">
      <formula>AND(D35&lt;&gt;"継続",D42&lt;40)</formula>
    </cfRule>
  </conditionalFormatting>
  <conditionalFormatting sqref="H22">
    <cfRule type="expression" dxfId="63" priority="57">
      <formula>H22="旧設備の入力をご確認ください。"</formula>
    </cfRule>
    <cfRule type="expression" dxfId="62" priority="60">
      <formula>H22="新設備の入力をご確認ください。"</formula>
    </cfRule>
  </conditionalFormatting>
  <conditionalFormatting sqref="D34:W34">
    <cfRule type="expression" dxfId="61" priority="55">
      <formula>D$48=1</formula>
    </cfRule>
    <cfRule type="expression" dxfId="60" priority="59">
      <formula>D$43=1</formula>
    </cfRule>
  </conditionalFormatting>
  <conditionalFormatting sqref="D35:W35">
    <cfRule type="expression" dxfId="59" priority="44">
      <formula>D$48=1</formula>
    </cfRule>
    <cfRule type="expression" dxfId="58" priority="56">
      <formula>D$43=1</formula>
    </cfRule>
  </conditionalFormatting>
  <conditionalFormatting sqref="D36:W36">
    <cfRule type="expression" dxfId="57" priority="54">
      <formula>D$48=1</formula>
    </cfRule>
  </conditionalFormatting>
  <conditionalFormatting sqref="D109:W109">
    <cfRule type="expression" dxfId="56" priority="52">
      <formula>OR(D126=1,D127=1)</formula>
    </cfRule>
  </conditionalFormatting>
  <conditionalFormatting sqref="D130:W130">
    <cfRule type="expression" dxfId="55" priority="51">
      <formula>OR(D147=1,D148=1)</formula>
    </cfRule>
  </conditionalFormatting>
  <conditionalFormatting sqref="D110:W110">
    <cfRule type="expression" dxfId="54" priority="50">
      <formula>D125=1</formula>
    </cfRule>
  </conditionalFormatting>
  <conditionalFormatting sqref="D112:W112">
    <cfRule type="expression" dxfId="53" priority="49">
      <formula>D125=1</formula>
    </cfRule>
  </conditionalFormatting>
  <conditionalFormatting sqref="D118:W118">
    <cfRule type="expression" dxfId="52" priority="48">
      <formula>D125=1</formula>
    </cfRule>
  </conditionalFormatting>
  <conditionalFormatting sqref="D131:W131">
    <cfRule type="expression" dxfId="51" priority="47">
      <formula>D146=1</formula>
    </cfRule>
  </conditionalFormatting>
  <conditionalFormatting sqref="D133:W133">
    <cfRule type="expression" dxfId="50" priority="46">
      <formula>D146=1</formula>
    </cfRule>
  </conditionalFormatting>
  <conditionalFormatting sqref="D139:W139">
    <cfRule type="expression" dxfId="49" priority="45">
      <formula>D146=1</formula>
    </cfRule>
  </conditionalFormatting>
  <conditionalFormatting sqref="H106">
    <cfRule type="expression" dxfId="48" priority="42">
      <formula>$H$106="新設備の入力をご確認ください。"</formula>
    </cfRule>
    <cfRule type="expression" dxfId="47" priority="43">
      <formula>$H$106="旧設備の入力をご確認ください。"</formula>
    </cfRule>
  </conditionalFormatting>
  <conditionalFormatting sqref="D25:W25">
    <cfRule type="expression" dxfId="46" priority="1">
      <formula>D30=1</formula>
    </cfRule>
  </conditionalFormatting>
  <conditionalFormatting sqref="D33:W33">
    <cfRule type="expression" dxfId="45" priority="27">
      <formula>D53=1</formula>
    </cfRule>
  </conditionalFormatting>
  <conditionalFormatting sqref="W81">
    <cfRule type="expression" dxfId="44" priority="26">
      <formula>$D$47=0</formula>
    </cfRule>
  </conditionalFormatting>
  <conditionalFormatting sqref="W82">
    <cfRule type="expression" dxfId="43" priority="25">
      <formula>$E$47=0</formula>
    </cfRule>
  </conditionalFormatting>
  <conditionalFormatting sqref="W83">
    <cfRule type="expression" dxfId="42" priority="24">
      <formula>$F$47=0</formula>
    </cfRule>
  </conditionalFormatting>
  <conditionalFormatting sqref="W84">
    <cfRule type="expression" dxfId="41" priority="23">
      <formula>$G$47=0</formula>
    </cfRule>
  </conditionalFormatting>
  <conditionalFormatting sqref="W85">
    <cfRule type="expression" dxfId="40" priority="22">
      <formula>$H$47=0</formula>
    </cfRule>
  </conditionalFormatting>
  <conditionalFormatting sqref="W86">
    <cfRule type="expression" dxfId="39" priority="21">
      <formula>$I$47=0</formula>
    </cfRule>
  </conditionalFormatting>
  <conditionalFormatting sqref="W87">
    <cfRule type="expression" dxfId="38" priority="20">
      <formula>$J$47=0</formula>
    </cfRule>
  </conditionalFormatting>
  <conditionalFormatting sqref="W88">
    <cfRule type="expression" dxfId="37" priority="19">
      <formula>$K$47=0</formula>
    </cfRule>
  </conditionalFormatting>
  <conditionalFormatting sqref="W89">
    <cfRule type="expression" dxfId="36" priority="18">
      <formula>$L$47=0</formula>
    </cfRule>
  </conditionalFormatting>
  <conditionalFormatting sqref="W90">
    <cfRule type="expression" dxfId="35" priority="17">
      <formula>$M$47=0</formula>
    </cfRule>
  </conditionalFormatting>
  <conditionalFormatting sqref="W91">
    <cfRule type="expression" dxfId="34" priority="16">
      <formula>$N$47=0</formula>
    </cfRule>
  </conditionalFormatting>
  <conditionalFormatting sqref="W92">
    <cfRule type="expression" dxfId="33" priority="15">
      <formula>$O$47=0</formula>
    </cfRule>
  </conditionalFormatting>
  <conditionalFormatting sqref="W93">
    <cfRule type="expression" dxfId="32" priority="14">
      <formula>$P$47=0</formula>
    </cfRule>
  </conditionalFormatting>
  <conditionalFormatting sqref="W94">
    <cfRule type="expression" dxfId="31" priority="13">
      <formula>$Q$47=0</formula>
    </cfRule>
  </conditionalFormatting>
  <conditionalFormatting sqref="W95">
    <cfRule type="expression" dxfId="30" priority="12">
      <formula>$R$47=0</formula>
    </cfRule>
  </conditionalFormatting>
  <conditionalFormatting sqref="W96">
    <cfRule type="expression" dxfId="29" priority="11">
      <formula>$S$47=0</formula>
    </cfRule>
  </conditionalFormatting>
  <conditionalFormatting sqref="W97">
    <cfRule type="expression" dxfId="28" priority="10">
      <formula>$T$47=0</formula>
    </cfRule>
  </conditionalFormatting>
  <conditionalFormatting sqref="W98">
    <cfRule type="expression" dxfId="27" priority="9">
      <formula>$U$47=0</formula>
    </cfRule>
  </conditionalFormatting>
  <conditionalFormatting sqref="W99">
    <cfRule type="expression" dxfId="26" priority="8">
      <formula>$V$47=0</formula>
    </cfRule>
  </conditionalFormatting>
  <conditionalFormatting sqref="W100">
    <cfRule type="expression" dxfId="25" priority="7">
      <formula>$W$47=0</formula>
    </cfRule>
  </conditionalFormatting>
  <conditionalFormatting sqref="H22">
    <cfRule type="expression" dxfId="24" priority="6">
      <formula>$H$22="換気設備導入の要件を満たしていないため、申請できません。"</formula>
    </cfRule>
  </conditionalFormatting>
  <conditionalFormatting sqref="H106">
    <cfRule type="expression" dxfId="23" priority="4">
      <formula>$H$106="省エネ設備更新の要件を満たしていないため、申請できません。"</formula>
    </cfRule>
  </conditionalFormatting>
  <conditionalFormatting sqref="X38">
    <cfRule type="expression" dxfId="22" priority="3">
      <formula>AND($AA$30&lt;&gt;20,$X$28&gt;$X$38)</formula>
    </cfRule>
  </conditionalFormatting>
  <conditionalFormatting sqref="X141">
    <cfRule type="expression" dxfId="21" priority="2">
      <formula>AND($AE$148&lt;&gt;0,$X$120&lt;=$X$141)</formula>
    </cfRule>
  </conditionalFormatting>
  <dataValidations count="4">
    <dataValidation allowBlank="1" showErrorMessage="1" sqref="D114:W115 D135:W138 D132:W132 D121:W122 D111:W111 D142:W143"/>
    <dataValidation allowBlank="1" showErrorMessage="1" promptTitle="『機器仕様入力書』　記入時のご注意" prompt="本シートご利用の場合は、省エネ計算シートの設備欄には記入しないでください。" sqref="D140:W141 D116:W117 D119:W120 D37:W42 D27:W29"/>
    <dataValidation allowBlank="1" sqref="C16:C17"/>
    <dataValidation type="list" allowBlank="1" showInputMessage="1" showErrorMessage="1" sqref="G103">
      <formula1>"実施を選択,はい,いいえ"</formula1>
    </dataValidation>
  </dataValidations>
  <pageMargins left="0.6692913385826772" right="0.31496062992125984" top="0.46" bottom="0.22" header="0.22" footer="0.16"/>
  <pageSetup paperSize="9" scale="34" fitToHeight="0" orientation="portrait" r:id="rId1"/>
  <headerFooter>
    <oddHeader>&amp;C&amp;20換気量・省エネ計算シート</oddHeader>
  </headerFooter>
  <rowBreaks count="1" manualBreakCount="1">
    <brk id="101" max="2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ErrorMessage="1" promptTitle="『機器仕様入力書』　記入時のご注意" prompt="本シートご利用の場合は、省エネ計算シートの設備欄には記入しないでください。">
          <x14:formula1>
            <xm:f>計算!$X$4:$X$6</xm:f>
          </x14:formula1>
          <xm:sqref>D139:W139 D118:W118</xm:sqref>
        </x14:dataValidation>
        <x14:dataValidation type="list" allowBlank="1">
          <x14:formula1>
            <xm:f>計算!$R$4:$R$9</xm:f>
          </x14:formula1>
          <xm:sqref>D34:W34</xm:sqref>
        </x14:dataValidation>
        <x14:dataValidation type="list" allowBlank="1" showInputMessage="1" showErrorMessage="1">
          <x14:formula1>
            <xm:f>計算!$T$4:$T$7</xm:f>
          </x14:formula1>
          <xm:sqref>D35:W35</xm:sqref>
        </x14:dataValidation>
        <x14:dataValidation type="list" allowBlank="1" showInputMessage="1" showErrorMessage="1">
          <x14:formula1>
            <xm:f>計算!$U$4:$U$6</xm:f>
          </x14:formula1>
          <xm:sqref>D131:W131 D110:W110</xm:sqref>
        </x14:dataValidation>
        <x14:dataValidation type="list" allowBlank="1" showErrorMessage="1">
          <x14:formula1>
            <xm:f>計算!$AA$4:$AA$6</xm:f>
          </x14:formula1>
          <xm:sqref>D112:W112 D133:W133</xm:sqref>
        </x14:dataValidation>
        <x14:dataValidation type="list" allowBlank="1" showErrorMessage="1">
          <x14:formula1>
            <xm:f>計算!$S$4:$S$8</xm:f>
          </x14:formula1>
          <xm:sqref>D26:W26</xm:sqref>
        </x14:dataValidation>
        <x14:dataValidation type="list" allowBlank="1" showInputMessage="1" showErrorMessage="1">
          <x14:formula1>
            <xm:f>計算!$V$4:$V$6</xm:f>
          </x14:formula1>
          <xm:sqref>W175:X194 Y153:Y172 W81:X100</xm:sqref>
        </x14:dataValidation>
        <x14:dataValidation type="list" allowBlank="1" showErrorMessage="1">
          <x14:formula1>
            <xm:f>計算!$Z$3:$Z$14</xm:f>
          </x14:formula1>
          <xm:sqref>D36:W36</xm:sqref>
        </x14:dataValidation>
        <x14:dataValidation type="list" allowBlank="1" showErrorMessage="1">
          <x14:formula1>
            <xm:f>計算!$Z$4:$Z$14</xm:f>
          </x14:formula1>
          <xm:sqref>D134:W134 D113:W113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T85"/>
  <sheetViews>
    <sheetView topLeftCell="A12" zoomScale="80" zoomScaleNormal="80" zoomScaleSheetLayoutView="90" workbookViewId="0">
      <selection activeCell="F35" sqref="F35"/>
    </sheetView>
  </sheetViews>
  <sheetFormatPr defaultColWidth="8.796875" defaultRowHeight="18.75" x14ac:dyDescent="0.45"/>
  <cols>
    <col min="1" max="1" width="2.296875" style="67" customWidth="1"/>
    <col min="2" max="2" width="11.8984375" style="67" customWidth="1"/>
    <col min="3" max="16" width="10.59765625" style="67" customWidth="1"/>
    <col min="17" max="17" width="2.19921875" style="67" customWidth="1"/>
    <col min="18" max="21" width="5" style="67" customWidth="1"/>
    <col min="22" max="23" width="8.796875" style="67"/>
    <col min="24" max="24" width="9.59765625" style="67" bestFit="1" customWidth="1"/>
    <col min="25" max="25" width="8.5" style="67" customWidth="1"/>
    <col min="26" max="26" width="9.296875" style="67" customWidth="1"/>
    <col min="27" max="27" width="9.296875" style="67" bestFit="1" customWidth="1"/>
    <col min="28" max="16384" width="8.796875" style="67"/>
  </cols>
  <sheetData>
    <row r="2" spans="2:11" s="23" customFormat="1" ht="19.5" x14ac:dyDescent="0.45">
      <c r="B2" s="56" t="s">
        <v>180</v>
      </c>
    </row>
    <row r="3" spans="2:11" ht="19.5" x14ac:dyDescent="0.45">
      <c r="B3" s="168" t="s">
        <v>440</v>
      </c>
      <c r="K3" s="23"/>
    </row>
    <row r="4" spans="2:11" ht="19.5" x14ac:dyDescent="0.45">
      <c r="B4" s="168" t="s">
        <v>457</v>
      </c>
      <c r="K4" s="23"/>
    </row>
    <row r="5" spans="2:11" ht="19.5" x14ac:dyDescent="0.45">
      <c r="B5" s="168" t="s">
        <v>504</v>
      </c>
      <c r="K5" s="23"/>
    </row>
    <row r="6" spans="2:11" ht="19.5" x14ac:dyDescent="0.45">
      <c r="B6" s="168" t="s">
        <v>514</v>
      </c>
      <c r="K6" s="23"/>
    </row>
    <row r="7" spans="2:11" ht="19.5" x14ac:dyDescent="0.45">
      <c r="B7" s="168" t="s">
        <v>513</v>
      </c>
      <c r="K7" s="23"/>
    </row>
    <row r="8" spans="2:11" ht="19.5" x14ac:dyDescent="0.45">
      <c r="B8" s="168" t="s">
        <v>456</v>
      </c>
      <c r="K8" s="23"/>
    </row>
    <row r="9" spans="2:11" ht="19.5" x14ac:dyDescent="0.45">
      <c r="B9" s="168" t="s">
        <v>439</v>
      </c>
      <c r="K9" s="23"/>
    </row>
    <row r="10" spans="2:11" ht="19.5" x14ac:dyDescent="0.45">
      <c r="B10" s="168" t="s">
        <v>438</v>
      </c>
      <c r="K10" s="23"/>
    </row>
    <row r="11" spans="2:11" ht="19.5" x14ac:dyDescent="0.45">
      <c r="B11" s="168" t="s">
        <v>505</v>
      </c>
      <c r="K11" s="23"/>
    </row>
    <row r="12" spans="2:11" ht="19.5" x14ac:dyDescent="0.45">
      <c r="B12" s="66"/>
      <c r="K12" s="23"/>
    </row>
    <row r="13" spans="2:11" s="23" customFormat="1" ht="19.5" x14ac:dyDescent="0.45">
      <c r="B13" s="100" t="s">
        <v>181</v>
      </c>
      <c r="C13" s="25"/>
      <c r="D13" s="54" t="s">
        <v>232</v>
      </c>
      <c r="K13" s="210"/>
    </row>
    <row r="14" spans="2:11" s="23" customFormat="1" ht="19.5" x14ac:dyDescent="0.45">
      <c r="C14" s="26"/>
      <c r="D14" s="55" t="s">
        <v>137</v>
      </c>
      <c r="J14" s="45"/>
    </row>
    <row r="15" spans="2:11" s="23" customFormat="1" ht="19.5" x14ac:dyDescent="0.45">
      <c r="C15" s="27"/>
      <c r="D15" s="55" t="s">
        <v>138</v>
      </c>
    </row>
    <row r="16" spans="2:11" s="23" customFormat="1" ht="19.5" x14ac:dyDescent="0.45">
      <c r="B16" s="24"/>
      <c r="C16" s="24"/>
    </row>
    <row r="17" spans="2:20" ht="18" customHeight="1" x14ac:dyDescent="0.45">
      <c r="B17" s="214" t="str">
        <f>'1.換気～比較表'!B19</f>
        <v>R4_Ver5.6</v>
      </c>
      <c r="J17" s="130"/>
      <c r="L17" s="23"/>
      <c r="M17" s="23"/>
      <c r="N17" s="23"/>
      <c r="O17" s="23"/>
      <c r="P17" s="23"/>
      <c r="Q17" s="23"/>
      <c r="R17" s="23"/>
    </row>
    <row r="18" spans="2:20" ht="18.75" customHeight="1" x14ac:dyDescent="0.45">
      <c r="B18" s="214"/>
      <c r="J18" s="130"/>
      <c r="L18" s="23"/>
      <c r="M18" s="23"/>
      <c r="N18" s="23"/>
      <c r="O18" s="23"/>
      <c r="P18" s="23"/>
      <c r="Q18" s="23"/>
      <c r="R18" s="23"/>
    </row>
    <row r="19" spans="2:20" ht="42.75" customHeight="1" x14ac:dyDescent="0.45">
      <c r="B19" s="68" t="s">
        <v>209</v>
      </c>
      <c r="E19" s="300" t="s">
        <v>279</v>
      </c>
      <c r="F19" s="300"/>
      <c r="G19" s="301" t="str">
        <f>IF(AND(P27=0,P39=0,P50=0,P61=0,P72=0,P83=0),"事業所のエネルギー使用について入力してください。",IF(OR(P29&lt;&gt;0,P41&lt;&gt;0,P52&lt;&gt;0,P63&lt;&gt;0,P74&lt;&gt;0,P85&lt;&gt;0),"未入力欄が有ります。確認してください。",IF(OR(P27=1,P39=1,P50=1,P61=1,P72=1,P83=1),"エネルギーの使用年度を選択してください。",IF(OR(P39=2,P39=3,P50=2,P61=2,P72=2,P83=2),"エネルギー種別・単位を選択してください。",IF(SUM(P24,P36,P47,P58,P69,P80)&lt;1500,"中小規模事業所に該当します。","中小規模事業所の要件を満たしていないため、申請できません。")))))</f>
        <v>事業所のエネルギー使用について入力してください。</v>
      </c>
      <c r="H19" s="302"/>
      <c r="I19" s="302"/>
      <c r="J19" s="302"/>
      <c r="K19" s="302"/>
      <c r="L19" s="302"/>
      <c r="M19" s="302"/>
      <c r="N19" s="303"/>
      <c r="O19" s="23"/>
      <c r="P19" s="23"/>
      <c r="Q19" s="23"/>
      <c r="R19" s="23"/>
    </row>
    <row r="20" spans="2:20" ht="19.5" customHeight="1" x14ac:dyDescent="0.45">
      <c r="B20" s="68"/>
      <c r="C20" s="68"/>
      <c r="D20" s="68"/>
      <c r="E20" s="68"/>
      <c r="F20" s="68"/>
      <c r="G20" s="68"/>
      <c r="H20" s="68"/>
      <c r="I20" s="68"/>
      <c r="J20" s="68"/>
      <c r="K20" s="68"/>
      <c r="L20" s="68"/>
      <c r="M20" s="68"/>
      <c r="N20" s="68"/>
      <c r="O20" s="23"/>
      <c r="P20" s="23"/>
      <c r="Q20" s="23"/>
      <c r="R20" s="23"/>
    </row>
    <row r="21" spans="2:20" ht="20.25" thickBot="1" x14ac:dyDescent="0.5">
      <c r="B21" s="67" t="s">
        <v>38</v>
      </c>
      <c r="E21" s="70"/>
      <c r="F21" s="70"/>
      <c r="G21" s="70"/>
      <c r="H21" s="70"/>
      <c r="I21" s="70"/>
      <c r="L21" s="23"/>
      <c r="M21" s="23"/>
      <c r="N21" s="23"/>
      <c r="O21" s="23"/>
      <c r="P21" s="23"/>
      <c r="Q21" s="23"/>
      <c r="R21" s="23"/>
    </row>
    <row r="22" spans="2:20" ht="18.75" customHeight="1" x14ac:dyDescent="0.45">
      <c r="B22" s="4" t="s">
        <v>280</v>
      </c>
      <c r="C22" s="71" t="s">
        <v>32</v>
      </c>
      <c r="D22" s="72" t="s">
        <v>31</v>
      </c>
      <c r="E22" s="72" t="s">
        <v>30</v>
      </c>
      <c r="F22" s="72" t="s">
        <v>29</v>
      </c>
      <c r="G22" s="72" t="s">
        <v>28</v>
      </c>
      <c r="H22" s="72" t="s">
        <v>27</v>
      </c>
      <c r="I22" s="72" t="s">
        <v>26</v>
      </c>
      <c r="J22" s="72" t="s">
        <v>25</v>
      </c>
      <c r="K22" s="72" t="s">
        <v>24</v>
      </c>
      <c r="L22" s="71" t="s">
        <v>23</v>
      </c>
      <c r="M22" s="72" t="s">
        <v>22</v>
      </c>
      <c r="N22" s="76" t="s">
        <v>21</v>
      </c>
      <c r="O22" s="171"/>
      <c r="P22" s="77"/>
      <c r="Q22" s="23"/>
      <c r="R22" s="23"/>
    </row>
    <row r="23" spans="2:20" ht="38.25" customHeight="1" x14ac:dyDescent="0.45">
      <c r="B23" s="74" t="s">
        <v>442</v>
      </c>
      <c r="C23" s="93"/>
      <c r="D23" s="93"/>
      <c r="E23" s="93"/>
      <c r="F23" s="93"/>
      <c r="G23" s="93"/>
      <c r="H23" s="93"/>
      <c r="I23" s="93"/>
      <c r="J23" s="93"/>
      <c r="K23" s="93"/>
      <c r="L23" s="93"/>
      <c r="M23" s="93"/>
      <c r="N23" s="93"/>
      <c r="O23" s="165" t="s">
        <v>444</v>
      </c>
      <c r="P23" s="170" t="s">
        <v>443</v>
      </c>
    </row>
    <row r="24" spans="2:20" ht="18.75" customHeight="1" x14ac:dyDescent="0.45">
      <c r="B24" s="73" t="s">
        <v>37</v>
      </c>
      <c r="C24" s="295"/>
      <c r="D24" s="295"/>
      <c r="E24" s="295"/>
      <c r="F24" s="295"/>
      <c r="G24" s="295"/>
      <c r="H24" s="295"/>
      <c r="I24" s="295"/>
      <c r="J24" s="295"/>
      <c r="K24" s="295"/>
      <c r="L24" s="295"/>
      <c r="M24" s="295"/>
      <c r="N24" s="295"/>
      <c r="O24" s="308" t="str">
        <f>IF(ISERROR(12*SUM(C24:N25)/COUNT(C24:N25)),"",12*SUM(C24:N25)/COUNT(C24:N25))</f>
        <v/>
      </c>
      <c r="P24" s="298" t="str">
        <f>IF(P27=0,"",IF(P29=1,"未入力欄を確認",IF(P27=1,"年度を選択",IF(AND(O24&gt;0,O26&gt;0,Q27=Q28,P27=4),計算!$J$3,"入力不足"))))</f>
        <v/>
      </c>
    </row>
    <row r="25" spans="2:20" ht="18.75" customHeight="1" thickBot="1" x14ac:dyDescent="0.5">
      <c r="B25" s="74" t="s">
        <v>36</v>
      </c>
      <c r="C25" s="297"/>
      <c r="D25" s="297"/>
      <c r="E25" s="297"/>
      <c r="F25" s="297"/>
      <c r="G25" s="297"/>
      <c r="H25" s="297"/>
      <c r="I25" s="297"/>
      <c r="J25" s="297"/>
      <c r="K25" s="297"/>
      <c r="L25" s="297"/>
      <c r="M25" s="297"/>
      <c r="N25" s="297"/>
      <c r="O25" s="309"/>
      <c r="P25" s="299"/>
    </row>
    <row r="26" spans="2:20" ht="38.25" customHeight="1" thickTop="1" thickBot="1" x14ac:dyDescent="0.5">
      <c r="B26" s="75" t="s">
        <v>441</v>
      </c>
      <c r="C26" s="172"/>
      <c r="D26" s="172"/>
      <c r="E26" s="172"/>
      <c r="F26" s="172"/>
      <c r="G26" s="172"/>
      <c r="H26" s="172"/>
      <c r="I26" s="172"/>
      <c r="J26" s="172"/>
      <c r="K26" s="172"/>
      <c r="L26" s="172"/>
      <c r="M26" s="172"/>
      <c r="N26" s="172"/>
      <c r="O26" s="78" t="str">
        <f>IF(ISERROR(12*SUM(C26:N26)/COUNT(C26:N26)),"",12*SUM(C26:N26)/COUNT(C26:N26))</f>
        <v/>
      </c>
      <c r="P26" s="176">
        <f>IF(AND(O24="",O26="",P29=0),0,IF(OR(B22="",B22="年度を選択"),1,4))</f>
        <v>0</v>
      </c>
      <c r="Q26" s="206"/>
    </row>
    <row r="27" spans="2:20" ht="18.75" hidden="1" customHeight="1" x14ac:dyDescent="0.45">
      <c r="B27" s="208" t="s">
        <v>477</v>
      </c>
      <c r="C27" s="207">
        <f>IF(C23="",2,IF(C23&lt;&gt;"",0,1))</f>
        <v>2</v>
      </c>
      <c r="D27" s="207">
        <f t="shared" ref="D27:N27" si="0">IF(D23="",2,IF(D23&lt;&gt;"",0,1))</f>
        <v>2</v>
      </c>
      <c r="E27" s="207">
        <f t="shared" si="0"/>
        <v>2</v>
      </c>
      <c r="F27" s="207">
        <f t="shared" si="0"/>
        <v>2</v>
      </c>
      <c r="G27" s="207">
        <f t="shared" si="0"/>
        <v>2</v>
      </c>
      <c r="H27" s="207">
        <f t="shared" si="0"/>
        <v>2</v>
      </c>
      <c r="I27" s="207">
        <f t="shared" si="0"/>
        <v>2</v>
      </c>
      <c r="J27" s="207">
        <f t="shared" si="0"/>
        <v>2</v>
      </c>
      <c r="K27" s="207">
        <f t="shared" si="0"/>
        <v>2</v>
      </c>
      <c r="L27" s="207">
        <f t="shared" si="0"/>
        <v>2</v>
      </c>
      <c r="M27" s="207">
        <f>IF(M23="",2,IF(M23&lt;&gt;"",0,1))</f>
        <v>2</v>
      </c>
      <c r="N27" s="207">
        <f t="shared" si="0"/>
        <v>2</v>
      </c>
      <c r="O27" s="207" t="str">
        <f>IF(R27&gt;1,"入力確認",IF(Q27=Q28,"入力済","未入力"))</f>
        <v>入力済</v>
      </c>
      <c r="P27" s="209">
        <f>P26</f>
        <v>0</v>
      </c>
      <c r="Q27" s="206">
        <f>COUNTIF($C27:$N27,0)</f>
        <v>0</v>
      </c>
      <c r="R27" s="206">
        <f>COUNTIF($C27:$N27,1)</f>
        <v>0</v>
      </c>
      <c r="S27" s="206">
        <f>COUNTIF($C27:$N27,2)</f>
        <v>12</v>
      </c>
      <c r="T27" s="206"/>
    </row>
    <row r="28" spans="2:20" ht="18.75" hidden="1" customHeight="1" x14ac:dyDescent="0.45">
      <c r="B28" s="208" t="s">
        <v>478</v>
      </c>
      <c r="C28" s="207">
        <f>IF(AND(C24="",C26=""),2,IF(AND(C24&lt;&gt;"",C26&lt;&gt;""),0,1))</f>
        <v>2</v>
      </c>
      <c r="D28" s="207">
        <f t="shared" ref="D28:N28" si="1">IF(AND(D24="",D26=""),2,IF(AND(D24&lt;&gt;"",D26&lt;&gt;""),0,1))</f>
        <v>2</v>
      </c>
      <c r="E28" s="207">
        <f t="shared" si="1"/>
        <v>2</v>
      </c>
      <c r="F28" s="207">
        <f t="shared" si="1"/>
        <v>2</v>
      </c>
      <c r="G28" s="207">
        <f t="shared" si="1"/>
        <v>2</v>
      </c>
      <c r="H28" s="207">
        <f t="shared" si="1"/>
        <v>2</v>
      </c>
      <c r="I28" s="207">
        <f t="shared" si="1"/>
        <v>2</v>
      </c>
      <c r="J28" s="207">
        <f t="shared" si="1"/>
        <v>2</v>
      </c>
      <c r="K28" s="207">
        <f t="shared" si="1"/>
        <v>2</v>
      </c>
      <c r="L28" s="207">
        <f t="shared" si="1"/>
        <v>2</v>
      </c>
      <c r="M28" s="207">
        <f t="shared" si="1"/>
        <v>2</v>
      </c>
      <c r="N28" s="207">
        <f t="shared" si="1"/>
        <v>2</v>
      </c>
      <c r="O28" s="207" t="str">
        <f>IF(R28&gt;1,"入力確認",IF(Q28+S28=12,"入力済","未入力"))</f>
        <v>入力済</v>
      </c>
      <c r="P28" s="209"/>
      <c r="Q28" s="206">
        <f>COUNTIF($C28:$N28,0)</f>
        <v>0</v>
      </c>
      <c r="R28" s="206">
        <f>COUNTIF($C28:$N28,1)</f>
        <v>0</v>
      </c>
      <c r="S28" s="206">
        <f>COUNTIF($C28:$N28,2)</f>
        <v>12</v>
      </c>
    </row>
    <row r="29" spans="2:20" ht="18.75" hidden="1" customHeight="1" x14ac:dyDescent="0.45">
      <c r="B29" s="208" t="s">
        <v>479</v>
      </c>
      <c r="C29" s="207">
        <f>IF(AND(C27=2,C28=2),2,IF(C27&lt;&gt;C28,1,IF(AND(C27=0,C28=0),0,4)))</f>
        <v>2</v>
      </c>
      <c r="D29" s="207">
        <f t="shared" ref="D29:N29" si="2">IF(AND(D27=2,D28=2),2,IF(D27&lt;&gt;D28,1,IF(AND(D27=0,D28=0),0,4)))</f>
        <v>2</v>
      </c>
      <c r="E29" s="207">
        <f t="shared" si="2"/>
        <v>2</v>
      </c>
      <c r="F29" s="207">
        <f t="shared" si="2"/>
        <v>2</v>
      </c>
      <c r="G29" s="207">
        <f t="shared" si="2"/>
        <v>2</v>
      </c>
      <c r="H29" s="207">
        <f t="shared" si="2"/>
        <v>2</v>
      </c>
      <c r="I29" s="207">
        <f t="shared" si="2"/>
        <v>2</v>
      </c>
      <c r="J29" s="207">
        <f t="shared" si="2"/>
        <v>2</v>
      </c>
      <c r="K29" s="207">
        <f t="shared" si="2"/>
        <v>2</v>
      </c>
      <c r="L29" s="207">
        <f t="shared" si="2"/>
        <v>2</v>
      </c>
      <c r="M29" s="207">
        <f t="shared" si="2"/>
        <v>2</v>
      </c>
      <c r="N29" s="207">
        <f t="shared" si="2"/>
        <v>2</v>
      </c>
      <c r="O29" s="207" t="str">
        <f>IF(R29&gt;1,"入力確認",IF(Q29+S29=12,"入力済","未入力"))</f>
        <v>入力済</v>
      </c>
      <c r="P29" s="209">
        <f>IF(O29="未入力",1,IF(O29="入力済",0,2))</f>
        <v>0</v>
      </c>
      <c r="Q29" s="206">
        <f>COUNTIF($C29:$N29,0)</f>
        <v>0</v>
      </c>
      <c r="R29" s="206">
        <f>COUNTIF($C29:$N29,1)</f>
        <v>0</v>
      </c>
      <c r="S29" s="206">
        <f>COUNTIF($C29:$N29,2)</f>
        <v>12</v>
      </c>
    </row>
    <row r="30" spans="2:20" x14ac:dyDescent="0.45">
      <c r="B30" s="67" t="s">
        <v>35</v>
      </c>
      <c r="E30" s="79"/>
      <c r="F30" s="79"/>
      <c r="G30" s="79"/>
      <c r="H30" s="79"/>
      <c r="O30" s="80"/>
    </row>
    <row r="33" spans="2:20" ht="19.5" thickBot="1" x14ac:dyDescent="0.5">
      <c r="B33" s="67" t="s">
        <v>34</v>
      </c>
      <c r="E33" s="82" t="s">
        <v>495</v>
      </c>
      <c r="F33" s="82" t="s">
        <v>191</v>
      </c>
      <c r="G33" s="70"/>
      <c r="K33" s="69"/>
    </row>
    <row r="34" spans="2:20" ht="19.5" customHeight="1" x14ac:dyDescent="0.45">
      <c r="B34" s="4" t="s">
        <v>280</v>
      </c>
      <c r="C34" s="71" t="s">
        <v>32</v>
      </c>
      <c r="D34" s="72" t="s">
        <v>31</v>
      </c>
      <c r="E34" s="72" t="s">
        <v>30</v>
      </c>
      <c r="F34" s="72" t="s">
        <v>29</v>
      </c>
      <c r="G34" s="72" t="s">
        <v>28</v>
      </c>
      <c r="H34" s="72" t="s">
        <v>27</v>
      </c>
      <c r="I34" s="72" t="s">
        <v>26</v>
      </c>
      <c r="J34" s="72" t="s">
        <v>25</v>
      </c>
      <c r="K34" s="72" t="s">
        <v>24</v>
      </c>
      <c r="L34" s="71" t="s">
        <v>23</v>
      </c>
      <c r="M34" s="72" t="s">
        <v>22</v>
      </c>
      <c r="N34" s="76" t="s">
        <v>21</v>
      </c>
      <c r="O34" s="171"/>
      <c r="P34" s="77"/>
    </row>
    <row r="35" spans="2:20" ht="38.25" customHeight="1" x14ac:dyDescent="0.45">
      <c r="B35" s="74" t="s">
        <v>442</v>
      </c>
      <c r="C35" s="93"/>
      <c r="D35" s="93"/>
      <c r="E35" s="93"/>
      <c r="F35" s="93"/>
      <c r="G35" s="93"/>
      <c r="H35" s="93"/>
      <c r="I35" s="93"/>
      <c r="J35" s="93"/>
      <c r="K35" s="93"/>
      <c r="L35" s="93"/>
      <c r="M35" s="93"/>
      <c r="N35" s="94"/>
      <c r="O35" s="165" t="s">
        <v>444</v>
      </c>
      <c r="P35" s="170" t="s">
        <v>443</v>
      </c>
    </row>
    <row r="36" spans="2:20" ht="19.5" customHeight="1" x14ac:dyDescent="0.45">
      <c r="B36" s="73" t="s">
        <v>33</v>
      </c>
      <c r="C36" s="295"/>
      <c r="D36" s="295"/>
      <c r="E36" s="295"/>
      <c r="F36" s="295"/>
      <c r="G36" s="295"/>
      <c r="H36" s="295"/>
      <c r="I36" s="295"/>
      <c r="J36" s="295"/>
      <c r="K36" s="295"/>
      <c r="L36" s="295"/>
      <c r="M36" s="295"/>
      <c r="N36" s="295"/>
      <c r="O36" s="306" t="str">
        <f>IF(ISERROR(12*SUM(C36:N37)/COUNT(C36:N37)),"",12*SUM(C36:N37)/COUNT(C36:N37))</f>
        <v/>
      </c>
      <c r="P36" s="304" t="str">
        <f>IF(P39=0,"",IF(P41=1,"未入力欄を確認",IF(P39=1,"年度を選択",IF(P39=2,"種別を選択",IF(P39=3,"単位を選択",IF(AND($E$33="都市ガス",$F$33="［m3］"),計算!$J$6,IF(AND($E$33="LPG",$F$33="［m3］"),計算!$J$7,IF(AND($E$33="LPG",$F$33="［kg］"),計算!$L$7,IF($E$33="LNG",計算!$J$8,IF($E$33="水素ガス",計算!$J$9,IF($E$33="天然ガス",計算!$J$10,"")))))))))))</f>
        <v/>
      </c>
    </row>
    <row r="37" spans="2:20" ht="19.5" customHeight="1" thickBot="1" x14ac:dyDescent="0.5">
      <c r="B37" s="74" t="str">
        <f>IF(F33="","",F33)</f>
        <v>単位を選択</v>
      </c>
      <c r="C37" s="297"/>
      <c r="D37" s="297"/>
      <c r="E37" s="297"/>
      <c r="F37" s="297"/>
      <c r="G37" s="297"/>
      <c r="H37" s="297"/>
      <c r="I37" s="297"/>
      <c r="J37" s="296"/>
      <c r="K37" s="296"/>
      <c r="L37" s="296"/>
      <c r="M37" s="296"/>
      <c r="N37" s="296"/>
      <c r="O37" s="307"/>
      <c r="P37" s="305"/>
    </row>
    <row r="38" spans="2:20" ht="38.25" customHeight="1" thickTop="1" thickBot="1" x14ac:dyDescent="0.5">
      <c r="B38" s="75" t="s">
        <v>441</v>
      </c>
      <c r="C38" s="172"/>
      <c r="D38" s="172"/>
      <c r="E38" s="172"/>
      <c r="F38" s="172"/>
      <c r="G38" s="172"/>
      <c r="H38" s="172"/>
      <c r="I38" s="172"/>
      <c r="J38" s="173"/>
      <c r="K38" s="173"/>
      <c r="L38" s="173"/>
      <c r="M38" s="173"/>
      <c r="N38" s="173"/>
      <c r="O38" s="175" t="str">
        <f>IF(ISERROR(12*SUM(C38:N38)/COUNT(C38:N38)),"",12*SUM(C38:N38)/COUNT(C38:N38))</f>
        <v/>
      </c>
      <c r="P38" s="176">
        <f>IF(AND(O36="",O38="",P41=0),0,IF(OR(B34="",B34="年度を選択"),1,IF(OR(E33="",E33="種別を選択"),2,IF(OR(F33="",F33="単位を選択"),3,4))))</f>
        <v>0</v>
      </c>
      <c r="Q38" s="206"/>
      <c r="R38" s="206"/>
    </row>
    <row r="39" spans="2:20" ht="18.75" hidden="1" customHeight="1" x14ac:dyDescent="0.45">
      <c r="B39" s="208" t="s">
        <v>477</v>
      </c>
      <c r="C39" s="207">
        <f>IF(C35="",2,IF(C35&lt;&gt;"",0,1))</f>
        <v>2</v>
      </c>
      <c r="D39" s="207">
        <f t="shared" ref="D39:L39" si="3">IF(D35="",2,IF(D35&lt;&gt;"",0,1))</f>
        <v>2</v>
      </c>
      <c r="E39" s="207">
        <f t="shared" si="3"/>
        <v>2</v>
      </c>
      <c r="F39" s="207">
        <f t="shared" si="3"/>
        <v>2</v>
      </c>
      <c r="G39" s="207">
        <f t="shared" si="3"/>
        <v>2</v>
      </c>
      <c r="H39" s="207">
        <f t="shared" si="3"/>
        <v>2</v>
      </c>
      <c r="I39" s="207">
        <f t="shared" si="3"/>
        <v>2</v>
      </c>
      <c r="J39" s="207">
        <f t="shared" si="3"/>
        <v>2</v>
      </c>
      <c r="K39" s="207">
        <f t="shared" si="3"/>
        <v>2</v>
      </c>
      <c r="L39" s="207">
        <f t="shared" si="3"/>
        <v>2</v>
      </c>
      <c r="M39" s="207">
        <f>IF(M35="",2,IF(M35&lt;&gt;"",0,1))</f>
        <v>2</v>
      </c>
      <c r="N39" s="207">
        <f t="shared" ref="N39" si="4">IF(N35="",2,IF(N35&lt;&gt;"",0,1))</f>
        <v>2</v>
      </c>
      <c r="O39" s="207" t="str">
        <f>IF(R39&gt;1,"入力確認",IF(Q39=Q40,"入力済","未入力"))</f>
        <v>入力済</v>
      </c>
      <c r="P39" s="209">
        <f>P38</f>
        <v>0</v>
      </c>
      <c r="Q39" s="206">
        <f>COUNTIF($C39:$N39,0)</f>
        <v>0</v>
      </c>
      <c r="R39" s="206">
        <f>COUNTIF($C39:$N39,1)</f>
        <v>0</v>
      </c>
      <c r="S39" s="206">
        <f>COUNTIF($C39:$N39,2)</f>
        <v>12</v>
      </c>
      <c r="T39" s="206"/>
    </row>
    <row r="40" spans="2:20" ht="18.75" hidden="1" customHeight="1" x14ac:dyDescent="0.45">
      <c r="B40" s="208" t="s">
        <v>478</v>
      </c>
      <c r="C40" s="207">
        <f>IF(AND(C36="",C38=""),2,IF(AND(C36&lt;&gt;"",C38&lt;&gt;""),0,1))</f>
        <v>2</v>
      </c>
      <c r="D40" s="207">
        <f t="shared" ref="D40:N40" si="5">IF(AND(D36="",D38=""),2,IF(AND(D36&lt;&gt;"",D38&lt;&gt;""),0,1))</f>
        <v>2</v>
      </c>
      <c r="E40" s="207">
        <f t="shared" si="5"/>
        <v>2</v>
      </c>
      <c r="F40" s="207">
        <f t="shared" si="5"/>
        <v>2</v>
      </c>
      <c r="G40" s="207">
        <f t="shared" si="5"/>
        <v>2</v>
      </c>
      <c r="H40" s="207">
        <f t="shared" si="5"/>
        <v>2</v>
      </c>
      <c r="I40" s="207">
        <f t="shared" si="5"/>
        <v>2</v>
      </c>
      <c r="J40" s="207">
        <f t="shared" si="5"/>
        <v>2</v>
      </c>
      <c r="K40" s="207">
        <f t="shared" si="5"/>
        <v>2</v>
      </c>
      <c r="L40" s="207">
        <f t="shared" si="5"/>
        <v>2</v>
      </c>
      <c r="M40" s="207">
        <f t="shared" si="5"/>
        <v>2</v>
      </c>
      <c r="N40" s="207">
        <f t="shared" si="5"/>
        <v>2</v>
      </c>
      <c r="O40" s="207" t="str">
        <f>IF(R40&gt;1,"入力確認",IF(Q40+S40=12,"入力済","未入力"))</f>
        <v>入力済</v>
      </c>
      <c r="P40" s="209"/>
      <c r="Q40" s="206">
        <f>COUNTIF($C40:$N40,0)</f>
        <v>0</v>
      </c>
      <c r="R40" s="206">
        <f>COUNTIF($C40:$N40,1)</f>
        <v>0</v>
      </c>
      <c r="S40" s="206">
        <f>COUNTIF($C40:$N40,2)</f>
        <v>12</v>
      </c>
    </row>
    <row r="41" spans="2:20" ht="18.75" hidden="1" customHeight="1" x14ac:dyDescent="0.45">
      <c r="B41" s="208" t="s">
        <v>479</v>
      </c>
      <c r="C41" s="207">
        <f>IF(AND(C39=2,C40=2),2,IF(C39&lt;&gt;C40,1,IF(AND(C39=0,C40=0),0,4)))</f>
        <v>2</v>
      </c>
      <c r="D41" s="207">
        <f t="shared" ref="D41" si="6">IF(AND(D39=2,D40=2),2,IF(D39&lt;&gt;D40,1,IF(AND(D39=0,D40=0),0,4)))</f>
        <v>2</v>
      </c>
      <c r="E41" s="207">
        <f t="shared" ref="E41" si="7">IF(AND(E39=2,E40=2),2,IF(E39&lt;&gt;E40,1,IF(AND(E39=0,E40=0),0,4)))</f>
        <v>2</v>
      </c>
      <c r="F41" s="207">
        <f t="shared" ref="F41" si="8">IF(AND(F39=2,F40=2),2,IF(F39&lt;&gt;F40,1,IF(AND(F39=0,F40=0),0,4)))</f>
        <v>2</v>
      </c>
      <c r="G41" s="207">
        <f t="shared" ref="G41" si="9">IF(AND(G39=2,G40=2),2,IF(G39&lt;&gt;G40,1,IF(AND(G39=0,G40=0),0,4)))</f>
        <v>2</v>
      </c>
      <c r="H41" s="207">
        <f t="shared" ref="H41" si="10">IF(AND(H39=2,H40=2),2,IF(H39&lt;&gt;H40,1,IF(AND(H39=0,H40=0),0,4)))</f>
        <v>2</v>
      </c>
      <c r="I41" s="207">
        <f t="shared" ref="I41" si="11">IF(AND(I39=2,I40=2),2,IF(I39&lt;&gt;I40,1,IF(AND(I39=0,I40=0),0,4)))</f>
        <v>2</v>
      </c>
      <c r="J41" s="207">
        <f t="shared" ref="J41" si="12">IF(AND(J39=2,J40=2),2,IF(J39&lt;&gt;J40,1,IF(AND(J39=0,J40=0),0,4)))</f>
        <v>2</v>
      </c>
      <c r="K41" s="207">
        <f t="shared" ref="K41" si="13">IF(AND(K39=2,K40=2),2,IF(K39&lt;&gt;K40,1,IF(AND(K39=0,K40=0),0,4)))</f>
        <v>2</v>
      </c>
      <c r="L41" s="207">
        <f t="shared" ref="L41" si="14">IF(AND(L39=2,L40=2),2,IF(L39&lt;&gt;L40,1,IF(AND(L39=0,L40=0),0,4)))</f>
        <v>2</v>
      </c>
      <c r="M41" s="207">
        <f t="shared" ref="M41" si="15">IF(AND(M39=2,M40=2),2,IF(M39&lt;&gt;M40,1,IF(AND(M39=0,M40=0),0,4)))</f>
        <v>2</v>
      </c>
      <c r="N41" s="207">
        <f t="shared" ref="N41" si="16">IF(AND(N39=2,N40=2),2,IF(N39&lt;&gt;N40,1,IF(AND(N39=0,N40=0),0,4)))</f>
        <v>2</v>
      </c>
      <c r="O41" s="207" t="str">
        <f>IF(R41&gt;1,"入力確認",IF(Q41+S41=12,"入力済","未入力"))</f>
        <v>入力済</v>
      </c>
      <c r="P41" s="209">
        <f>IF(O41="未入力",1,IF(O41="入力済",0,2))</f>
        <v>0</v>
      </c>
      <c r="Q41" s="206">
        <f>COUNTIF($C41:$N41,0)</f>
        <v>0</v>
      </c>
      <c r="R41" s="206">
        <f>COUNTIF($C41:$N41,1)</f>
        <v>0</v>
      </c>
      <c r="S41" s="206">
        <f>COUNTIF($C41:$N41,2)</f>
        <v>12</v>
      </c>
    </row>
    <row r="42" spans="2:20" x14ac:dyDescent="0.45">
      <c r="E42" s="79"/>
      <c r="F42" s="79"/>
      <c r="G42" s="79"/>
      <c r="H42" s="79"/>
      <c r="O42" s="80"/>
    </row>
    <row r="43" spans="2:20" x14ac:dyDescent="0.45">
      <c r="E43" s="79"/>
      <c r="F43" s="79"/>
      <c r="G43" s="79"/>
      <c r="H43" s="79"/>
      <c r="O43" s="80"/>
    </row>
    <row r="44" spans="2:20" ht="20.25" customHeight="1" thickBot="1" x14ac:dyDescent="0.5">
      <c r="B44" s="67" t="s">
        <v>203</v>
      </c>
      <c r="E44" s="311" t="s">
        <v>281</v>
      </c>
      <c r="F44" s="311"/>
      <c r="G44" s="70"/>
      <c r="H44" s="81"/>
      <c r="I44" s="81"/>
      <c r="K44" s="69"/>
    </row>
    <row r="45" spans="2:20" ht="19.5" customHeight="1" x14ac:dyDescent="0.45">
      <c r="B45" s="4" t="s">
        <v>280</v>
      </c>
      <c r="C45" s="71" t="s">
        <v>32</v>
      </c>
      <c r="D45" s="72" t="s">
        <v>31</v>
      </c>
      <c r="E45" s="72" t="s">
        <v>30</v>
      </c>
      <c r="F45" s="72" t="s">
        <v>29</v>
      </c>
      <c r="G45" s="72" t="s">
        <v>28</v>
      </c>
      <c r="H45" s="72" t="s">
        <v>27</v>
      </c>
      <c r="I45" s="72" t="s">
        <v>26</v>
      </c>
      <c r="J45" s="72" t="s">
        <v>25</v>
      </c>
      <c r="K45" s="72" t="s">
        <v>24</v>
      </c>
      <c r="L45" s="71" t="s">
        <v>23</v>
      </c>
      <c r="M45" s="72" t="s">
        <v>22</v>
      </c>
      <c r="N45" s="76" t="s">
        <v>21</v>
      </c>
      <c r="O45" s="171"/>
      <c r="P45" s="77"/>
    </row>
    <row r="46" spans="2:20" ht="38.25" customHeight="1" x14ac:dyDescent="0.45">
      <c r="B46" s="74" t="s">
        <v>442</v>
      </c>
      <c r="C46" s="93"/>
      <c r="D46" s="93"/>
      <c r="E46" s="93"/>
      <c r="F46" s="93"/>
      <c r="G46" s="93"/>
      <c r="H46" s="93"/>
      <c r="I46" s="93"/>
      <c r="J46" s="93"/>
      <c r="K46" s="93"/>
      <c r="L46" s="93"/>
      <c r="M46" s="93"/>
      <c r="N46" s="94"/>
      <c r="O46" s="165" t="s">
        <v>444</v>
      </c>
      <c r="P46" s="170" t="s">
        <v>443</v>
      </c>
    </row>
    <row r="47" spans="2:20" ht="19.5" customHeight="1" x14ac:dyDescent="0.45">
      <c r="B47" s="73" t="s">
        <v>18</v>
      </c>
      <c r="C47" s="295"/>
      <c r="D47" s="295"/>
      <c r="E47" s="295"/>
      <c r="F47" s="295"/>
      <c r="G47" s="295"/>
      <c r="H47" s="295"/>
      <c r="I47" s="295"/>
      <c r="J47" s="295"/>
      <c r="K47" s="295"/>
      <c r="L47" s="295"/>
      <c r="M47" s="295"/>
      <c r="N47" s="295"/>
      <c r="O47" s="308" t="str">
        <f>IF(ISERROR(12*SUM(C47:N48)/COUNT(C47:N48)),"",12*SUM(C47:N48)/COUNT(C47:N48))</f>
        <v/>
      </c>
      <c r="P47" s="310" t="str">
        <f>IF(P50=0,"",IF(P52=1,"未入力欄を確認",IF(P50=1,"年度を選択",IF(P50=2,"エネルギー種別を選択",IF($E44="温水・冷水",計算!$J$17,IF($E44="産業用蒸気",計算!$J$18,IF($E44="産業用以外の蒸気",計算!$J$19,IF($E44="灯油",計算!$J$20,IF($E44="軽油",計算!$J$21,IF($E44="A重油",計算!$J$22,IF($E44="B・Ｃ重油",計算!$J$23,"")))))))))))</f>
        <v/>
      </c>
    </row>
    <row r="48" spans="2:20" ht="19.5" customHeight="1" thickBot="1" x14ac:dyDescent="0.5">
      <c r="B48" s="74" t="str">
        <f>IF(OR(E44="温水・冷水",E44="産業用蒸気",E44="産業用以外の蒸気"),"［MJ］","［L］")</f>
        <v>［L］</v>
      </c>
      <c r="C48" s="297"/>
      <c r="D48" s="297"/>
      <c r="E48" s="297"/>
      <c r="F48" s="297"/>
      <c r="G48" s="297"/>
      <c r="H48" s="297"/>
      <c r="I48" s="297"/>
      <c r="J48" s="296"/>
      <c r="K48" s="296"/>
      <c r="L48" s="296"/>
      <c r="M48" s="296"/>
      <c r="N48" s="296"/>
      <c r="O48" s="309"/>
      <c r="P48" s="299"/>
    </row>
    <row r="49" spans="2:20" ht="38.25" customHeight="1" thickTop="1" thickBot="1" x14ac:dyDescent="0.5">
      <c r="B49" s="75" t="s">
        <v>441</v>
      </c>
      <c r="C49" s="172"/>
      <c r="D49" s="172"/>
      <c r="E49" s="172"/>
      <c r="F49" s="172"/>
      <c r="G49" s="172"/>
      <c r="H49" s="172"/>
      <c r="I49" s="172"/>
      <c r="J49" s="173"/>
      <c r="K49" s="173"/>
      <c r="L49" s="173"/>
      <c r="M49" s="173"/>
      <c r="N49" s="173"/>
      <c r="O49" s="78" t="str">
        <f>IF(ISERROR(12*SUM(C49:N49)/COUNT(C49:N49)),"",12*SUM(C49:N49)/COUNT(C49:N49))</f>
        <v/>
      </c>
      <c r="P49" s="176">
        <f>IF(AND(O47="",O49="",P52=0),0,IF(OR(B45="",B45="年度を選択"),1,IF(OR(E44="",E44="エネルギー種別を選択"),2,4)))</f>
        <v>0</v>
      </c>
      <c r="Q49" s="206"/>
    </row>
    <row r="50" spans="2:20" ht="18.75" hidden="1" customHeight="1" x14ac:dyDescent="0.45">
      <c r="B50" s="208" t="s">
        <v>477</v>
      </c>
      <c r="C50" s="207">
        <f>IF(C46="",2,IF(C46&lt;&gt;"",0,1))</f>
        <v>2</v>
      </c>
      <c r="D50" s="207">
        <f t="shared" ref="D50:L50" si="17">IF(D46="",2,IF(D46&lt;&gt;"",0,1))</f>
        <v>2</v>
      </c>
      <c r="E50" s="207">
        <f t="shared" si="17"/>
        <v>2</v>
      </c>
      <c r="F50" s="207">
        <f t="shared" si="17"/>
        <v>2</v>
      </c>
      <c r="G50" s="207">
        <f t="shared" si="17"/>
        <v>2</v>
      </c>
      <c r="H50" s="207">
        <f t="shared" si="17"/>
        <v>2</v>
      </c>
      <c r="I50" s="207">
        <f t="shared" si="17"/>
        <v>2</v>
      </c>
      <c r="J50" s="207">
        <f t="shared" si="17"/>
        <v>2</v>
      </c>
      <c r="K50" s="207">
        <f t="shared" si="17"/>
        <v>2</v>
      </c>
      <c r="L50" s="207">
        <f t="shared" si="17"/>
        <v>2</v>
      </c>
      <c r="M50" s="207">
        <f>IF(M46="",2,IF(M46&lt;&gt;"",0,1))</f>
        <v>2</v>
      </c>
      <c r="N50" s="207">
        <f t="shared" ref="N50" si="18">IF(N46="",2,IF(N46&lt;&gt;"",0,1))</f>
        <v>2</v>
      </c>
      <c r="O50" s="207" t="str">
        <f>IF(R50&gt;1,"入力確認",IF(Q50=Q51,"入力済","未入力"))</f>
        <v>入力済</v>
      </c>
      <c r="P50" s="209">
        <f>P49</f>
        <v>0</v>
      </c>
      <c r="Q50" s="206">
        <f>COUNTIF($C50:$N50,0)</f>
        <v>0</v>
      </c>
      <c r="R50" s="206">
        <f>COUNTIF($C50:$N50,1)</f>
        <v>0</v>
      </c>
      <c r="S50" s="206">
        <f>COUNTIF($C50:$N50,2)</f>
        <v>12</v>
      </c>
      <c r="T50" s="206"/>
    </row>
    <row r="51" spans="2:20" ht="18.75" hidden="1" customHeight="1" x14ac:dyDescent="0.45">
      <c r="B51" s="208" t="s">
        <v>478</v>
      </c>
      <c r="C51" s="207">
        <f>IF(AND(C47="",C49=""),2,IF(AND(C47&lt;&gt;"",C49&lt;&gt;""),0,1))</f>
        <v>2</v>
      </c>
      <c r="D51" s="207">
        <f t="shared" ref="D51:N51" si="19">IF(AND(D47="",D49=""),2,IF(AND(D47&lt;&gt;"",D49&lt;&gt;""),0,1))</f>
        <v>2</v>
      </c>
      <c r="E51" s="207">
        <f t="shared" si="19"/>
        <v>2</v>
      </c>
      <c r="F51" s="207">
        <f t="shared" si="19"/>
        <v>2</v>
      </c>
      <c r="G51" s="207">
        <f t="shared" si="19"/>
        <v>2</v>
      </c>
      <c r="H51" s="207">
        <f t="shared" si="19"/>
        <v>2</v>
      </c>
      <c r="I51" s="207">
        <f t="shared" si="19"/>
        <v>2</v>
      </c>
      <c r="J51" s="207">
        <f t="shared" si="19"/>
        <v>2</v>
      </c>
      <c r="K51" s="207">
        <f t="shared" si="19"/>
        <v>2</v>
      </c>
      <c r="L51" s="207">
        <f t="shared" si="19"/>
        <v>2</v>
      </c>
      <c r="M51" s="207">
        <f t="shared" si="19"/>
        <v>2</v>
      </c>
      <c r="N51" s="207">
        <f t="shared" si="19"/>
        <v>2</v>
      </c>
      <c r="O51" s="207" t="str">
        <f>IF(R51&gt;1,"入力確認",IF(Q51+S51=12,"入力済","未入力"))</f>
        <v>入力済</v>
      </c>
      <c r="P51" s="209"/>
      <c r="Q51" s="206">
        <f>COUNTIF($C51:$N51,0)</f>
        <v>0</v>
      </c>
      <c r="R51" s="206">
        <f>COUNTIF($C51:$N51,1)</f>
        <v>0</v>
      </c>
      <c r="S51" s="206">
        <f>COUNTIF($C51:$N51,2)</f>
        <v>12</v>
      </c>
    </row>
    <row r="52" spans="2:20" ht="18.75" hidden="1" customHeight="1" x14ac:dyDescent="0.45">
      <c r="B52" s="208" t="s">
        <v>479</v>
      </c>
      <c r="C52" s="207">
        <f>IF(AND(C50=2,C51=2),2,IF(C50&lt;&gt;C51,1,IF(AND(C50=0,C51=0),0,4)))</f>
        <v>2</v>
      </c>
      <c r="D52" s="207">
        <f t="shared" ref="D52" si="20">IF(AND(D50=2,D51=2),2,IF(D50&lt;&gt;D51,1,IF(AND(D50=0,D51=0),0,4)))</f>
        <v>2</v>
      </c>
      <c r="E52" s="207">
        <f t="shared" ref="E52" si="21">IF(AND(E50=2,E51=2),2,IF(E50&lt;&gt;E51,1,IF(AND(E50=0,E51=0),0,4)))</f>
        <v>2</v>
      </c>
      <c r="F52" s="207">
        <f t="shared" ref="F52" si="22">IF(AND(F50=2,F51=2),2,IF(F50&lt;&gt;F51,1,IF(AND(F50=0,F51=0),0,4)))</f>
        <v>2</v>
      </c>
      <c r="G52" s="207">
        <f t="shared" ref="G52" si="23">IF(AND(G50=2,G51=2),2,IF(G50&lt;&gt;G51,1,IF(AND(G50=0,G51=0),0,4)))</f>
        <v>2</v>
      </c>
      <c r="H52" s="207">
        <f t="shared" ref="H52" si="24">IF(AND(H50=2,H51=2),2,IF(H50&lt;&gt;H51,1,IF(AND(H50=0,H51=0),0,4)))</f>
        <v>2</v>
      </c>
      <c r="I52" s="207">
        <f t="shared" ref="I52" si="25">IF(AND(I50=2,I51=2),2,IF(I50&lt;&gt;I51,1,IF(AND(I50=0,I51=0),0,4)))</f>
        <v>2</v>
      </c>
      <c r="J52" s="207">
        <f t="shared" ref="J52" si="26">IF(AND(J50=2,J51=2),2,IF(J50&lt;&gt;J51,1,IF(AND(J50=0,J51=0),0,4)))</f>
        <v>2</v>
      </c>
      <c r="K52" s="207">
        <f t="shared" ref="K52" si="27">IF(AND(K50=2,K51=2),2,IF(K50&lt;&gt;K51,1,IF(AND(K50=0,K51=0),0,4)))</f>
        <v>2</v>
      </c>
      <c r="L52" s="207">
        <f t="shared" ref="L52" si="28">IF(AND(L50=2,L51=2),2,IF(L50&lt;&gt;L51,1,IF(AND(L50=0,L51=0),0,4)))</f>
        <v>2</v>
      </c>
      <c r="M52" s="207">
        <f t="shared" ref="M52" si="29">IF(AND(M50=2,M51=2),2,IF(M50&lt;&gt;M51,1,IF(AND(M50=0,M51=0),0,4)))</f>
        <v>2</v>
      </c>
      <c r="N52" s="207">
        <f t="shared" ref="N52" si="30">IF(AND(N50=2,N51=2),2,IF(N50&lt;&gt;N51,1,IF(AND(N50=0,N51=0),0,4)))</f>
        <v>2</v>
      </c>
      <c r="O52" s="207" t="str">
        <f>IF(R52&gt;1,"入力確認",IF(Q52+S52=12,"入力済","未入力"))</f>
        <v>入力済</v>
      </c>
      <c r="P52" s="209">
        <f>IF(O52="未入力",1,IF(O52="入力済",0,2))</f>
        <v>0</v>
      </c>
      <c r="Q52" s="206">
        <f>COUNTIF($C52:$N52,0)</f>
        <v>0</v>
      </c>
      <c r="R52" s="206">
        <f>COUNTIF($C52:$N52,1)</f>
        <v>0</v>
      </c>
      <c r="S52" s="206">
        <f>COUNTIF($C52:$N52,2)</f>
        <v>12</v>
      </c>
    </row>
    <row r="53" spans="2:20" x14ac:dyDescent="0.45">
      <c r="E53" s="79"/>
      <c r="F53" s="79"/>
      <c r="G53" s="79"/>
      <c r="H53" s="79"/>
      <c r="O53" s="80"/>
    </row>
    <row r="54" spans="2:20" x14ac:dyDescent="0.45">
      <c r="E54" s="79"/>
      <c r="F54" s="79"/>
      <c r="G54" s="79"/>
      <c r="H54" s="79"/>
      <c r="O54" s="80"/>
    </row>
    <row r="55" spans="2:20" ht="20.25" customHeight="1" thickBot="1" x14ac:dyDescent="0.5">
      <c r="B55" s="67" t="s">
        <v>204</v>
      </c>
      <c r="E55" s="311" t="s">
        <v>281</v>
      </c>
      <c r="F55" s="311"/>
      <c r="G55" s="70"/>
      <c r="H55" s="81"/>
      <c r="I55" s="81"/>
      <c r="K55" s="69"/>
    </row>
    <row r="56" spans="2:20" ht="19.5" customHeight="1" x14ac:dyDescent="0.45">
      <c r="B56" s="4" t="s">
        <v>280</v>
      </c>
      <c r="C56" s="71" t="s">
        <v>32</v>
      </c>
      <c r="D56" s="72" t="s">
        <v>31</v>
      </c>
      <c r="E56" s="72" t="s">
        <v>30</v>
      </c>
      <c r="F56" s="72" t="s">
        <v>29</v>
      </c>
      <c r="G56" s="72" t="s">
        <v>28</v>
      </c>
      <c r="H56" s="72" t="s">
        <v>27</v>
      </c>
      <c r="I56" s="72" t="s">
        <v>26</v>
      </c>
      <c r="J56" s="72" t="s">
        <v>25</v>
      </c>
      <c r="K56" s="72" t="s">
        <v>24</v>
      </c>
      <c r="L56" s="71" t="s">
        <v>23</v>
      </c>
      <c r="M56" s="72" t="s">
        <v>22</v>
      </c>
      <c r="N56" s="76" t="s">
        <v>21</v>
      </c>
      <c r="O56" s="171"/>
      <c r="P56" s="77"/>
    </row>
    <row r="57" spans="2:20" ht="38.25" customHeight="1" x14ac:dyDescent="0.45">
      <c r="B57" s="74" t="s">
        <v>442</v>
      </c>
      <c r="C57" s="93"/>
      <c r="D57" s="93"/>
      <c r="E57" s="93"/>
      <c r="F57" s="93"/>
      <c r="G57" s="93"/>
      <c r="H57" s="93"/>
      <c r="I57" s="93"/>
      <c r="J57" s="93"/>
      <c r="K57" s="93"/>
      <c r="L57" s="93"/>
      <c r="M57" s="93"/>
      <c r="N57" s="94"/>
      <c r="O57" s="165" t="s">
        <v>444</v>
      </c>
      <c r="P57" s="170" t="s">
        <v>443</v>
      </c>
    </row>
    <row r="58" spans="2:20" ht="19.5" customHeight="1" x14ac:dyDescent="0.45">
      <c r="B58" s="73" t="s">
        <v>18</v>
      </c>
      <c r="C58" s="295"/>
      <c r="D58" s="295"/>
      <c r="E58" s="295"/>
      <c r="F58" s="295"/>
      <c r="G58" s="295"/>
      <c r="H58" s="295"/>
      <c r="I58" s="295"/>
      <c r="J58" s="295"/>
      <c r="K58" s="295"/>
      <c r="L58" s="295"/>
      <c r="M58" s="295"/>
      <c r="N58" s="312"/>
      <c r="O58" s="308" t="str">
        <f>IF(ISERROR(12*SUM(C58:N59)/COUNT(C58:N59)),"",12*SUM(C58:N59)/COUNT(C58:N59))</f>
        <v/>
      </c>
      <c r="P58" s="310" t="str">
        <f>IF(P61=0,"",IF(P63=1,"未入力欄を確認",IF(P61=1,"年度を選択",IF(P61=2,"エネルギー種別を選択",IF($E55="温水・冷水",計算!$J$26,IF($E55="産業用蒸気",計算!$J$27,IF($E55="産業用以外の蒸気",計算!$J$28,IF($E55="灯油",計算!$J$29,IF($E55="軽油",計算!$J$30,IF($E55="A重油",計算!$J$31,IF($E55="B・Ｃ重油",計算!$J$32,"")))))))))))</f>
        <v/>
      </c>
    </row>
    <row r="59" spans="2:20" ht="19.5" customHeight="1" thickBot="1" x14ac:dyDescent="0.5">
      <c r="B59" s="74" t="str">
        <f>IF(OR(E55="温水・冷水",E55="産業用蒸気",E55="産業用以外の蒸気"),"［MJ］","［L］")</f>
        <v>［L］</v>
      </c>
      <c r="C59" s="297"/>
      <c r="D59" s="297"/>
      <c r="E59" s="297"/>
      <c r="F59" s="297"/>
      <c r="G59" s="297"/>
      <c r="H59" s="297"/>
      <c r="I59" s="297"/>
      <c r="J59" s="296"/>
      <c r="K59" s="296"/>
      <c r="L59" s="296"/>
      <c r="M59" s="296"/>
      <c r="N59" s="313"/>
      <c r="O59" s="309"/>
      <c r="P59" s="299"/>
    </row>
    <row r="60" spans="2:20" ht="38.25" customHeight="1" thickTop="1" thickBot="1" x14ac:dyDescent="0.5">
      <c r="B60" s="75" t="s">
        <v>441</v>
      </c>
      <c r="C60" s="172"/>
      <c r="D60" s="172"/>
      <c r="E60" s="172"/>
      <c r="F60" s="172"/>
      <c r="G60" s="172"/>
      <c r="H60" s="172"/>
      <c r="I60" s="172"/>
      <c r="J60" s="173"/>
      <c r="K60" s="173"/>
      <c r="L60" s="173"/>
      <c r="M60" s="173"/>
      <c r="N60" s="174"/>
      <c r="O60" s="78" t="str">
        <f>IF(ISERROR(12*SUM(C60:N60)/COUNT(C60:N60)),"",12*SUM(C60:N60)/COUNT(C60:N60))</f>
        <v/>
      </c>
      <c r="P60" s="118">
        <f>IF(AND(O58="",O60="",P63=0),0,IF(OR(B56="",B56="年度を選択"),1,IF(OR(E55="",E55="エネルギー種別を選択"),2,4)))</f>
        <v>0</v>
      </c>
      <c r="Q60" s="206"/>
    </row>
    <row r="61" spans="2:20" ht="18.75" hidden="1" customHeight="1" x14ac:dyDescent="0.45">
      <c r="B61" s="208" t="s">
        <v>477</v>
      </c>
      <c r="C61" s="207">
        <f>IF(C57="",2,IF(C57&lt;&gt;"",0,1))</f>
        <v>2</v>
      </c>
      <c r="D61" s="207">
        <f t="shared" ref="D61:L61" si="31">IF(D57="",2,IF(D57&lt;&gt;"",0,1))</f>
        <v>2</v>
      </c>
      <c r="E61" s="207">
        <f t="shared" si="31"/>
        <v>2</v>
      </c>
      <c r="F61" s="207">
        <f t="shared" si="31"/>
        <v>2</v>
      </c>
      <c r="G61" s="207">
        <f t="shared" si="31"/>
        <v>2</v>
      </c>
      <c r="H61" s="207">
        <f t="shared" si="31"/>
        <v>2</v>
      </c>
      <c r="I61" s="207">
        <f t="shared" si="31"/>
        <v>2</v>
      </c>
      <c r="J61" s="207">
        <f t="shared" si="31"/>
        <v>2</v>
      </c>
      <c r="K61" s="207">
        <f t="shared" si="31"/>
        <v>2</v>
      </c>
      <c r="L61" s="207">
        <f t="shared" si="31"/>
        <v>2</v>
      </c>
      <c r="M61" s="207">
        <f>IF(M57="",2,IF(M57&lt;&gt;"",0,1))</f>
        <v>2</v>
      </c>
      <c r="N61" s="207">
        <f t="shared" ref="N61" si="32">IF(N57="",2,IF(N57&lt;&gt;"",0,1))</f>
        <v>2</v>
      </c>
      <c r="O61" s="207" t="str">
        <f>IF(R61&gt;1,"入力確認",IF(Q61=Q62,"入力済","未入力"))</f>
        <v>入力済</v>
      </c>
      <c r="P61" s="209">
        <f>P60</f>
        <v>0</v>
      </c>
      <c r="Q61" s="206">
        <f>COUNTIF($C61:$N61,0)</f>
        <v>0</v>
      </c>
      <c r="R61" s="206">
        <f>COUNTIF($C61:$N61,1)</f>
        <v>0</v>
      </c>
      <c r="S61" s="206">
        <f>COUNTIF($C61:$N61,2)</f>
        <v>12</v>
      </c>
      <c r="T61" s="206"/>
    </row>
    <row r="62" spans="2:20" ht="18.75" hidden="1" customHeight="1" x14ac:dyDescent="0.45">
      <c r="B62" s="208" t="s">
        <v>478</v>
      </c>
      <c r="C62" s="207">
        <f>IF(AND(C58="",C60=""),2,IF(AND(C58&lt;&gt;"",C60&lt;&gt;""),0,1))</f>
        <v>2</v>
      </c>
      <c r="D62" s="207">
        <f t="shared" ref="D62:N62" si="33">IF(AND(D58="",D60=""),2,IF(AND(D58&lt;&gt;"",D60&lt;&gt;""),0,1))</f>
        <v>2</v>
      </c>
      <c r="E62" s="207">
        <f t="shared" si="33"/>
        <v>2</v>
      </c>
      <c r="F62" s="207">
        <f t="shared" si="33"/>
        <v>2</v>
      </c>
      <c r="G62" s="207">
        <f t="shared" si="33"/>
        <v>2</v>
      </c>
      <c r="H62" s="207">
        <f t="shared" si="33"/>
        <v>2</v>
      </c>
      <c r="I62" s="207">
        <f t="shared" si="33"/>
        <v>2</v>
      </c>
      <c r="J62" s="207">
        <f t="shared" si="33"/>
        <v>2</v>
      </c>
      <c r="K62" s="207">
        <f t="shared" si="33"/>
        <v>2</v>
      </c>
      <c r="L62" s="207">
        <f t="shared" si="33"/>
        <v>2</v>
      </c>
      <c r="M62" s="207">
        <f t="shared" si="33"/>
        <v>2</v>
      </c>
      <c r="N62" s="207">
        <f t="shared" si="33"/>
        <v>2</v>
      </c>
      <c r="O62" s="207" t="str">
        <f>IF(R62&gt;1,"入力確認",IF(Q62+S62=12,"入力済","未入力"))</f>
        <v>入力済</v>
      </c>
      <c r="P62" s="209"/>
      <c r="Q62" s="206">
        <f>COUNTIF($C62:$N62,0)</f>
        <v>0</v>
      </c>
      <c r="R62" s="206">
        <f>COUNTIF($C62:$N62,1)</f>
        <v>0</v>
      </c>
      <c r="S62" s="206">
        <f>COUNTIF($C62:$N62,2)</f>
        <v>12</v>
      </c>
    </row>
    <row r="63" spans="2:20" ht="18.75" hidden="1" customHeight="1" x14ac:dyDescent="0.45">
      <c r="B63" s="208" t="s">
        <v>479</v>
      </c>
      <c r="C63" s="207">
        <f>IF(AND(C61=2,C62=2),2,IF(C61&lt;&gt;C62,1,IF(AND(C61=0,C62=0),0,4)))</f>
        <v>2</v>
      </c>
      <c r="D63" s="207">
        <f t="shared" ref="D63" si="34">IF(AND(D61=2,D62=2),2,IF(D61&lt;&gt;D62,1,IF(AND(D61=0,D62=0),0,4)))</f>
        <v>2</v>
      </c>
      <c r="E63" s="207">
        <f t="shared" ref="E63" si="35">IF(AND(E61=2,E62=2),2,IF(E61&lt;&gt;E62,1,IF(AND(E61=0,E62=0),0,4)))</f>
        <v>2</v>
      </c>
      <c r="F63" s="207">
        <f t="shared" ref="F63" si="36">IF(AND(F61=2,F62=2),2,IF(F61&lt;&gt;F62,1,IF(AND(F61=0,F62=0),0,4)))</f>
        <v>2</v>
      </c>
      <c r="G63" s="207">
        <f t="shared" ref="G63" si="37">IF(AND(G61=2,G62=2),2,IF(G61&lt;&gt;G62,1,IF(AND(G61=0,G62=0),0,4)))</f>
        <v>2</v>
      </c>
      <c r="H63" s="207">
        <f t="shared" ref="H63" si="38">IF(AND(H61=2,H62=2),2,IF(H61&lt;&gt;H62,1,IF(AND(H61=0,H62=0),0,4)))</f>
        <v>2</v>
      </c>
      <c r="I63" s="207">
        <f t="shared" ref="I63" si="39">IF(AND(I61=2,I62=2),2,IF(I61&lt;&gt;I62,1,IF(AND(I61=0,I62=0),0,4)))</f>
        <v>2</v>
      </c>
      <c r="J63" s="207">
        <f t="shared" ref="J63" si="40">IF(AND(J61=2,J62=2),2,IF(J61&lt;&gt;J62,1,IF(AND(J61=0,J62=0),0,4)))</f>
        <v>2</v>
      </c>
      <c r="K63" s="207">
        <f t="shared" ref="K63" si="41">IF(AND(K61=2,K62=2),2,IF(K61&lt;&gt;K62,1,IF(AND(K61=0,K62=0),0,4)))</f>
        <v>2</v>
      </c>
      <c r="L63" s="207">
        <f t="shared" ref="L63" si="42">IF(AND(L61=2,L62=2),2,IF(L61&lt;&gt;L62,1,IF(AND(L61=0,L62=0),0,4)))</f>
        <v>2</v>
      </c>
      <c r="M63" s="207">
        <f t="shared" ref="M63" si="43">IF(AND(M61=2,M62=2),2,IF(M61&lt;&gt;M62,1,IF(AND(M61=0,M62=0),0,4)))</f>
        <v>2</v>
      </c>
      <c r="N63" s="207">
        <f t="shared" ref="N63" si="44">IF(AND(N61=2,N62=2),2,IF(N61&lt;&gt;N62,1,IF(AND(N61=0,N62=0),0,4)))</f>
        <v>2</v>
      </c>
      <c r="O63" s="207" t="str">
        <f>IF(R63&gt;1,"入力確認",IF(Q63+S63=12,"入力済","未入力"))</f>
        <v>入力済</v>
      </c>
      <c r="P63" s="209">
        <f>IF(O63="未入力",1,IF(O63="入力済",0,2))</f>
        <v>0</v>
      </c>
      <c r="Q63" s="206">
        <f>COUNTIF($C63:$N63,0)</f>
        <v>0</v>
      </c>
      <c r="R63" s="206">
        <f>COUNTIF($C63:$N63,1)</f>
        <v>0</v>
      </c>
      <c r="S63" s="206">
        <f>COUNTIF($C63:$N63,2)</f>
        <v>12</v>
      </c>
    </row>
    <row r="64" spans="2:20" x14ac:dyDescent="0.45">
      <c r="E64" s="79"/>
      <c r="F64" s="79"/>
      <c r="G64" s="79"/>
      <c r="H64" s="79"/>
      <c r="O64" s="80"/>
    </row>
    <row r="65" spans="2:20" x14ac:dyDescent="0.45">
      <c r="E65" s="79"/>
      <c r="F65" s="79"/>
      <c r="G65" s="79"/>
      <c r="H65" s="79"/>
      <c r="O65" s="80"/>
    </row>
    <row r="66" spans="2:20" ht="20.25" customHeight="1" thickBot="1" x14ac:dyDescent="0.5">
      <c r="B66" s="67" t="s">
        <v>205</v>
      </c>
      <c r="E66" s="311" t="s">
        <v>281</v>
      </c>
      <c r="F66" s="311"/>
      <c r="G66" s="70"/>
      <c r="H66" s="81"/>
      <c r="I66" s="81"/>
      <c r="K66" s="69"/>
    </row>
    <row r="67" spans="2:20" ht="19.5" customHeight="1" x14ac:dyDescent="0.45">
      <c r="B67" s="4" t="s">
        <v>280</v>
      </c>
      <c r="C67" s="71" t="s">
        <v>32</v>
      </c>
      <c r="D67" s="72" t="s">
        <v>31</v>
      </c>
      <c r="E67" s="72" t="s">
        <v>30</v>
      </c>
      <c r="F67" s="72" t="s">
        <v>29</v>
      </c>
      <c r="G67" s="72" t="s">
        <v>28</v>
      </c>
      <c r="H67" s="72" t="s">
        <v>27</v>
      </c>
      <c r="I67" s="72" t="s">
        <v>26</v>
      </c>
      <c r="J67" s="72" t="s">
        <v>25</v>
      </c>
      <c r="K67" s="72" t="s">
        <v>24</v>
      </c>
      <c r="L67" s="71" t="s">
        <v>23</v>
      </c>
      <c r="M67" s="72" t="s">
        <v>22</v>
      </c>
      <c r="N67" s="76" t="s">
        <v>21</v>
      </c>
      <c r="O67" s="171"/>
      <c r="P67" s="77"/>
    </row>
    <row r="68" spans="2:20" ht="38.25" customHeight="1" x14ac:dyDescent="0.45">
      <c r="B68" s="74" t="s">
        <v>442</v>
      </c>
      <c r="C68" s="93"/>
      <c r="D68" s="93"/>
      <c r="E68" s="93"/>
      <c r="F68" s="93"/>
      <c r="G68" s="93"/>
      <c r="H68" s="93"/>
      <c r="I68" s="93"/>
      <c r="J68" s="93"/>
      <c r="K68" s="93"/>
      <c r="L68" s="93"/>
      <c r="M68" s="93"/>
      <c r="N68" s="94"/>
      <c r="O68" s="165" t="s">
        <v>444</v>
      </c>
      <c r="P68" s="170" t="s">
        <v>443</v>
      </c>
    </row>
    <row r="69" spans="2:20" ht="19.5" customHeight="1" x14ac:dyDescent="0.45">
      <c r="B69" s="73" t="s">
        <v>18</v>
      </c>
      <c r="C69" s="295"/>
      <c r="D69" s="295"/>
      <c r="E69" s="295"/>
      <c r="F69" s="295"/>
      <c r="G69" s="295"/>
      <c r="H69" s="295"/>
      <c r="I69" s="295"/>
      <c r="J69" s="295"/>
      <c r="K69" s="295"/>
      <c r="L69" s="295"/>
      <c r="M69" s="295"/>
      <c r="N69" s="295"/>
      <c r="O69" s="308" t="str">
        <f>IF(ISERROR(12*SUM(C69:N70)/COUNT(C69:N70)),"",12*SUM(C69:N70)/COUNT(C69:N70))</f>
        <v/>
      </c>
      <c r="P69" s="310" t="str">
        <f>IF(P72=0,"",IF(P74=1,"未入力欄を確認",IF(P72=1,"年度を選択",IF(P72=2,"エネルギー種別を選択",IF($E66="温水・冷水",計算!$J$35,IF($E66="産業用蒸気",計算!$J$36,IF($E66="産業用以外の蒸気",計算!$J$37,IF($E66="灯油",計算!$J$38,IF($E66="軽油",計算!$J$39,IF($E66="A重油",計算!$J$40,IF($E66="B・Ｃ重油",計算!$J$41,"")))))))))))</f>
        <v/>
      </c>
    </row>
    <row r="70" spans="2:20" ht="19.5" customHeight="1" thickBot="1" x14ac:dyDescent="0.5">
      <c r="B70" s="74" t="str">
        <f>IF(OR(E66="温水・冷水",E66="産業用蒸気",E66="産業用以外の蒸気"),"［MJ］","［L］")</f>
        <v>［L］</v>
      </c>
      <c r="C70" s="297"/>
      <c r="D70" s="297"/>
      <c r="E70" s="297"/>
      <c r="F70" s="297"/>
      <c r="G70" s="297"/>
      <c r="H70" s="297"/>
      <c r="I70" s="297"/>
      <c r="J70" s="296"/>
      <c r="K70" s="296"/>
      <c r="L70" s="296"/>
      <c r="M70" s="296"/>
      <c r="N70" s="296"/>
      <c r="O70" s="309"/>
      <c r="P70" s="299"/>
    </row>
    <row r="71" spans="2:20" ht="38.25" customHeight="1" thickTop="1" thickBot="1" x14ac:dyDescent="0.5">
      <c r="B71" s="75" t="s">
        <v>441</v>
      </c>
      <c r="C71" s="172"/>
      <c r="D71" s="172"/>
      <c r="E71" s="172"/>
      <c r="F71" s="172"/>
      <c r="G71" s="172"/>
      <c r="H71" s="172"/>
      <c r="I71" s="172"/>
      <c r="J71" s="173"/>
      <c r="K71" s="173"/>
      <c r="L71" s="173"/>
      <c r="M71" s="173"/>
      <c r="N71" s="173"/>
      <c r="O71" s="78" t="str">
        <f>IF(ISERROR(12*SUM(C71:N71)/COUNT(C71:N71)),"",12*SUM(C71:N71)/COUNT(C71:N71))</f>
        <v/>
      </c>
      <c r="P71" s="118">
        <f>IF(AND(O69="",O71="",P74=0),0,IF(OR(B67="",B67="年度を選択"),1,IF(OR(E66="",E66="エネルギー種別を選択"),2,4)))</f>
        <v>0</v>
      </c>
      <c r="Q71" s="206"/>
    </row>
    <row r="72" spans="2:20" ht="18.75" hidden="1" customHeight="1" x14ac:dyDescent="0.45">
      <c r="B72" s="208" t="s">
        <v>477</v>
      </c>
      <c r="C72" s="207">
        <f>IF(C68="",2,IF(C68&lt;&gt;"",0,1))</f>
        <v>2</v>
      </c>
      <c r="D72" s="207">
        <f t="shared" ref="D72:L72" si="45">IF(D68="",2,IF(D68&lt;&gt;"",0,1))</f>
        <v>2</v>
      </c>
      <c r="E72" s="207">
        <f t="shared" si="45"/>
        <v>2</v>
      </c>
      <c r="F72" s="207">
        <f t="shared" si="45"/>
        <v>2</v>
      </c>
      <c r="G72" s="207">
        <f t="shared" si="45"/>
        <v>2</v>
      </c>
      <c r="H72" s="207">
        <f t="shared" si="45"/>
        <v>2</v>
      </c>
      <c r="I72" s="207">
        <f t="shared" si="45"/>
        <v>2</v>
      </c>
      <c r="J72" s="207">
        <f t="shared" si="45"/>
        <v>2</v>
      </c>
      <c r="K72" s="207">
        <f t="shared" si="45"/>
        <v>2</v>
      </c>
      <c r="L72" s="207">
        <f t="shared" si="45"/>
        <v>2</v>
      </c>
      <c r="M72" s="207">
        <f>IF(M68="",2,IF(M68&lt;&gt;"",0,1))</f>
        <v>2</v>
      </c>
      <c r="N72" s="207">
        <f t="shared" ref="N72" si="46">IF(N68="",2,IF(N68&lt;&gt;"",0,1))</f>
        <v>2</v>
      </c>
      <c r="O72" s="207" t="str">
        <f>IF(R72&gt;1,"入力確認",IF(Q72=Q73,"入力済","未入力"))</f>
        <v>入力済</v>
      </c>
      <c r="P72" s="209">
        <f>P71</f>
        <v>0</v>
      </c>
      <c r="Q72" s="206">
        <f>COUNTIF($C72:$N72,0)</f>
        <v>0</v>
      </c>
      <c r="R72" s="206">
        <f>COUNTIF($C72:$N72,1)</f>
        <v>0</v>
      </c>
      <c r="S72" s="206">
        <f>COUNTIF($C72:$N72,2)</f>
        <v>12</v>
      </c>
      <c r="T72" s="206"/>
    </row>
    <row r="73" spans="2:20" ht="18.75" hidden="1" customHeight="1" x14ac:dyDescent="0.45">
      <c r="B73" s="208" t="s">
        <v>478</v>
      </c>
      <c r="C73" s="207">
        <f>IF(AND(C69="",C71=""),2,IF(AND(C69&lt;&gt;"",C71&lt;&gt;""),0,1))</f>
        <v>2</v>
      </c>
      <c r="D73" s="207">
        <f t="shared" ref="D73:N73" si="47">IF(AND(D69="",D71=""),2,IF(AND(D69&lt;&gt;"",D71&lt;&gt;""),0,1))</f>
        <v>2</v>
      </c>
      <c r="E73" s="207">
        <f t="shared" si="47"/>
        <v>2</v>
      </c>
      <c r="F73" s="207">
        <f t="shared" si="47"/>
        <v>2</v>
      </c>
      <c r="G73" s="207">
        <f t="shared" si="47"/>
        <v>2</v>
      </c>
      <c r="H73" s="207">
        <f t="shared" si="47"/>
        <v>2</v>
      </c>
      <c r="I73" s="207">
        <f t="shared" si="47"/>
        <v>2</v>
      </c>
      <c r="J73" s="207">
        <f t="shared" si="47"/>
        <v>2</v>
      </c>
      <c r="K73" s="207">
        <f t="shared" si="47"/>
        <v>2</v>
      </c>
      <c r="L73" s="207">
        <f t="shared" si="47"/>
        <v>2</v>
      </c>
      <c r="M73" s="207">
        <f t="shared" si="47"/>
        <v>2</v>
      </c>
      <c r="N73" s="207">
        <f t="shared" si="47"/>
        <v>2</v>
      </c>
      <c r="O73" s="207" t="str">
        <f>IF(R73&gt;1,"入力確認",IF(Q73+S73=12,"入力済","未入力"))</f>
        <v>入力済</v>
      </c>
      <c r="P73" s="209"/>
      <c r="Q73" s="206">
        <f>COUNTIF($C73:$N73,0)</f>
        <v>0</v>
      </c>
      <c r="R73" s="206">
        <f>COUNTIF($C73:$N73,1)</f>
        <v>0</v>
      </c>
      <c r="S73" s="206">
        <f>COUNTIF($C73:$N73,2)</f>
        <v>12</v>
      </c>
    </row>
    <row r="74" spans="2:20" ht="18.75" hidden="1" customHeight="1" x14ac:dyDescent="0.45">
      <c r="B74" s="208" t="s">
        <v>479</v>
      </c>
      <c r="C74" s="207">
        <f>IF(AND(C72=2,C73=2),2,IF(C72&lt;&gt;C73,1,IF(AND(C72=0,C73=0),0,4)))</f>
        <v>2</v>
      </c>
      <c r="D74" s="207">
        <f t="shared" ref="D74" si="48">IF(AND(D72=2,D73=2),2,IF(D72&lt;&gt;D73,1,IF(AND(D72=0,D73=0),0,4)))</f>
        <v>2</v>
      </c>
      <c r="E74" s="207">
        <f t="shared" ref="E74" si="49">IF(AND(E72=2,E73=2),2,IF(E72&lt;&gt;E73,1,IF(AND(E72=0,E73=0),0,4)))</f>
        <v>2</v>
      </c>
      <c r="F74" s="207">
        <f t="shared" ref="F74" si="50">IF(AND(F72=2,F73=2),2,IF(F72&lt;&gt;F73,1,IF(AND(F72=0,F73=0),0,4)))</f>
        <v>2</v>
      </c>
      <c r="G74" s="207">
        <f t="shared" ref="G74" si="51">IF(AND(G72=2,G73=2),2,IF(G72&lt;&gt;G73,1,IF(AND(G72=0,G73=0),0,4)))</f>
        <v>2</v>
      </c>
      <c r="H74" s="207">
        <f t="shared" ref="H74" si="52">IF(AND(H72=2,H73=2),2,IF(H72&lt;&gt;H73,1,IF(AND(H72=0,H73=0),0,4)))</f>
        <v>2</v>
      </c>
      <c r="I74" s="207">
        <f t="shared" ref="I74" si="53">IF(AND(I72=2,I73=2),2,IF(I72&lt;&gt;I73,1,IF(AND(I72=0,I73=0),0,4)))</f>
        <v>2</v>
      </c>
      <c r="J74" s="207">
        <f t="shared" ref="J74" si="54">IF(AND(J72=2,J73=2),2,IF(J72&lt;&gt;J73,1,IF(AND(J72=0,J73=0),0,4)))</f>
        <v>2</v>
      </c>
      <c r="K74" s="207">
        <f t="shared" ref="K74" si="55">IF(AND(K72=2,K73=2),2,IF(K72&lt;&gt;K73,1,IF(AND(K72=0,K73=0),0,4)))</f>
        <v>2</v>
      </c>
      <c r="L74" s="207">
        <f t="shared" ref="L74" si="56">IF(AND(L72=2,L73=2),2,IF(L72&lt;&gt;L73,1,IF(AND(L72=0,L73=0),0,4)))</f>
        <v>2</v>
      </c>
      <c r="M74" s="207">
        <f t="shared" ref="M74" si="57">IF(AND(M72=2,M73=2),2,IF(M72&lt;&gt;M73,1,IF(AND(M72=0,M73=0),0,4)))</f>
        <v>2</v>
      </c>
      <c r="N74" s="207">
        <f t="shared" ref="N74" si="58">IF(AND(N72=2,N73=2),2,IF(N72&lt;&gt;N73,1,IF(AND(N72=0,N73=0),0,4)))</f>
        <v>2</v>
      </c>
      <c r="O74" s="207" t="str">
        <f>IF(R74&gt;1,"入力確認",IF(Q74+S74=12,"入力済","未入力"))</f>
        <v>入力済</v>
      </c>
      <c r="P74" s="209">
        <f>IF(O74="未入力",1,IF(O74="入力済",0,2))</f>
        <v>0</v>
      </c>
      <c r="Q74" s="206">
        <f>COUNTIF($C74:$N74,0)</f>
        <v>0</v>
      </c>
      <c r="R74" s="206">
        <f>COUNTIF($C74:$N74,1)</f>
        <v>0</v>
      </c>
      <c r="S74" s="206">
        <f>COUNTIF($C74:$N74,2)</f>
        <v>12</v>
      </c>
    </row>
    <row r="75" spans="2:20" x14ac:dyDescent="0.45">
      <c r="E75" s="79"/>
      <c r="F75" s="79"/>
      <c r="G75" s="79"/>
      <c r="H75" s="79"/>
      <c r="O75" s="80"/>
    </row>
    <row r="76" spans="2:20" x14ac:dyDescent="0.45">
      <c r="E76" s="79"/>
      <c r="F76" s="79"/>
      <c r="G76" s="79"/>
      <c r="H76" s="79"/>
      <c r="O76" s="80"/>
    </row>
    <row r="77" spans="2:20" ht="20.25" customHeight="1" thickBot="1" x14ac:dyDescent="0.5">
      <c r="B77" s="67" t="s">
        <v>206</v>
      </c>
      <c r="E77" s="311" t="s">
        <v>281</v>
      </c>
      <c r="F77" s="311"/>
      <c r="G77" s="70"/>
      <c r="H77" s="81"/>
      <c r="I77" s="81"/>
      <c r="K77" s="69"/>
    </row>
    <row r="78" spans="2:20" ht="19.5" customHeight="1" x14ac:dyDescent="0.45">
      <c r="B78" s="4" t="s">
        <v>280</v>
      </c>
      <c r="C78" s="71" t="s">
        <v>32</v>
      </c>
      <c r="D78" s="72" t="s">
        <v>31</v>
      </c>
      <c r="E78" s="72" t="s">
        <v>30</v>
      </c>
      <c r="F78" s="72" t="s">
        <v>29</v>
      </c>
      <c r="G78" s="72" t="s">
        <v>28</v>
      </c>
      <c r="H78" s="72" t="s">
        <v>27</v>
      </c>
      <c r="I78" s="72" t="s">
        <v>26</v>
      </c>
      <c r="J78" s="72" t="s">
        <v>25</v>
      </c>
      <c r="K78" s="72" t="s">
        <v>24</v>
      </c>
      <c r="L78" s="71" t="s">
        <v>23</v>
      </c>
      <c r="M78" s="72" t="s">
        <v>22</v>
      </c>
      <c r="N78" s="76" t="s">
        <v>21</v>
      </c>
      <c r="O78" s="171"/>
      <c r="P78" s="77"/>
    </row>
    <row r="79" spans="2:20" ht="38.25" customHeight="1" x14ac:dyDescent="0.45">
      <c r="B79" s="74" t="s">
        <v>442</v>
      </c>
      <c r="C79" s="93"/>
      <c r="D79" s="93"/>
      <c r="E79" s="93"/>
      <c r="F79" s="93"/>
      <c r="G79" s="93"/>
      <c r="H79" s="93"/>
      <c r="I79" s="93"/>
      <c r="J79" s="93"/>
      <c r="K79" s="93"/>
      <c r="L79" s="93"/>
      <c r="M79" s="93"/>
      <c r="N79" s="94"/>
      <c r="O79" s="165" t="s">
        <v>444</v>
      </c>
      <c r="P79" s="170" t="s">
        <v>443</v>
      </c>
    </row>
    <row r="80" spans="2:20" ht="19.5" customHeight="1" x14ac:dyDescent="0.45">
      <c r="B80" s="73" t="s">
        <v>18</v>
      </c>
      <c r="C80" s="295"/>
      <c r="D80" s="295"/>
      <c r="E80" s="295"/>
      <c r="F80" s="295"/>
      <c r="G80" s="295"/>
      <c r="H80" s="295"/>
      <c r="I80" s="295"/>
      <c r="J80" s="295"/>
      <c r="K80" s="295"/>
      <c r="L80" s="295"/>
      <c r="M80" s="295"/>
      <c r="N80" s="295"/>
      <c r="O80" s="308" t="str">
        <f>IF(ISERROR(12*SUM(C80:N81)/COUNT(C80:N81)),"",12*SUM(C80:N81)/COUNT(C80:N81))</f>
        <v/>
      </c>
      <c r="P80" s="310" t="str">
        <f>IF(P83=0,"",IF(P85=1,"未入力欄を確認",IF(P83=1,"年度を選択",IF(P83=2,"エネルギー種別を選択",IF($E77="温水・冷水",計算!$J$44,IF($E77="産業用蒸気",計算!$J$45,IF($E77="産業用以外の蒸気",計算!$J$46,IF($E77="灯油",計算!$J$47,IF($E77="軽油",計算!$J$48,IF($E77="A重油",計算!$J$49,IF($E77="B・Ｃ重油",計算!J50,"")))))))))))</f>
        <v/>
      </c>
    </row>
    <row r="81" spans="2:20" ht="19.5" customHeight="1" thickBot="1" x14ac:dyDescent="0.5">
      <c r="B81" s="74" t="str">
        <f>IF(OR(E77="温水・冷水",E77="産業用蒸気",E77="産業用以外の蒸気"),"［MJ］","［L］")</f>
        <v>［L］</v>
      </c>
      <c r="C81" s="297"/>
      <c r="D81" s="297"/>
      <c r="E81" s="297"/>
      <c r="F81" s="297"/>
      <c r="G81" s="297"/>
      <c r="H81" s="297"/>
      <c r="I81" s="297"/>
      <c r="J81" s="296"/>
      <c r="K81" s="296"/>
      <c r="L81" s="296"/>
      <c r="M81" s="296"/>
      <c r="N81" s="296"/>
      <c r="O81" s="309"/>
      <c r="P81" s="299"/>
    </row>
    <row r="82" spans="2:20" ht="38.25" customHeight="1" thickTop="1" thickBot="1" x14ac:dyDescent="0.5">
      <c r="B82" s="75" t="s">
        <v>441</v>
      </c>
      <c r="C82" s="172"/>
      <c r="D82" s="172"/>
      <c r="E82" s="172"/>
      <c r="F82" s="172"/>
      <c r="G82" s="172"/>
      <c r="H82" s="172"/>
      <c r="I82" s="172"/>
      <c r="J82" s="173"/>
      <c r="K82" s="173"/>
      <c r="L82" s="173"/>
      <c r="M82" s="173"/>
      <c r="N82" s="173"/>
      <c r="O82" s="78" t="str">
        <f>IF(ISERROR(12*SUM(C82:N82)/COUNT(C82:N82)),"",12*SUM(C82:N82)/COUNT(C82:N82))</f>
        <v/>
      </c>
      <c r="P82" s="118">
        <f>IF(AND(O80="",O82="",P85=0),0,IF(OR(B78="",B78="年度を選択"),1,IF(OR(E77="",E77="エネルギー種別を選択"),2,4)))</f>
        <v>0</v>
      </c>
      <c r="Q82" s="206"/>
      <c r="R82" s="67">
        <f>P82</f>
        <v>0</v>
      </c>
    </row>
    <row r="83" spans="2:20" ht="18.75" hidden="1" customHeight="1" x14ac:dyDescent="0.45">
      <c r="B83" s="208" t="s">
        <v>477</v>
      </c>
      <c r="C83" s="207">
        <f>IF(C79="",2,IF(C79&lt;&gt;"",0,1))</f>
        <v>2</v>
      </c>
      <c r="D83" s="207">
        <f t="shared" ref="D83:L83" si="59">IF(D79="",2,IF(D79&lt;&gt;"",0,1))</f>
        <v>2</v>
      </c>
      <c r="E83" s="207">
        <f t="shared" si="59"/>
        <v>2</v>
      </c>
      <c r="F83" s="207">
        <f t="shared" si="59"/>
        <v>2</v>
      </c>
      <c r="G83" s="207">
        <f t="shared" si="59"/>
        <v>2</v>
      </c>
      <c r="H83" s="207">
        <f t="shared" si="59"/>
        <v>2</v>
      </c>
      <c r="I83" s="207">
        <f t="shared" si="59"/>
        <v>2</v>
      </c>
      <c r="J83" s="207">
        <f t="shared" si="59"/>
        <v>2</v>
      </c>
      <c r="K83" s="207">
        <f t="shared" si="59"/>
        <v>2</v>
      </c>
      <c r="L83" s="207">
        <f t="shared" si="59"/>
        <v>2</v>
      </c>
      <c r="M83" s="207">
        <f>IF(M79="",2,IF(M79&lt;&gt;"",0,1))</f>
        <v>2</v>
      </c>
      <c r="N83" s="207">
        <f t="shared" ref="N83" si="60">IF(N79="",2,IF(N79&lt;&gt;"",0,1))</f>
        <v>2</v>
      </c>
      <c r="O83" s="207" t="str">
        <f>IF(R83&gt;1,"入力確認",IF(Q83=Q84,"入力済","未入力"))</f>
        <v>入力済</v>
      </c>
      <c r="P83" s="209">
        <f>P82</f>
        <v>0</v>
      </c>
      <c r="Q83" s="206">
        <f>COUNTIF($C83:$N83,0)</f>
        <v>0</v>
      </c>
      <c r="R83" s="206">
        <f>COUNTIF($C83:$N83,1)</f>
        <v>0</v>
      </c>
      <c r="S83" s="206">
        <f>COUNTIF($C83:$N83,2)</f>
        <v>12</v>
      </c>
      <c r="T83" s="206"/>
    </row>
    <row r="84" spans="2:20" ht="18.75" hidden="1" customHeight="1" x14ac:dyDescent="0.45">
      <c r="B84" s="208" t="s">
        <v>478</v>
      </c>
      <c r="C84" s="207">
        <f>IF(AND(C80="",C82=""),2,IF(AND(C80&lt;&gt;"",C82&lt;&gt;""),0,1))</f>
        <v>2</v>
      </c>
      <c r="D84" s="207">
        <f t="shared" ref="D84:N84" si="61">IF(AND(D80="",D82=""),2,IF(AND(D80&lt;&gt;"",D82&lt;&gt;""),0,1))</f>
        <v>2</v>
      </c>
      <c r="E84" s="207">
        <f t="shared" si="61"/>
        <v>2</v>
      </c>
      <c r="F84" s="207">
        <f t="shared" si="61"/>
        <v>2</v>
      </c>
      <c r="G84" s="207">
        <f t="shared" si="61"/>
        <v>2</v>
      </c>
      <c r="H84" s="207">
        <f t="shared" si="61"/>
        <v>2</v>
      </c>
      <c r="I84" s="207">
        <f t="shared" si="61"/>
        <v>2</v>
      </c>
      <c r="J84" s="207">
        <f t="shared" si="61"/>
        <v>2</v>
      </c>
      <c r="K84" s="207">
        <f t="shared" si="61"/>
        <v>2</v>
      </c>
      <c r="L84" s="207">
        <f t="shared" si="61"/>
        <v>2</v>
      </c>
      <c r="M84" s="207">
        <f t="shared" si="61"/>
        <v>2</v>
      </c>
      <c r="N84" s="207">
        <f t="shared" si="61"/>
        <v>2</v>
      </c>
      <c r="O84" s="207" t="str">
        <f>IF(R84&gt;1,"入力確認",IF(Q84+S84=12,"入力済","未入力"))</f>
        <v>入力済</v>
      </c>
      <c r="P84" s="209"/>
      <c r="Q84" s="206">
        <f>COUNTIF($C84:$N84,0)</f>
        <v>0</v>
      </c>
      <c r="R84" s="206">
        <f>COUNTIF($C84:$N84,1)</f>
        <v>0</v>
      </c>
      <c r="S84" s="206">
        <f>COUNTIF($C84:$N84,2)</f>
        <v>12</v>
      </c>
    </row>
    <row r="85" spans="2:20" ht="18.75" hidden="1" customHeight="1" x14ac:dyDescent="0.45">
      <c r="B85" s="208" t="s">
        <v>479</v>
      </c>
      <c r="C85" s="207">
        <f>IF(AND(C83=2,C84=2),2,IF(C83&lt;&gt;C84,1,IF(AND(C83=0,C84=0),0,4)))</f>
        <v>2</v>
      </c>
      <c r="D85" s="207">
        <f t="shared" ref="D85" si="62">IF(AND(D83=2,D84=2),2,IF(D83&lt;&gt;D84,1,IF(AND(D83=0,D84=0),0,4)))</f>
        <v>2</v>
      </c>
      <c r="E85" s="207">
        <f t="shared" ref="E85" si="63">IF(AND(E83=2,E84=2),2,IF(E83&lt;&gt;E84,1,IF(AND(E83=0,E84=0),0,4)))</f>
        <v>2</v>
      </c>
      <c r="F85" s="207">
        <f t="shared" ref="F85" si="64">IF(AND(F83=2,F84=2),2,IF(F83&lt;&gt;F84,1,IF(AND(F83=0,F84=0),0,4)))</f>
        <v>2</v>
      </c>
      <c r="G85" s="207">
        <f t="shared" ref="G85" si="65">IF(AND(G83=2,G84=2),2,IF(G83&lt;&gt;G84,1,IF(AND(G83=0,G84=0),0,4)))</f>
        <v>2</v>
      </c>
      <c r="H85" s="207">
        <f t="shared" ref="H85" si="66">IF(AND(H83=2,H84=2),2,IF(H83&lt;&gt;H84,1,IF(AND(H83=0,H84=0),0,4)))</f>
        <v>2</v>
      </c>
      <c r="I85" s="207">
        <f t="shared" ref="I85" si="67">IF(AND(I83=2,I84=2),2,IF(I83&lt;&gt;I84,1,IF(AND(I83=0,I84=0),0,4)))</f>
        <v>2</v>
      </c>
      <c r="J85" s="207">
        <f t="shared" ref="J85" si="68">IF(AND(J83=2,J84=2),2,IF(J83&lt;&gt;J84,1,IF(AND(J83=0,J84=0),0,4)))</f>
        <v>2</v>
      </c>
      <c r="K85" s="207">
        <f t="shared" ref="K85" si="69">IF(AND(K83=2,K84=2),2,IF(K83&lt;&gt;K84,1,IF(AND(K83=0,K84=0),0,4)))</f>
        <v>2</v>
      </c>
      <c r="L85" s="207">
        <f t="shared" ref="L85" si="70">IF(AND(L83=2,L84=2),2,IF(L83&lt;&gt;L84,1,IF(AND(L83=0,L84=0),0,4)))</f>
        <v>2</v>
      </c>
      <c r="M85" s="207">
        <f t="shared" ref="M85" si="71">IF(AND(M83=2,M84=2),2,IF(M83&lt;&gt;M84,1,IF(AND(M83=0,M84=0),0,4)))</f>
        <v>2</v>
      </c>
      <c r="N85" s="207">
        <f t="shared" ref="N85" si="72">IF(AND(N83=2,N84=2),2,IF(N83&lt;&gt;N84,1,IF(AND(N83=0,N84=0),0,4)))</f>
        <v>2</v>
      </c>
      <c r="O85" s="207" t="str">
        <f>IF(R85&gt;1,"入力確認",IF(Q85+S85=12,"入力済","未入力"))</f>
        <v>入力済</v>
      </c>
      <c r="P85" s="209">
        <f>IF(O85="未入力",1,IF(O85="入力済",0,2))</f>
        <v>0</v>
      </c>
      <c r="Q85" s="206">
        <f>COUNTIF($C85:$N85,0)</f>
        <v>0</v>
      </c>
      <c r="R85" s="206">
        <f>COUNTIF($C85:$N85,1)</f>
        <v>0</v>
      </c>
      <c r="S85" s="206">
        <f>COUNTIF($C85:$N85,2)</f>
        <v>12</v>
      </c>
    </row>
  </sheetData>
  <sheetProtection password="DFA8" sheet="1" objects="1" scenarios="1" formatCells="0" selectLockedCells="1"/>
  <mergeCells count="90">
    <mergeCell ref="P80:P81"/>
    <mergeCell ref="E77:F77"/>
    <mergeCell ref="C80:C81"/>
    <mergeCell ref="D80:D81"/>
    <mergeCell ref="E80:E81"/>
    <mergeCell ref="F80:F81"/>
    <mergeCell ref="G80:G81"/>
    <mergeCell ref="H80:H81"/>
    <mergeCell ref="I80:I81"/>
    <mergeCell ref="J80:J81"/>
    <mergeCell ref="K80:K81"/>
    <mergeCell ref="L80:L81"/>
    <mergeCell ref="M80:M81"/>
    <mergeCell ref="N80:N81"/>
    <mergeCell ref="O80:O81"/>
    <mergeCell ref="P69:P70"/>
    <mergeCell ref="E66:F66"/>
    <mergeCell ref="C69:C70"/>
    <mergeCell ref="D69:D70"/>
    <mergeCell ref="E69:E70"/>
    <mergeCell ref="F69:F70"/>
    <mergeCell ref="G69:G70"/>
    <mergeCell ref="H69:H70"/>
    <mergeCell ref="I69:I70"/>
    <mergeCell ref="J69:J70"/>
    <mergeCell ref="K69:K70"/>
    <mergeCell ref="L69:L70"/>
    <mergeCell ref="M69:M70"/>
    <mergeCell ref="N69:N70"/>
    <mergeCell ref="O69:O70"/>
    <mergeCell ref="P58:P59"/>
    <mergeCell ref="E55:F55"/>
    <mergeCell ref="C58:C59"/>
    <mergeCell ref="D58:D59"/>
    <mergeCell ref="E58:E59"/>
    <mergeCell ref="F58:F59"/>
    <mergeCell ref="G58:G59"/>
    <mergeCell ref="H58:H59"/>
    <mergeCell ref="I58:I59"/>
    <mergeCell ref="J58:J59"/>
    <mergeCell ref="K58:K59"/>
    <mergeCell ref="L58:L59"/>
    <mergeCell ref="M58:M59"/>
    <mergeCell ref="N58:N59"/>
    <mergeCell ref="O58:O59"/>
    <mergeCell ref="C47:C48"/>
    <mergeCell ref="D47:D48"/>
    <mergeCell ref="O47:O48"/>
    <mergeCell ref="L47:L48"/>
    <mergeCell ref="M47:M48"/>
    <mergeCell ref="N47:N48"/>
    <mergeCell ref="P47:P48"/>
    <mergeCell ref="I47:I48"/>
    <mergeCell ref="E44:F44"/>
    <mergeCell ref="H47:H48"/>
    <mergeCell ref="E47:E48"/>
    <mergeCell ref="F47:F48"/>
    <mergeCell ref="G47:G48"/>
    <mergeCell ref="J47:J48"/>
    <mergeCell ref="K47:K48"/>
    <mergeCell ref="C24:C25"/>
    <mergeCell ref="D24:D25"/>
    <mergeCell ref="E24:E25"/>
    <mergeCell ref="F24:F25"/>
    <mergeCell ref="P36:P37"/>
    <mergeCell ref="E36:E37"/>
    <mergeCell ref="F36:F37"/>
    <mergeCell ref="G36:G37"/>
    <mergeCell ref="I36:I37"/>
    <mergeCell ref="J36:J37"/>
    <mergeCell ref="H36:H37"/>
    <mergeCell ref="N36:N37"/>
    <mergeCell ref="O36:O37"/>
    <mergeCell ref="C36:C37"/>
    <mergeCell ref="D36:D37"/>
    <mergeCell ref="O24:O25"/>
    <mergeCell ref="H24:H25"/>
    <mergeCell ref="I24:I25"/>
    <mergeCell ref="J24:J25"/>
    <mergeCell ref="P24:P25"/>
    <mergeCell ref="E19:F19"/>
    <mergeCell ref="G24:G25"/>
    <mergeCell ref="G19:N19"/>
    <mergeCell ref="M36:M37"/>
    <mergeCell ref="N24:N25"/>
    <mergeCell ref="L24:L25"/>
    <mergeCell ref="M24:M25"/>
    <mergeCell ref="K24:K25"/>
    <mergeCell ref="K36:K37"/>
    <mergeCell ref="L36:L37"/>
  </mergeCells>
  <phoneticPr fontId="2"/>
  <conditionalFormatting sqref="B22 P24">
    <cfRule type="expression" dxfId="20" priority="25">
      <formula>$P$27=1</formula>
    </cfRule>
  </conditionalFormatting>
  <conditionalFormatting sqref="G19">
    <cfRule type="expression" dxfId="19" priority="39">
      <formula>OR($G$19="エネルギー種別・単位を選択してください。",$G$19="エネルギーの使用年度を選択してください。",$G$19="未入力欄が有ります。確認してください。",$G$19="中小規模事業所の要件を満たしていないため、申請できません。")</formula>
    </cfRule>
  </conditionalFormatting>
  <conditionalFormatting sqref="C22:N22">
    <cfRule type="expression" dxfId="18" priority="36">
      <formula>C29=1</formula>
    </cfRule>
  </conditionalFormatting>
  <conditionalFormatting sqref="C34:N34">
    <cfRule type="expression" dxfId="17" priority="35">
      <formula>C41=1</formula>
    </cfRule>
  </conditionalFormatting>
  <conditionalFormatting sqref="B34 P36">
    <cfRule type="expression" dxfId="16" priority="22">
      <formula>$P$39=1</formula>
    </cfRule>
  </conditionalFormatting>
  <conditionalFormatting sqref="E33 P36">
    <cfRule type="expression" dxfId="15" priority="21">
      <formula>$P$39=2</formula>
    </cfRule>
  </conditionalFormatting>
  <conditionalFormatting sqref="F33 P36">
    <cfRule type="expression" dxfId="14" priority="20">
      <formula>$P$39=3</formula>
    </cfRule>
  </conditionalFormatting>
  <conditionalFormatting sqref="C45:N45">
    <cfRule type="expression" dxfId="13" priority="33">
      <formula>C52=1</formula>
    </cfRule>
  </conditionalFormatting>
  <conditionalFormatting sqref="C56:N56">
    <cfRule type="expression" dxfId="12" priority="28">
      <formula>C63=1</formula>
    </cfRule>
  </conditionalFormatting>
  <conditionalFormatting sqref="C67:N67">
    <cfRule type="expression" dxfId="11" priority="27">
      <formula>C74=1</formula>
    </cfRule>
  </conditionalFormatting>
  <conditionalFormatting sqref="C78:N78">
    <cfRule type="expression" dxfId="10" priority="26">
      <formula>C85=1</formula>
    </cfRule>
  </conditionalFormatting>
  <conditionalFormatting sqref="B45 P47">
    <cfRule type="expression" dxfId="9" priority="19">
      <formula>$P$50=1</formula>
    </cfRule>
  </conditionalFormatting>
  <conditionalFormatting sqref="B56 P58">
    <cfRule type="expression" dxfId="8" priority="17">
      <formula>$P$61=1</formula>
    </cfRule>
  </conditionalFormatting>
  <conditionalFormatting sqref="B67 P69">
    <cfRule type="expression" dxfId="7" priority="13">
      <formula>$P$72=1</formula>
    </cfRule>
  </conditionalFormatting>
  <conditionalFormatting sqref="E44 P47">
    <cfRule type="expression" dxfId="6" priority="18">
      <formula>$P$50=2</formula>
    </cfRule>
  </conditionalFormatting>
  <conditionalFormatting sqref="E55 P58">
    <cfRule type="expression" dxfId="5" priority="14">
      <formula>$P$61=2</formula>
    </cfRule>
  </conditionalFormatting>
  <conditionalFormatting sqref="E66 P69">
    <cfRule type="expression" dxfId="4" priority="11">
      <formula>$P$72=2</formula>
    </cfRule>
  </conditionalFormatting>
  <conditionalFormatting sqref="P24">
    <cfRule type="expression" dxfId="3" priority="23">
      <formula>$P$29=1</formula>
    </cfRule>
  </conditionalFormatting>
  <conditionalFormatting sqref="B78 P80">
    <cfRule type="expression" dxfId="2" priority="10">
      <formula>$P$83=1</formula>
    </cfRule>
  </conditionalFormatting>
  <conditionalFormatting sqref="E77 P80">
    <cfRule type="expression" dxfId="1" priority="9">
      <formula>$P$83=2</formula>
    </cfRule>
  </conditionalFormatting>
  <dataValidations xWindow="198" yWindow="327" count="5">
    <dataValidation allowBlank="1" showInputMessage="1" sqref="B23 B57 B68 B35 B46 B79"/>
    <dataValidation type="list" allowBlank="1" showInputMessage="1" sqref="B56 B22 B67 B34 B45 B78">
      <formula1>"年度を選択,2021年度,2020年度"</formula1>
    </dataValidation>
    <dataValidation allowBlank="1" sqref="C13:C14"/>
    <dataValidation allowBlank="1" showInputMessage="1" showErrorMessage="1" prompt="証憑等に記載されている使用期間を記入してください。" sqref="C23"/>
    <dataValidation type="list" allowBlank="1" showInputMessage="1" showErrorMessage="1" sqref="F33">
      <formula1>INDIRECT($E$33)</formula1>
    </dataValidation>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rowBreaks count="1" manualBreakCount="1">
    <brk id="64" max="16" man="1"/>
  </rowBreaks>
  <legacyDrawing r:id="rId2"/>
  <extLst>
    <ext xmlns:x14="http://schemas.microsoft.com/office/spreadsheetml/2009/9/main" uri="{CCE6A557-97BC-4b89-ADB6-D9C93CAAB3DF}">
      <x14:dataValidations xmlns:xm="http://schemas.microsoft.com/office/excel/2006/main" xWindow="198" yWindow="327" count="2">
        <x14:dataValidation type="list" allowBlank="1" showInputMessage="1">
          <x14:formula1>
            <xm:f>計算!$P$3:$P$12</xm:f>
          </x14:formula1>
          <xm:sqref>E55 E66 E77 E44</xm:sqref>
        </x14:dataValidation>
        <x14:dataValidation type="list" allowBlank="1" showInputMessage="1" showErrorMessage="1">
          <x14:formula1>
            <xm:f>計算!$N$3:$N$5</xm:f>
          </x14:formula1>
          <xm:sqref>E33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L40"/>
  <sheetViews>
    <sheetView topLeftCell="A7" zoomScale="90" zoomScaleNormal="90" zoomScaleSheetLayoutView="90" workbookViewId="0">
      <selection activeCell="F20" sqref="F20:G20"/>
    </sheetView>
  </sheetViews>
  <sheetFormatPr defaultColWidth="8.796875" defaultRowHeight="18.75" x14ac:dyDescent="0.45"/>
  <cols>
    <col min="1" max="1" width="2.296875" style="67" customWidth="1"/>
    <col min="2" max="3" width="5.8984375" style="67" customWidth="1"/>
    <col min="4" max="4" width="4.796875" style="67" customWidth="1"/>
    <col min="5" max="5" width="12.59765625" style="67" customWidth="1"/>
    <col min="6" max="10" width="9.19921875" style="67" customWidth="1"/>
    <col min="11" max="11" width="2.296875" style="67" customWidth="1"/>
    <col min="12" max="12" width="10.3984375" style="67" customWidth="1"/>
    <col min="13" max="15" width="8.5" style="67" customWidth="1"/>
    <col min="16" max="16" width="9.5" style="67" customWidth="1"/>
    <col min="17" max="17" width="8.5" style="67" customWidth="1"/>
    <col min="18" max="18" width="8.796875" style="67"/>
    <col min="19" max="19" width="17.19921875" style="67" customWidth="1"/>
    <col min="20" max="20" width="8.19921875" style="67" customWidth="1"/>
    <col min="21" max="21" width="10.5" style="67" customWidth="1"/>
    <col min="22" max="22" width="10.296875" style="67" bestFit="1" customWidth="1"/>
    <col min="23" max="24" width="8.796875" style="67"/>
    <col min="25" max="25" width="9.59765625" style="67" bestFit="1" customWidth="1"/>
    <col min="26" max="26" width="8.5" style="67" customWidth="1"/>
    <col min="27" max="27" width="9.296875" style="67" customWidth="1"/>
    <col min="28" max="28" width="9.296875" style="67" bestFit="1" customWidth="1"/>
    <col min="29" max="16384" width="8.796875" style="67"/>
  </cols>
  <sheetData>
    <row r="2" spans="2:12" s="23" customFormat="1" ht="19.5" x14ac:dyDescent="0.45">
      <c r="B2" s="56" t="s">
        <v>180</v>
      </c>
      <c r="C2" s="56"/>
    </row>
    <row r="3" spans="2:12" ht="19.5" x14ac:dyDescent="0.45">
      <c r="B3" s="169" t="s">
        <v>506</v>
      </c>
      <c r="K3" s="23"/>
    </row>
    <row r="4" spans="2:12" s="23" customFormat="1" ht="19.5" x14ac:dyDescent="0.45">
      <c r="B4" s="169" t="s">
        <v>509</v>
      </c>
      <c r="C4" s="56"/>
    </row>
    <row r="5" spans="2:12" ht="19.5" x14ac:dyDescent="0.45">
      <c r="B5" s="169" t="s">
        <v>507</v>
      </c>
      <c r="C5" s="66"/>
      <c r="L5" s="23"/>
    </row>
    <row r="6" spans="2:12" ht="19.5" x14ac:dyDescent="0.45">
      <c r="B6" s="169" t="s">
        <v>508</v>
      </c>
      <c r="C6" s="66"/>
      <c r="L6" s="23"/>
    </row>
    <row r="7" spans="2:12" ht="19.5" x14ac:dyDescent="0.45">
      <c r="B7" s="66"/>
      <c r="C7" s="66"/>
      <c r="L7" s="23"/>
    </row>
    <row r="8" spans="2:12" s="23" customFormat="1" ht="19.5" x14ac:dyDescent="0.45">
      <c r="B8" s="324" t="s">
        <v>181</v>
      </c>
      <c r="C8" s="325"/>
      <c r="D8" s="25"/>
      <c r="E8" s="54" t="s">
        <v>232</v>
      </c>
    </row>
    <row r="9" spans="2:12" s="23" customFormat="1" ht="19.5" x14ac:dyDescent="0.45">
      <c r="D9" s="26"/>
      <c r="E9" s="55" t="s">
        <v>137</v>
      </c>
      <c r="K9" s="45"/>
    </row>
    <row r="10" spans="2:12" s="23" customFormat="1" ht="19.5" x14ac:dyDescent="0.45">
      <c r="D10" s="27"/>
      <c r="E10" s="55" t="s">
        <v>138</v>
      </c>
    </row>
    <row r="11" spans="2:12" s="23" customFormat="1" ht="19.5" x14ac:dyDescent="0.45">
      <c r="E11" s="55"/>
    </row>
    <row r="12" spans="2:12" s="23" customFormat="1" ht="19.5" x14ac:dyDescent="0.45">
      <c r="B12" s="23" t="str">
        <f>'1.換気～比較表'!B19</f>
        <v>R4_Ver5.6</v>
      </c>
      <c r="E12" s="55"/>
    </row>
    <row r="13" spans="2:12" s="23" customFormat="1" ht="19.5" customHeight="1" x14ac:dyDescent="0.45">
      <c r="B13" s="24"/>
      <c r="C13" s="24"/>
      <c r="D13" s="24"/>
      <c r="K13" s="132"/>
    </row>
    <row r="14" spans="2:12" ht="43.5" customHeight="1" x14ac:dyDescent="0.45">
      <c r="B14" s="68" t="s">
        <v>263</v>
      </c>
      <c r="C14" s="68"/>
      <c r="G14" s="300" t="s">
        <v>214</v>
      </c>
      <c r="H14" s="300"/>
      <c r="I14" s="314" t="str">
        <f>IF(OR(I16="",I16="サーバーの設置を確認"),"確認事項を選択",IF(I16="はい",IF(I29=1,"未入力",IF(F34&lt;1500,"該当","非該当")),IF(OR(F24&lt;=0,F24=""),"未入力",IF(F24&lt;1500,"該当","非該当"))))</f>
        <v>確認事項を選択</v>
      </c>
      <c r="J14" s="314"/>
      <c r="L14" s="23"/>
    </row>
    <row r="15" spans="2:12" ht="19.5" customHeight="1" x14ac:dyDescent="0.45"/>
    <row r="16" spans="2:12" ht="34.5" customHeight="1" x14ac:dyDescent="0.45">
      <c r="C16" s="321" t="s">
        <v>282</v>
      </c>
      <c r="D16" s="321"/>
      <c r="E16" s="321"/>
      <c r="F16" s="321"/>
      <c r="G16" s="321"/>
      <c r="H16" s="322"/>
      <c r="I16" s="315" t="s">
        <v>284</v>
      </c>
      <c r="J16" s="316"/>
    </row>
    <row r="17" spans="3:11" ht="33" customHeight="1" x14ac:dyDescent="0.45">
      <c r="D17" s="120"/>
      <c r="E17" s="323" t="s">
        <v>512</v>
      </c>
      <c r="F17" s="323"/>
      <c r="G17" s="323"/>
      <c r="H17" s="323"/>
      <c r="I17" s="119"/>
      <c r="J17" s="119"/>
      <c r="K17" s="119"/>
    </row>
    <row r="18" spans="3:11" ht="19.5" customHeight="1" x14ac:dyDescent="0.45">
      <c r="C18" s="113"/>
      <c r="D18" s="23"/>
      <c r="E18" s="105"/>
    </row>
    <row r="19" spans="3:11" x14ac:dyDescent="0.45">
      <c r="C19" s="67" t="s">
        <v>510</v>
      </c>
    </row>
    <row r="20" spans="3:11" ht="40.5" customHeight="1" x14ac:dyDescent="0.45">
      <c r="C20" s="317" t="s">
        <v>244</v>
      </c>
      <c r="D20" s="317"/>
      <c r="E20" s="317"/>
      <c r="F20" s="327" t="s">
        <v>116</v>
      </c>
      <c r="G20" s="327"/>
      <c r="H20" s="112"/>
    </row>
    <row r="21" spans="3:11" ht="40.5" customHeight="1" x14ac:dyDescent="0.45">
      <c r="C21" s="317" t="s">
        <v>245</v>
      </c>
      <c r="D21" s="317"/>
      <c r="E21" s="317"/>
      <c r="F21" s="320"/>
      <c r="G21" s="320"/>
      <c r="H21" s="112" t="s">
        <v>246</v>
      </c>
    </row>
    <row r="22" spans="3:11" ht="40.5" customHeight="1" x14ac:dyDescent="0.45">
      <c r="C22" s="319" t="s">
        <v>260</v>
      </c>
      <c r="D22" s="317"/>
      <c r="E22" s="317"/>
      <c r="F22" s="320"/>
      <c r="G22" s="320"/>
      <c r="H22" s="112" t="s">
        <v>256</v>
      </c>
    </row>
    <row r="23" spans="3:11" ht="40.5" customHeight="1" x14ac:dyDescent="0.45">
      <c r="C23" s="317" t="s">
        <v>264</v>
      </c>
      <c r="D23" s="317"/>
      <c r="E23" s="317"/>
      <c r="F23" s="318" t="str">
        <f>IF(F21="","",IF(ISERROR(F21*F22*VLOOKUP($F$20,計算!$AB$4:$AC$8,2,FALSE)/1000),"事業所等の区分を選択",(F21*F22*VLOOKUP($F$20,計算!$AB$4:$AC$8,2,FALSE)/1000)))</f>
        <v/>
      </c>
      <c r="G23" s="318"/>
      <c r="H23" s="112" t="s">
        <v>257</v>
      </c>
    </row>
    <row r="24" spans="3:11" ht="40.5" customHeight="1" x14ac:dyDescent="0.45">
      <c r="C24" s="317" t="s">
        <v>252</v>
      </c>
      <c r="D24" s="317"/>
      <c r="E24" s="317"/>
      <c r="F24" s="318" t="str">
        <f>IF(I16="はい","",IF(ISERROR(F23*計算!$C$7),"",F23*計算!$C$7))</f>
        <v/>
      </c>
      <c r="G24" s="318"/>
      <c r="H24" s="112" t="s">
        <v>258</v>
      </c>
    </row>
    <row r="27" spans="3:11" x14ac:dyDescent="0.45">
      <c r="C27" s="67" t="s">
        <v>511</v>
      </c>
    </row>
    <row r="28" spans="3:11" ht="40.5" customHeight="1" x14ac:dyDescent="0.45">
      <c r="C28" s="317" t="s">
        <v>244</v>
      </c>
      <c r="D28" s="317"/>
      <c r="E28" s="317"/>
      <c r="F28" s="326" t="s">
        <v>283</v>
      </c>
      <c r="G28" s="326"/>
      <c r="H28" s="112"/>
    </row>
    <row r="29" spans="3:11" ht="40.5" customHeight="1" x14ac:dyDescent="0.45">
      <c r="C29" s="317" t="s">
        <v>254</v>
      </c>
      <c r="D29" s="317"/>
      <c r="E29" s="317"/>
      <c r="F29" s="320"/>
      <c r="G29" s="320"/>
      <c r="H29" s="112" t="s">
        <v>246</v>
      </c>
      <c r="I29" s="121">
        <f>IF(OR(F29="",F30="",F31="",F32="",F29&lt;=0,F30&lt;=0,F31&lt;=0,F32&lt;=0),1,0)</f>
        <v>1</v>
      </c>
    </row>
    <row r="30" spans="3:11" ht="40.5" customHeight="1" x14ac:dyDescent="0.45">
      <c r="C30" s="319" t="s">
        <v>259</v>
      </c>
      <c r="D30" s="317"/>
      <c r="E30" s="317"/>
      <c r="F30" s="320"/>
      <c r="G30" s="320"/>
      <c r="H30" s="112" t="s">
        <v>256</v>
      </c>
    </row>
    <row r="31" spans="3:11" ht="40.5" customHeight="1" x14ac:dyDescent="0.45">
      <c r="C31" s="319" t="s">
        <v>255</v>
      </c>
      <c r="D31" s="317"/>
      <c r="E31" s="317"/>
      <c r="F31" s="320"/>
      <c r="G31" s="320"/>
      <c r="H31" s="112" t="s">
        <v>246</v>
      </c>
    </row>
    <row r="32" spans="3:11" ht="40.5" customHeight="1" x14ac:dyDescent="0.45">
      <c r="C32" s="319" t="s">
        <v>261</v>
      </c>
      <c r="D32" s="317"/>
      <c r="E32" s="317"/>
      <c r="F32" s="320"/>
      <c r="G32" s="320"/>
      <c r="H32" s="112" t="s">
        <v>256</v>
      </c>
    </row>
    <row r="33" spans="3:8" ht="40.5" customHeight="1" x14ac:dyDescent="0.45">
      <c r="C33" s="317" t="s">
        <v>264</v>
      </c>
      <c r="D33" s="317"/>
      <c r="E33" s="317"/>
      <c r="F33" s="318" t="str">
        <f>IF(F29="","",IF(ISERROR(((F29-F31)*F30*VLOOKUP(F28,計算!$AB$4:$AC$8,2,FALSE)+(F31*F32*1.4))/1000),"",((F29-F31)*F30*VLOOKUP(F28,計算!$AB$4:$AC$8,2,FALSE)+(F31*F32*1.4))/1000))</f>
        <v/>
      </c>
      <c r="G33" s="318"/>
      <c r="H33" s="112" t="s">
        <v>257</v>
      </c>
    </row>
    <row r="34" spans="3:8" ht="40.5" customHeight="1" x14ac:dyDescent="0.45">
      <c r="C34" s="317" t="s">
        <v>252</v>
      </c>
      <c r="D34" s="317"/>
      <c r="E34" s="317"/>
      <c r="F34" s="318" t="str">
        <f>IF(I16="いいえ","",IF(ISERROR(F33*計算!$C$7),"",F33*計算!$C$7))</f>
        <v/>
      </c>
      <c r="G34" s="318"/>
      <c r="H34" s="112" t="s">
        <v>258</v>
      </c>
    </row>
    <row r="36" spans="3:8" x14ac:dyDescent="0.45">
      <c r="C36" s="69" t="s">
        <v>253</v>
      </c>
    </row>
    <row r="37" spans="3:8" x14ac:dyDescent="0.45">
      <c r="C37" s="106" t="s">
        <v>236</v>
      </c>
      <c r="D37" s="67" t="s">
        <v>240</v>
      </c>
    </row>
    <row r="38" spans="3:8" ht="20.25" x14ac:dyDescent="0.45">
      <c r="C38" s="106" t="s">
        <v>237</v>
      </c>
      <c r="D38" s="67" t="s">
        <v>241</v>
      </c>
    </row>
    <row r="39" spans="3:8" ht="20.25" x14ac:dyDescent="0.45">
      <c r="C39" s="106" t="s">
        <v>238</v>
      </c>
      <c r="D39" s="67" t="s">
        <v>242</v>
      </c>
    </row>
    <row r="40" spans="3:8" x14ac:dyDescent="0.45">
      <c r="C40" s="106" t="s">
        <v>239</v>
      </c>
      <c r="D40" s="67" t="s">
        <v>243</v>
      </c>
    </row>
  </sheetData>
  <sheetProtection password="DFA8" sheet="1" objects="1" scenarios="1" formatCells="0" selectLockedCells="1"/>
  <mergeCells count="30">
    <mergeCell ref="B8:C8"/>
    <mergeCell ref="C28:E28"/>
    <mergeCell ref="F28:G28"/>
    <mergeCell ref="C29:E29"/>
    <mergeCell ref="F29:G29"/>
    <mergeCell ref="G14:H14"/>
    <mergeCell ref="C21:E21"/>
    <mergeCell ref="C20:E20"/>
    <mergeCell ref="C22:E22"/>
    <mergeCell ref="C23:E23"/>
    <mergeCell ref="F20:G20"/>
    <mergeCell ref="F21:G21"/>
    <mergeCell ref="F22:G22"/>
    <mergeCell ref="F23:G23"/>
    <mergeCell ref="C24:E24"/>
    <mergeCell ref="F24:G24"/>
    <mergeCell ref="I14:J14"/>
    <mergeCell ref="I16:J16"/>
    <mergeCell ref="C33:E33"/>
    <mergeCell ref="F33:G33"/>
    <mergeCell ref="C34:E34"/>
    <mergeCell ref="F34:G34"/>
    <mergeCell ref="C31:E31"/>
    <mergeCell ref="F31:G31"/>
    <mergeCell ref="C32:E32"/>
    <mergeCell ref="F32:G32"/>
    <mergeCell ref="C30:E30"/>
    <mergeCell ref="F30:G30"/>
    <mergeCell ref="C16:H16"/>
    <mergeCell ref="E17:H17"/>
  </mergeCells>
  <phoneticPr fontId="2"/>
  <conditionalFormatting sqref="I14:J14">
    <cfRule type="expression" dxfId="0" priority="1">
      <formula>I14="未入力"</formula>
    </cfRule>
  </conditionalFormatting>
  <dataValidations xWindow="525" yWindow="361" count="3">
    <dataValidation allowBlank="1" sqref="D8:D9"/>
    <dataValidation allowBlank="1" showInputMessage="1" showErrorMessage="1" prompt="事務所内にサーバーを設置している区画がある場合" sqref="F28:G28"/>
    <dataValidation type="list" allowBlank="1" showInputMessage="1" showErrorMessage="1" sqref="I16:J16">
      <formula1>"サーバーの設置を確認,はい,いいえ"</formula1>
    </dataValidation>
  </dataValidations>
  <pageMargins left="0.6692913385826772" right="0.31496062992125984" top="0.82677165354330717" bottom="0.15748031496062992" header="0.39370078740157483" footer="0.15748031496062992"/>
  <pageSetup paperSize="9" scale="87" fitToHeight="0" orientation="portrait" r:id="rId1"/>
  <headerFooter>
    <oddHeader>&amp;C&amp;20換気量・省エネ計算シート</oddHeader>
  </headerFooter>
  <legacyDrawing r:id="rId2"/>
  <extLst>
    <ext xmlns:x14="http://schemas.microsoft.com/office/spreadsheetml/2009/9/main" uri="{CCE6A557-97BC-4b89-ADB6-D9C93CAAB3DF}">
      <x14:dataValidations xmlns:xm="http://schemas.microsoft.com/office/excel/2006/main" xWindow="525" yWindow="361" count="1">
        <x14:dataValidation type="list" allowBlank="1" showInputMessage="1" showErrorMessage="1" prompt="事務所等の区分を選択してください。">
          <x14:formula1>
            <xm:f>計算!$AB$3:$AB$8</xm:f>
          </x14:formula1>
          <xm:sqref>F20:G20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計算</vt:lpstr>
      <vt:lpstr>1.換気～比較表</vt:lpstr>
      <vt:lpstr>2-3.設備仕様入力</vt:lpstr>
      <vt:lpstr>4.エネルギー使用量</vt:lpstr>
      <vt:lpstr>5.概算使用量</vt:lpstr>
      <vt:lpstr>LPG</vt:lpstr>
      <vt:lpstr>'1.換気～比較表'!Print_Area</vt:lpstr>
      <vt:lpstr>'2-3.設備仕様入力'!Print_Area</vt:lpstr>
      <vt:lpstr>'4.エネルギー使用量'!Print_Area</vt:lpstr>
      <vt:lpstr>'5.概算使用量'!Print_Area</vt:lpstr>
      <vt:lpstr>'1.換気～比較表'!Print_Titles</vt:lpstr>
      <vt:lpstr>'4.エネルギー使用量'!Print_Titles</vt:lpstr>
      <vt:lpstr>'5.概算使用量'!Print_Titles</vt:lpstr>
      <vt:lpstr>都市ガス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PC20A06JR003</dc:creator>
  <cp:lastModifiedBy>CN</cp:lastModifiedBy>
  <cp:lastPrinted>2022-04-13T01:02:50Z</cp:lastPrinted>
  <dcterms:created xsi:type="dcterms:W3CDTF">2021-06-30T04:19:28Z</dcterms:created>
  <dcterms:modified xsi:type="dcterms:W3CDTF">2022-05-17T04:52:19Z</dcterms:modified>
</cp:coreProperties>
</file>