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wada-m\Desktop\制作物\記入例\計算シート\"/>
    </mc:Choice>
  </mc:AlternateContent>
  <workbookProtection workbookAlgorithmName="SHA-512" workbookHashValue="bh8A4dvN88cWInX7J/DBVF2Eeb7PPwPSnHQNUwaqMFQf+ALSfnGFOy6eGbP0MqMvHyrHeAW9XRNQy7L8Dhd1LQ==" workbookSaltValue="M0b9ZniI2JFhgqhzxcgdWQ==" workbookSpinCount="100000" lockStructure="1"/>
  <bookViews>
    <workbookView xWindow="0" yWindow="0" windowWidth="28800" windowHeight="13620" tabRatio="909"/>
  </bookViews>
  <sheets>
    <sheet name="※注意事項" sheetId="25" r:id="rId1"/>
    <sheet name="1.換気～比較表(適合例)" sheetId="10" r:id="rId2"/>
    <sheet name="1.換気～比較表(入力不足)" sheetId="19" r:id="rId3"/>
    <sheet name="1.換気～比較表 (不適合)" sheetId="18" r:id="rId4"/>
    <sheet name="2-3.設備仕様入力(適合例)" sheetId="2" r:id="rId5"/>
    <sheet name="2-3.設備仕様入力 (入力不足)" sheetId="21" r:id="rId6"/>
    <sheet name="2-3.設備仕様入力 (不適合)" sheetId="20" r:id="rId7"/>
    <sheet name="4.エネルギー使用量(適合例)" sheetId="4" r:id="rId8"/>
    <sheet name="4.エネルギー使用量 (入力不足)" sheetId="23" r:id="rId9"/>
    <sheet name="計算" sheetId="5" state="hidden" r:id="rId10"/>
    <sheet name="計算式" sheetId="22" state="hidden" r:id="rId11"/>
    <sheet name="4.エネルギー使用量 (不適合)" sheetId="24" r:id="rId12"/>
  </sheets>
  <externalReferences>
    <externalReference r:id="rId13"/>
    <externalReference r:id="rId14"/>
  </externalReferences>
  <definedNames>
    <definedName name="LPG" localSheetId="10">計算式!$O$10:$O$12</definedName>
    <definedName name="LPG">計算!$O$10:$O$12</definedName>
    <definedName name="_xlnm.Print_Area" localSheetId="3">'1.換気～比較表 (不適合)'!$A$1:$X$35</definedName>
    <definedName name="_xlnm.Print_Area" localSheetId="1">'1.換気～比較表(適合例)'!$A$1:$X$35</definedName>
    <definedName name="_xlnm.Print_Area" localSheetId="2">'1.換気～比較表(入力不足)'!$A$1:$X$35</definedName>
    <definedName name="_xlnm.Print_Area" localSheetId="5">'2-3.設備仕様入力 (入力不足)'!$A$1:$Y$205</definedName>
    <definedName name="_xlnm.Print_Area" localSheetId="6">'2-3.設備仕様入力 (不適合)'!$A$1:$Y$205</definedName>
    <definedName name="_xlnm.Print_Area" localSheetId="4">'2-3.設備仕様入力(適合例)'!$A$1:$Y$205</definedName>
    <definedName name="_xlnm.Print_Area" localSheetId="8">'4.エネルギー使用量 (入力不足)'!$A$1:$Q$43</definedName>
    <definedName name="_xlnm.Print_Area" localSheetId="11">'4.エネルギー使用量 (不適合)'!$A$1:$Q$43</definedName>
    <definedName name="_xlnm.Print_Area" localSheetId="7">'4.エネルギー使用量(適合例)'!$A$1:$Q$43</definedName>
    <definedName name="_xlnm.Print_Titles" localSheetId="3">'1.換気～比較表 (不適合)'!$B:$D</definedName>
    <definedName name="_xlnm.Print_Titles" localSheetId="1">'1.換気～比較表(適合例)'!$B:$D</definedName>
    <definedName name="_xlnm.Print_Titles" localSheetId="2">'1.換気～比較表(入力不足)'!$B:$D</definedName>
    <definedName name="_xlnm.Print_Titles" localSheetId="8">'4.エネルギー使用量 (入力不足)'!$18:$20</definedName>
    <definedName name="_xlnm.Print_Titles" localSheetId="11">'4.エネルギー使用量 (不適合)'!$18:$20</definedName>
    <definedName name="_xlnm.Print_Titles" localSheetId="7">'4.エネルギー使用量(適合例)'!$18:$20</definedName>
    <definedName name="都市ガス" localSheetId="10">計算式!$O$7:$O$8</definedName>
    <definedName name="都市ガス">計算!$O$7:$O$8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2" l="1"/>
  <c r="X45" i="20" l="1"/>
  <c r="Y45" i="20"/>
  <c r="J3" i="22" l="1"/>
  <c r="J3" i="5"/>
  <c r="J6" i="5"/>
  <c r="O36" i="24"/>
  <c r="K6" i="22"/>
  <c r="K3" i="22"/>
  <c r="O26" i="24"/>
  <c r="J6" i="22" l="1"/>
  <c r="N84" i="24"/>
  <c r="M84" i="24"/>
  <c r="M85" i="24" s="1"/>
  <c r="L84" i="24"/>
  <c r="K84" i="24"/>
  <c r="J84" i="24"/>
  <c r="I84" i="24"/>
  <c r="H84" i="24"/>
  <c r="G84" i="24"/>
  <c r="F84" i="24"/>
  <c r="E84" i="24"/>
  <c r="E85" i="24" s="1"/>
  <c r="D84" i="24"/>
  <c r="C84" i="24"/>
  <c r="S84" i="24" s="1"/>
  <c r="N83" i="24"/>
  <c r="N85" i="24" s="1"/>
  <c r="M83" i="24"/>
  <c r="L83" i="24"/>
  <c r="L85" i="24" s="1"/>
  <c r="K83" i="24"/>
  <c r="K85" i="24" s="1"/>
  <c r="J83" i="24"/>
  <c r="J85" i="24" s="1"/>
  <c r="I83" i="24"/>
  <c r="I85" i="24" s="1"/>
  <c r="H83" i="24"/>
  <c r="H85" i="24" s="1"/>
  <c r="G83" i="24"/>
  <c r="G85" i="24" s="1"/>
  <c r="F83" i="24"/>
  <c r="F85" i="24" s="1"/>
  <c r="E83" i="24"/>
  <c r="D83" i="24"/>
  <c r="D85" i="24" s="1"/>
  <c r="C83" i="24"/>
  <c r="C85" i="24" s="1"/>
  <c r="O82" i="24"/>
  <c r="B81" i="24"/>
  <c r="O80" i="24"/>
  <c r="N73" i="24"/>
  <c r="N74" i="24" s="1"/>
  <c r="M73" i="24"/>
  <c r="L73" i="24"/>
  <c r="L74" i="24" s="1"/>
  <c r="K73" i="24"/>
  <c r="J73" i="24"/>
  <c r="I73" i="24"/>
  <c r="H73" i="24"/>
  <c r="G73" i="24"/>
  <c r="F73" i="24"/>
  <c r="F74" i="24" s="1"/>
  <c r="E73" i="24"/>
  <c r="D73" i="24"/>
  <c r="D74" i="24" s="1"/>
  <c r="C73" i="24"/>
  <c r="S73" i="24" s="1"/>
  <c r="N72" i="24"/>
  <c r="M72" i="24"/>
  <c r="M74" i="24" s="1"/>
  <c r="L72" i="24"/>
  <c r="K72" i="24"/>
  <c r="K74" i="24" s="1"/>
  <c r="J72" i="24"/>
  <c r="J74" i="24" s="1"/>
  <c r="I72" i="24"/>
  <c r="I74" i="24" s="1"/>
  <c r="H72" i="24"/>
  <c r="H74" i="24" s="1"/>
  <c r="G72" i="24"/>
  <c r="G74" i="24" s="1"/>
  <c r="F72" i="24"/>
  <c r="E72" i="24"/>
  <c r="E74" i="24" s="1"/>
  <c r="D72" i="24"/>
  <c r="C72" i="24"/>
  <c r="S72" i="24" s="1"/>
  <c r="O71" i="24"/>
  <c r="B70" i="24"/>
  <c r="O69" i="24"/>
  <c r="N62" i="24"/>
  <c r="M62" i="24"/>
  <c r="M63" i="24" s="1"/>
  <c r="L62" i="24"/>
  <c r="K62" i="24"/>
  <c r="K63" i="24" s="1"/>
  <c r="J62" i="24"/>
  <c r="I62" i="24"/>
  <c r="H62" i="24"/>
  <c r="G62" i="24"/>
  <c r="F62" i="24"/>
  <c r="E62" i="24"/>
  <c r="E63" i="24" s="1"/>
  <c r="D62" i="24"/>
  <c r="C62" i="24"/>
  <c r="R62" i="24" s="1"/>
  <c r="N61" i="24"/>
  <c r="N63" i="24" s="1"/>
  <c r="M61" i="24"/>
  <c r="L61" i="24"/>
  <c r="L63" i="24" s="1"/>
  <c r="K61" i="24"/>
  <c r="J61" i="24"/>
  <c r="J63" i="24" s="1"/>
  <c r="I61" i="24"/>
  <c r="I63" i="24" s="1"/>
  <c r="H61" i="24"/>
  <c r="H63" i="24" s="1"/>
  <c r="G61" i="24"/>
  <c r="G63" i="24" s="1"/>
  <c r="F61" i="24"/>
  <c r="F63" i="24" s="1"/>
  <c r="E61" i="24"/>
  <c r="D61" i="24"/>
  <c r="D63" i="24" s="1"/>
  <c r="C61" i="24"/>
  <c r="R61" i="24" s="1"/>
  <c r="O60" i="24"/>
  <c r="B59" i="24"/>
  <c r="O58" i="24"/>
  <c r="S51" i="24"/>
  <c r="N51" i="24"/>
  <c r="M51" i="24"/>
  <c r="L51" i="24"/>
  <c r="L52" i="24" s="1"/>
  <c r="K51" i="24"/>
  <c r="J51" i="24"/>
  <c r="J52" i="24" s="1"/>
  <c r="I51" i="24"/>
  <c r="H51" i="24"/>
  <c r="G51" i="24"/>
  <c r="F51" i="24"/>
  <c r="E51" i="24"/>
  <c r="D51" i="24"/>
  <c r="D52" i="24" s="1"/>
  <c r="C51" i="24"/>
  <c r="Q51" i="24" s="1"/>
  <c r="N50" i="24"/>
  <c r="N52" i="24" s="1"/>
  <c r="M50" i="24"/>
  <c r="M52" i="24" s="1"/>
  <c r="L50" i="24"/>
  <c r="K50" i="24"/>
  <c r="K52" i="24" s="1"/>
  <c r="J50" i="24"/>
  <c r="I50" i="24"/>
  <c r="I52" i="24" s="1"/>
  <c r="H50" i="24"/>
  <c r="H52" i="24" s="1"/>
  <c r="G50" i="24"/>
  <c r="G52" i="24" s="1"/>
  <c r="F50" i="24"/>
  <c r="F52" i="24" s="1"/>
  <c r="E50" i="24"/>
  <c r="E52" i="24" s="1"/>
  <c r="D50" i="24"/>
  <c r="C50" i="24"/>
  <c r="Q50" i="24" s="1"/>
  <c r="O49" i="24"/>
  <c r="B48" i="24"/>
  <c r="O47" i="24"/>
  <c r="R40" i="24"/>
  <c r="N40" i="24"/>
  <c r="N41" i="24" s="1"/>
  <c r="M40" i="24"/>
  <c r="L40" i="24"/>
  <c r="K40" i="24"/>
  <c r="K41" i="24" s="1"/>
  <c r="J40" i="24"/>
  <c r="I40" i="24"/>
  <c r="I41" i="24" s="1"/>
  <c r="H40" i="24"/>
  <c r="G40" i="24"/>
  <c r="F40" i="24"/>
  <c r="F41" i="24" s="1"/>
  <c r="E40" i="24"/>
  <c r="D40" i="24"/>
  <c r="C40" i="24"/>
  <c r="C41" i="24" s="1"/>
  <c r="N39" i="24"/>
  <c r="M39" i="24"/>
  <c r="L39" i="24"/>
  <c r="L41" i="24" s="1"/>
  <c r="K39" i="24"/>
  <c r="J39" i="24"/>
  <c r="R39" i="24" s="1"/>
  <c r="I39" i="24"/>
  <c r="H39" i="24"/>
  <c r="G39" i="24"/>
  <c r="F39" i="24"/>
  <c r="E39" i="24"/>
  <c r="D39" i="24"/>
  <c r="D41" i="24" s="1"/>
  <c r="C39" i="24"/>
  <c r="S39" i="24" s="1"/>
  <c r="O38" i="24"/>
  <c r="B37" i="24"/>
  <c r="N28" i="24"/>
  <c r="M28" i="24"/>
  <c r="L28" i="24"/>
  <c r="K28" i="24"/>
  <c r="J28" i="24"/>
  <c r="J29" i="24" s="1"/>
  <c r="I28" i="24"/>
  <c r="H28" i="24"/>
  <c r="H29" i="24" s="1"/>
  <c r="G28" i="24"/>
  <c r="F28" i="24"/>
  <c r="E28" i="24"/>
  <c r="D28" i="24"/>
  <c r="C28" i="24"/>
  <c r="N27" i="24"/>
  <c r="M27" i="24"/>
  <c r="M29" i="24" s="1"/>
  <c r="L27" i="24"/>
  <c r="L29" i="24" s="1"/>
  <c r="K27" i="24"/>
  <c r="J27" i="24"/>
  <c r="I27" i="24"/>
  <c r="H27" i="24"/>
  <c r="G27" i="24"/>
  <c r="F27" i="24"/>
  <c r="E27" i="24"/>
  <c r="E29" i="24" s="1"/>
  <c r="D27" i="24"/>
  <c r="C27" i="24"/>
  <c r="O24" i="24"/>
  <c r="N84" i="23"/>
  <c r="M84" i="23"/>
  <c r="M85" i="23" s="1"/>
  <c r="L84" i="23"/>
  <c r="K84" i="23"/>
  <c r="J84" i="23"/>
  <c r="J85" i="23" s="1"/>
  <c r="I84" i="23"/>
  <c r="H84" i="23"/>
  <c r="H85" i="23" s="1"/>
  <c r="G84" i="23"/>
  <c r="F84" i="23"/>
  <c r="E84" i="23"/>
  <c r="E85" i="23" s="1"/>
  <c r="D84" i="23"/>
  <c r="C84" i="23"/>
  <c r="S84" i="23" s="1"/>
  <c r="N83" i="23"/>
  <c r="N85" i="23" s="1"/>
  <c r="M83" i="23"/>
  <c r="L83" i="23"/>
  <c r="L85" i="23" s="1"/>
  <c r="K83" i="23"/>
  <c r="K85" i="23" s="1"/>
  <c r="J83" i="23"/>
  <c r="I83" i="23"/>
  <c r="I85" i="23" s="1"/>
  <c r="H83" i="23"/>
  <c r="G83" i="23"/>
  <c r="G85" i="23" s="1"/>
  <c r="F83" i="23"/>
  <c r="F85" i="23" s="1"/>
  <c r="E83" i="23"/>
  <c r="D83" i="23"/>
  <c r="D85" i="23" s="1"/>
  <c r="C83" i="23"/>
  <c r="C85" i="23" s="1"/>
  <c r="O82" i="23"/>
  <c r="B81" i="23"/>
  <c r="O80" i="23"/>
  <c r="N73" i="23"/>
  <c r="M73" i="23"/>
  <c r="L73" i="23"/>
  <c r="L74" i="23" s="1"/>
  <c r="K73" i="23"/>
  <c r="J73" i="23"/>
  <c r="I73" i="23"/>
  <c r="I74" i="23" s="1"/>
  <c r="H73" i="23"/>
  <c r="G73" i="23"/>
  <c r="G74" i="23" s="1"/>
  <c r="F73" i="23"/>
  <c r="E73" i="23"/>
  <c r="D73" i="23"/>
  <c r="S73" i="23" s="1"/>
  <c r="C73" i="23"/>
  <c r="Q73" i="23" s="1"/>
  <c r="N72" i="23"/>
  <c r="N74" i="23" s="1"/>
  <c r="M72" i="23"/>
  <c r="M74" i="23" s="1"/>
  <c r="L72" i="23"/>
  <c r="K72" i="23"/>
  <c r="K74" i="23" s="1"/>
  <c r="J72" i="23"/>
  <c r="J74" i="23" s="1"/>
  <c r="I72" i="23"/>
  <c r="H72" i="23"/>
  <c r="H74" i="23" s="1"/>
  <c r="G72" i="23"/>
  <c r="F72" i="23"/>
  <c r="F74" i="23" s="1"/>
  <c r="E72" i="23"/>
  <c r="E74" i="23" s="1"/>
  <c r="D72" i="23"/>
  <c r="C72" i="23"/>
  <c r="S72" i="23" s="1"/>
  <c r="O71" i="23"/>
  <c r="B70" i="23"/>
  <c r="O69" i="23"/>
  <c r="N62" i="23"/>
  <c r="N63" i="23" s="1"/>
  <c r="M62" i="23"/>
  <c r="L62" i="23"/>
  <c r="K62" i="23"/>
  <c r="K63" i="23" s="1"/>
  <c r="J62" i="23"/>
  <c r="I62" i="23"/>
  <c r="H62" i="23"/>
  <c r="H63" i="23" s="1"/>
  <c r="G62" i="23"/>
  <c r="F62" i="23"/>
  <c r="F63" i="23" s="1"/>
  <c r="E62" i="23"/>
  <c r="D62" i="23"/>
  <c r="C62" i="23"/>
  <c r="R62" i="23" s="1"/>
  <c r="N61" i="23"/>
  <c r="M61" i="23"/>
  <c r="M63" i="23" s="1"/>
  <c r="L61" i="23"/>
  <c r="L63" i="23" s="1"/>
  <c r="K61" i="23"/>
  <c r="J61" i="23"/>
  <c r="J63" i="23" s="1"/>
  <c r="I61" i="23"/>
  <c r="I63" i="23" s="1"/>
  <c r="H61" i="23"/>
  <c r="G61" i="23"/>
  <c r="G63" i="23" s="1"/>
  <c r="F61" i="23"/>
  <c r="E61" i="23"/>
  <c r="E63" i="23" s="1"/>
  <c r="D61" i="23"/>
  <c r="R61" i="23" s="1"/>
  <c r="C61" i="23"/>
  <c r="S61" i="23" s="1"/>
  <c r="O60" i="23"/>
  <c r="B59" i="23"/>
  <c r="O58" i="23"/>
  <c r="N51" i="23"/>
  <c r="M51" i="23"/>
  <c r="M52" i="23" s="1"/>
  <c r="L51" i="23"/>
  <c r="K51" i="23"/>
  <c r="J51" i="23"/>
  <c r="J52" i="23" s="1"/>
  <c r="I51" i="23"/>
  <c r="H51" i="23"/>
  <c r="G51" i="23"/>
  <c r="G52" i="23" s="1"/>
  <c r="F51" i="23"/>
  <c r="E51" i="23"/>
  <c r="E52" i="23" s="1"/>
  <c r="D51" i="23"/>
  <c r="C51" i="23"/>
  <c r="Q51" i="23" s="1"/>
  <c r="N50" i="23"/>
  <c r="N52" i="23" s="1"/>
  <c r="M50" i="23"/>
  <c r="L50" i="23"/>
  <c r="L52" i="23" s="1"/>
  <c r="K50" i="23"/>
  <c r="K52" i="23" s="1"/>
  <c r="J50" i="23"/>
  <c r="I50" i="23"/>
  <c r="I52" i="23" s="1"/>
  <c r="H50" i="23"/>
  <c r="H52" i="23" s="1"/>
  <c r="G50" i="23"/>
  <c r="F50" i="23"/>
  <c r="F52" i="23" s="1"/>
  <c r="E50" i="23"/>
  <c r="D50" i="23"/>
  <c r="D52" i="23" s="1"/>
  <c r="C50" i="23"/>
  <c r="Q50" i="23" s="1"/>
  <c r="O49" i="23"/>
  <c r="B48" i="23"/>
  <c r="O47" i="23"/>
  <c r="N40" i="23"/>
  <c r="N41" i="23" s="1"/>
  <c r="M40" i="23"/>
  <c r="L40" i="23"/>
  <c r="L41" i="23" s="1"/>
  <c r="K40" i="23"/>
  <c r="J40" i="23"/>
  <c r="I40" i="23"/>
  <c r="I41" i="23" s="1"/>
  <c r="H40" i="23"/>
  <c r="G40" i="23"/>
  <c r="F40" i="23"/>
  <c r="F41" i="23" s="1"/>
  <c r="E40" i="23"/>
  <c r="D40" i="23"/>
  <c r="D41" i="23" s="1"/>
  <c r="C40" i="23"/>
  <c r="R39" i="23"/>
  <c r="N39" i="23"/>
  <c r="M39" i="23"/>
  <c r="M41" i="23" s="1"/>
  <c r="L39" i="23"/>
  <c r="K39" i="23"/>
  <c r="K41" i="23" s="1"/>
  <c r="J39" i="23"/>
  <c r="J41" i="23" s="1"/>
  <c r="I39" i="23"/>
  <c r="H39" i="23"/>
  <c r="H41" i="23" s="1"/>
  <c r="G39" i="23"/>
  <c r="F39" i="23"/>
  <c r="E39" i="23"/>
  <c r="D39" i="23"/>
  <c r="C39" i="23"/>
  <c r="C41" i="23" s="1"/>
  <c r="O38" i="23"/>
  <c r="B37" i="23"/>
  <c r="O36" i="23"/>
  <c r="N28" i="23"/>
  <c r="M28" i="23"/>
  <c r="M29" i="23" s="1"/>
  <c r="L28" i="23"/>
  <c r="K28" i="23"/>
  <c r="K29" i="23" s="1"/>
  <c r="J28" i="23"/>
  <c r="I28" i="23"/>
  <c r="H28" i="23"/>
  <c r="H29" i="23" s="1"/>
  <c r="G28" i="23"/>
  <c r="F28" i="23"/>
  <c r="E28" i="23"/>
  <c r="E29" i="23" s="1"/>
  <c r="D28" i="23"/>
  <c r="C28" i="23"/>
  <c r="C29" i="23" s="1"/>
  <c r="N27" i="23"/>
  <c r="N29" i="23" s="1"/>
  <c r="M27" i="23"/>
  <c r="L27" i="23"/>
  <c r="L29" i="23" s="1"/>
  <c r="K27" i="23"/>
  <c r="J27" i="23"/>
  <c r="J29" i="23" s="1"/>
  <c r="I27" i="23"/>
  <c r="I29" i="23" s="1"/>
  <c r="H27" i="23"/>
  <c r="G27" i="23"/>
  <c r="F27" i="23"/>
  <c r="E27" i="23"/>
  <c r="D27" i="23"/>
  <c r="D29" i="23" s="1"/>
  <c r="C27" i="23"/>
  <c r="O26" i="23"/>
  <c r="O24" i="23"/>
  <c r="H116" i="20"/>
  <c r="E41" i="24" l="1"/>
  <c r="M41" i="24"/>
  <c r="H41" i="24"/>
  <c r="G29" i="24"/>
  <c r="N29" i="24"/>
  <c r="I29" i="24"/>
  <c r="R28" i="24"/>
  <c r="F29" i="24"/>
  <c r="G41" i="24"/>
  <c r="K29" i="24"/>
  <c r="D29" i="24"/>
  <c r="C29" i="24"/>
  <c r="F29" i="23"/>
  <c r="Q28" i="23"/>
  <c r="G29" i="23"/>
  <c r="S29" i="23" s="1"/>
  <c r="E41" i="23"/>
  <c r="Q40" i="23"/>
  <c r="O39" i="23" s="1"/>
  <c r="G41" i="23"/>
  <c r="R41" i="23" s="1"/>
  <c r="S27" i="23"/>
  <c r="S85" i="24"/>
  <c r="R85" i="24"/>
  <c r="Q85" i="24"/>
  <c r="Q39" i="24"/>
  <c r="Q40" i="24"/>
  <c r="R50" i="24"/>
  <c r="O50" i="24" s="1"/>
  <c r="R51" i="24"/>
  <c r="O51" i="24" s="1"/>
  <c r="S61" i="24"/>
  <c r="S62" i="24"/>
  <c r="C74" i="24"/>
  <c r="Q27" i="24"/>
  <c r="R27" i="24"/>
  <c r="S40" i="24"/>
  <c r="J41" i="24"/>
  <c r="S41" i="24" s="1"/>
  <c r="C52" i="24"/>
  <c r="C63" i="24"/>
  <c r="S27" i="24"/>
  <c r="S28" i="24"/>
  <c r="Q83" i="24"/>
  <c r="Q84" i="24"/>
  <c r="Q72" i="24"/>
  <c r="Q73" i="24"/>
  <c r="R83" i="24"/>
  <c r="O83" i="24" s="1"/>
  <c r="R84" i="24"/>
  <c r="O84" i="24" s="1"/>
  <c r="Q61" i="24"/>
  <c r="O61" i="24" s="1"/>
  <c r="Q62" i="24"/>
  <c r="O62" i="24" s="1"/>
  <c r="R72" i="24"/>
  <c r="R73" i="24"/>
  <c r="S83" i="24"/>
  <c r="Q28" i="24"/>
  <c r="S50" i="24"/>
  <c r="R29" i="23"/>
  <c r="Q29" i="23"/>
  <c r="Q41" i="23"/>
  <c r="S41" i="23"/>
  <c r="S85" i="23"/>
  <c r="R85" i="23"/>
  <c r="O85" i="23" s="1"/>
  <c r="P85" i="23" s="1"/>
  <c r="P82" i="23" s="1"/>
  <c r="P83" i="23" s="1"/>
  <c r="P80" i="23" s="1"/>
  <c r="Q85" i="23"/>
  <c r="O62" i="23"/>
  <c r="Q27" i="23"/>
  <c r="Q39" i="23"/>
  <c r="R50" i="23"/>
  <c r="O50" i="23" s="1"/>
  <c r="R51" i="23"/>
  <c r="S62" i="23"/>
  <c r="C74" i="23"/>
  <c r="S51" i="23"/>
  <c r="R27" i="23"/>
  <c r="R28" i="23"/>
  <c r="S39" i="23"/>
  <c r="S40" i="23"/>
  <c r="C52" i="23"/>
  <c r="D63" i="23"/>
  <c r="R40" i="23"/>
  <c r="D74" i="23"/>
  <c r="S28" i="23"/>
  <c r="S50" i="23"/>
  <c r="Q83" i="23"/>
  <c r="Q84" i="23"/>
  <c r="C63" i="23"/>
  <c r="Q72" i="23"/>
  <c r="R83" i="23"/>
  <c r="R84" i="23"/>
  <c r="Q61" i="23"/>
  <c r="O61" i="23" s="1"/>
  <c r="Q62" i="23"/>
  <c r="R72" i="23"/>
  <c r="O72" i="23" s="1"/>
  <c r="R73" i="23"/>
  <c r="O73" i="23" s="1"/>
  <c r="S83" i="23"/>
  <c r="D150" i="2"/>
  <c r="D151" i="2" s="1"/>
  <c r="D150" i="20"/>
  <c r="D151" i="20" s="1"/>
  <c r="R56" i="22"/>
  <c r="Q56" i="5"/>
  <c r="AC75" i="22"/>
  <c r="AD75" i="22" s="1"/>
  <c r="AB75" i="22"/>
  <c r="Z75" i="22"/>
  <c r="Y75" i="22"/>
  <c r="AA75" i="22" s="1"/>
  <c r="W75" i="22"/>
  <c r="X75" i="22" s="1"/>
  <c r="V75" i="22"/>
  <c r="U75" i="22"/>
  <c r="T75" i="22"/>
  <c r="S75" i="22"/>
  <c r="Q75" i="22"/>
  <c r="P75" i="22"/>
  <c r="R75" i="22" s="1"/>
  <c r="O75" i="22"/>
  <c r="AC74" i="22"/>
  <c r="AD74" i="22" s="1"/>
  <c r="AB74" i="22"/>
  <c r="Z74" i="22"/>
  <c r="Y74" i="22"/>
  <c r="AA74" i="22" s="1"/>
  <c r="W74" i="22"/>
  <c r="X74" i="22" s="1"/>
  <c r="V74" i="22"/>
  <c r="U74" i="22"/>
  <c r="T74" i="22"/>
  <c r="S74" i="22"/>
  <c r="Q74" i="22"/>
  <c r="P74" i="22"/>
  <c r="R74" i="22" s="1"/>
  <c r="O74" i="22"/>
  <c r="AC73" i="22"/>
  <c r="AD73" i="22" s="1"/>
  <c r="AB73" i="22"/>
  <c r="Z73" i="22"/>
  <c r="Y73" i="22"/>
  <c r="AA73" i="22" s="1"/>
  <c r="W73" i="22"/>
  <c r="X73" i="22" s="1"/>
  <c r="V73" i="22"/>
  <c r="U73" i="22"/>
  <c r="T73" i="22"/>
  <c r="S73" i="22"/>
  <c r="Q73" i="22"/>
  <c r="P73" i="22"/>
  <c r="R73" i="22" s="1"/>
  <c r="O73" i="22"/>
  <c r="AC72" i="22"/>
  <c r="AD72" i="22" s="1"/>
  <c r="AB72" i="22"/>
  <c r="Z72" i="22"/>
  <c r="Y72" i="22"/>
  <c r="AA72" i="22" s="1"/>
  <c r="W72" i="22"/>
  <c r="X72" i="22" s="1"/>
  <c r="V72" i="22"/>
  <c r="U72" i="22"/>
  <c r="T72" i="22"/>
  <c r="S72" i="22"/>
  <c r="Q72" i="22"/>
  <c r="P72" i="22"/>
  <c r="R72" i="22" s="1"/>
  <c r="O72" i="22"/>
  <c r="AC71" i="22"/>
  <c r="AD71" i="22" s="1"/>
  <c r="AB71" i="22"/>
  <c r="Z71" i="22"/>
  <c r="Y71" i="22"/>
  <c r="AA71" i="22" s="1"/>
  <c r="W71" i="22"/>
  <c r="X71" i="22" s="1"/>
  <c r="V71" i="22"/>
  <c r="U71" i="22"/>
  <c r="T71" i="22"/>
  <c r="S71" i="22"/>
  <c r="Q71" i="22"/>
  <c r="P71" i="22"/>
  <c r="R71" i="22" s="1"/>
  <c r="O71" i="22"/>
  <c r="AC70" i="22"/>
  <c r="AD70" i="22" s="1"/>
  <c r="AB70" i="22"/>
  <c r="Z70" i="22"/>
  <c r="Y70" i="22"/>
  <c r="AA70" i="22" s="1"/>
  <c r="W70" i="22"/>
  <c r="X70" i="22" s="1"/>
  <c r="V70" i="22"/>
  <c r="U70" i="22"/>
  <c r="T70" i="22"/>
  <c r="S70" i="22"/>
  <c r="Q70" i="22"/>
  <c r="P70" i="22"/>
  <c r="R70" i="22" s="1"/>
  <c r="O70" i="22"/>
  <c r="AC69" i="22"/>
  <c r="AD69" i="22" s="1"/>
  <c r="AB69" i="22"/>
  <c r="Z69" i="22"/>
  <c r="Y69" i="22"/>
  <c r="AA69" i="22" s="1"/>
  <c r="W69" i="22"/>
  <c r="X69" i="22" s="1"/>
  <c r="V69" i="22"/>
  <c r="U69" i="22"/>
  <c r="T69" i="22"/>
  <c r="S69" i="22"/>
  <c r="Q69" i="22"/>
  <c r="P69" i="22"/>
  <c r="R69" i="22" s="1"/>
  <c r="O69" i="22"/>
  <c r="AC68" i="22"/>
  <c r="AD68" i="22" s="1"/>
  <c r="AB68" i="22"/>
  <c r="Z68" i="22"/>
  <c r="Y68" i="22"/>
  <c r="AA68" i="22" s="1"/>
  <c r="W68" i="22"/>
  <c r="X68" i="22" s="1"/>
  <c r="V68" i="22"/>
  <c r="U68" i="22"/>
  <c r="T68" i="22"/>
  <c r="S68" i="22"/>
  <c r="Q68" i="22"/>
  <c r="P68" i="22"/>
  <c r="R68" i="22" s="1"/>
  <c r="O68" i="22"/>
  <c r="AC67" i="22"/>
  <c r="AD67" i="22" s="1"/>
  <c r="AB67" i="22"/>
  <c r="Z67" i="22"/>
  <c r="Y67" i="22"/>
  <c r="AA67" i="22" s="1"/>
  <c r="W67" i="22"/>
  <c r="X67" i="22" s="1"/>
  <c r="V67" i="22"/>
  <c r="U67" i="22"/>
  <c r="T67" i="22"/>
  <c r="S67" i="22"/>
  <c r="Q67" i="22"/>
  <c r="P67" i="22"/>
  <c r="R67" i="22" s="1"/>
  <c r="O67" i="22"/>
  <c r="AC66" i="22"/>
  <c r="AD66" i="22" s="1"/>
  <c r="AB66" i="22"/>
  <c r="Z66" i="22"/>
  <c r="Y66" i="22"/>
  <c r="AA66" i="22" s="1"/>
  <c r="W66" i="22"/>
  <c r="X66" i="22" s="1"/>
  <c r="V66" i="22"/>
  <c r="U66" i="22"/>
  <c r="T66" i="22"/>
  <c r="S66" i="22"/>
  <c r="Q66" i="22"/>
  <c r="P66" i="22"/>
  <c r="R66" i="22" s="1"/>
  <c r="O66" i="22"/>
  <c r="AC65" i="22"/>
  <c r="AD65" i="22" s="1"/>
  <c r="AB65" i="22"/>
  <c r="Z65" i="22"/>
  <c r="Y65" i="22"/>
  <c r="AA65" i="22" s="1"/>
  <c r="W65" i="22"/>
  <c r="X65" i="22" s="1"/>
  <c r="V65" i="22"/>
  <c r="U65" i="22"/>
  <c r="T65" i="22"/>
  <c r="S65" i="22"/>
  <c r="Q65" i="22"/>
  <c r="P65" i="22"/>
  <c r="R65" i="22" s="1"/>
  <c r="O65" i="22"/>
  <c r="AC64" i="22"/>
  <c r="AD64" i="22" s="1"/>
  <c r="AB64" i="22"/>
  <c r="Z64" i="22"/>
  <c r="Y64" i="22"/>
  <c r="AA64" i="22" s="1"/>
  <c r="W64" i="22"/>
  <c r="X64" i="22" s="1"/>
  <c r="V64" i="22"/>
  <c r="U64" i="22"/>
  <c r="T64" i="22"/>
  <c r="S64" i="22"/>
  <c r="Q64" i="22"/>
  <c r="P64" i="22"/>
  <c r="R64" i="22" s="1"/>
  <c r="O64" i="22"/>
  <c r="AC63" i="22"/>
  <c r="AD63" i="22" s="1"/>
  <c r="AB63" i="22"/>
  <c r="Z63" i="22"/>
  <c r="Y63" i="22"/>
  <c r="AA63" i="22" s="1"/>
  <c r="W63" i="22"/>
  <c r="X63" i="22" s="1"/>
  <c r="V63" i="22"/>
  <c r="U63" i="22"/>
  <c r="T63" i="22"/>
  <c r="S63" i="22"/>
  <c r="Q63" i="22"/>
  <c r="P63" i="22"/>
  <c r="R63" i="22" s="1"/>
  <c r="O63" i="22"/>
  <c r="AC62" i="22"/>
  <c r="AD62" i="22" s="1"/>
  <c r="AB62" i="22"/>
  <c r="Z62" i="22"/>
  <c r="Y62" i="22"/>
  <c r="AA62" i="22" s="1"/>
  <c r="W62" i="22"/>
  <c r="X62" i="22" s="1"/>
  <c r="V62" i="22"/>
  <c r="U62" i="22"/>
  <c r="T62" i="22"/>
  <c r="S62" i="22"/>
  <c r="Q62" i="22"/>
  <c r="P62" i="22"/>
  <c r="R62" i="22" s="1"/>
  <c r="O62" i="22"/>
  <c r="AC61" i="22"/>
  <c r="AD61" i="22" s="1"/>
  <c r="AB61" i="22"/>
  <c r="Z61" i="22"/>
  <c r="Y61" i="22"/>
  <c r="AA61" i="22" s="1"/>
  <c r="W61" i="22"/>
  <c r="X61" i="22" s="1"/>
  <c r="V61" i="22"/>
  <c r="U61" i="22"/>
  <c r="T61" i="22"/>
  <c r="S61" i="22"/>
  <c r="Q61" i="22"/>
  <c r="P61" i="22"/>
  <c r="R61" i="22" s="1"/>
  <c r="O61" i="22"/>
  <c r="AC60" i="22"/>
  <c r="AD60" i="22" s="1"/>
  <c r="AB60" i="22"/>
  <c r="Z60" i="22"/>
  <c r="Y60" i="22"/>
  <c r="AA60" i="22" s="1"/>
  <c r="W60" i="22"/>
  <c r="X60" i="22" s="1"/>
  <c r="V60" i="22"/>
  <c r="U60" i="22"/>
  <c r="T60" i="22"/>
  <c r="S60" i="22"/>
  <c r="Q60" i="22"/>
  <c r="P60" i="22"/>
  <c r="R60" i="22" s="1"/>
  <c r="O60" i="22"/>
  <c r="AC59" i="22"/>
  <c r="AD59" i="22" s="1"/>
  <c r="AB59" i="22"/>
  <c r="Z59" i="22"/>
  <c r="Y59" i="22"/>
  <c r="AA59" i="22" s="1"/>
  <c r="W59" i="22"/>
  <c r="X59" i="22" s="1"/>
  <c r="V59" i="22"/>
  <c r="U59" i="22"/>
  <c r="T59" i="22"/>
  <c r="S59" i="22"/>
  <c r="Q59" i="22"/>
  <c r="P59" i="22"/>
  <c r="R59" i="22" s="1"/>
  <c r="O59" i="22"/>
  <c r="AC58" i="22"/>
  <c r="AD58" i="22" s="1"/>
  <c r="AB58" i="22"/>
  <c r="Z58" i="22"/>
  <c r="Y58" i="22"/>
  <c r="AA58" i="22" s="1"/>
  <c r="W58" i="22"/>
  <c r="X58" i="22" s="1"/>
  <c r="V58" i="22"/>
  <c r="U58" i="22"/>
  <c r="T58" i="22"/>
  <c r="S58" i="22"/>
  <c r="Q58" i="22"/>
  <c r="P58" i="22"/>
  <c r="R58" i="22" s="1"/>
  <c r="O58" i="22"/>
  <c r="AC57" i="22"/>
  <c r="AD57" i="22" s="1"/>
  <c r="AB57" i="22"/>
  <c r="Z57" i="22"/>
  <c r="Y57" i="22"/>
  <c r="AA57" i="22" s="1"/>
  <c r="W57" i="22"/>
  <c r="X57" i="22" s="1"/>
  <c r="V57" i="22"/>
  <c r="U57" i="22"/>
  <c r="T57" i="22"/>
  <c r="S57" i="22"/>
  <c r="Q57" i="22"/>
  <c r="R57" i="22"/>
  <c r="O57" i="22"/>
  <c r="AC56" i="22"/>
  <c r="AD56" i="22" s="1"/>
  <c r="AB56" i="22"/>
  <c r="Z56" i="22"/>
  <c r="Y56" i="22"/>
  <c r="AA56" i="22" s="1"/>
  <c r="W56" i="22"/>
  <c r="X56" i="22" s="1"/>
  <c r="V56" i="22"/>
  <c r="U56" i="22"/>
  <c r="T56" i="22"/>
  <c r="S56" i="22"/>
  <c r="O56" i="22"/>
  <c r="J51" i="22"/>
  <c r="AC50" i="22"/>
  <c r="AB50" i="22"/>
  <c r="AD50" i="22" s="1"/>
  <c r="Z50" i="22"/>
  <c r="Y50" i="22"/>
  <c r="AA50" i="22" s="1"/>
  <c r="W50" i="22"/>
  <c r="X50" i="22" s="1"/>
  <c r="V50" i="22"/>
  <c r="T50" i="22"/>
  <c r="S50" i="22"/>
  <c r="U50" i="22" s="1"/>
  <c r="Q50" i="22"/>
  <c r="R50" i="22" s="1"/>
  <c r="P50" i="22"/>
  <c r="O50" i="22"/>
  <c r="J50" i="22"/>
  <c r="AC49" i="22"/>
  <c r="AB49" i="22"/>
  <c r="AD49" i="22" s="1"/>
  <c r="AA49" i="22"/>
  <c r="Z49" i="22"/>
  <c r="Y49" i="22"/>
  <c r="W49" i="22"/>
  <c r="X49" i="22" s="1"/>
  <c r="V49" i="22"/>
  <c r="T49" i="22"/>
  <c r="S49" i="22"/>
  <c r="U49" i="22" s="1"/>
  <c r="Q49" i="22"/>
  <c r="R49" i="22" s="1"/>
  <c r="P49" i="22"/>
  <c r="O49" i="22"/>
  <c r="J49" i="22"/>
  <c r="AC48" i="22"/>
  <c r="AD48" i="22" s="1"/>
  <c r="AB48" i="22"/>
  <c r="AA48" i="22"/>
  <c r="Z48" i="22"/>
  <c r="Y48" i="22"/>
  <c r="W48" i="22"/>
  <c r="V48" i="22"/>
  <c r="X48" i="22" s="1"/>
  <c r="U48" i="22"/>
  <c r="T48" i="22"/>
  <c r="S48" i="22"/>
  <c r="Q48" i="22"/>
  <c r="R48" i="22" s="1"/>
  <c r="P48" i="22"/>
  <c r="O48" i="22"/>
  <c r="J48" i="22"/>
  <c r="AC47" i="22"/>
  <c r="AD47" i="22" s="1"/>
  <c r="AB47" i="22"/>
  <c r="AA47" i="22"/>
  <c r="Z47" i="22"/>
  <c r="Y47" i="22"/>
  <c r="W47" i="22"/>
  <c r="X47" i="22" s="1"/>
  <c r="V47" i="22"/>
  <c r="U47" i="22"/>
  <c r="T47" i="22"/>
  <c r="S47" i="22"/>
  <c r="Q47" i="22"/>
  <c r="P47" i="22"/>
  <c r="R47" i="22" s="1"/>
  <c r="O47" i="22"/>
  <c r="K47" i="22"/>
  <c r="J47" i="22"/>
  <c r="AC46" i="22"/>
  <c r="AB46" i="22"/>
  <c r="AD46" i="22" s="1"/>
  <c r="Z46" i="22"/>
  <c r="Y46" i="22"/>
  <c r="AA46" i="22" s="1"/>
  <c r="W46" i="22"/>
  <c r="X46" i="22" s="1"/>
  <c r="V46" i="22"/>
  <c r="U46" i="22"/>
  <c r="T46" i="22"/>
  <c r="S46" i="22"/>
  <c r="Q46" i="22"/>
  <c r="R46" i="22" s="1"/>
  <c r="P46" i="22"/>
  <c r="O46" i="22"/>
  <c r="K46" i="22"/>
  <c r="J46" i="22"/>
  <c r="AC45" i="22"/>
  <c r="AB45" i="22"/>
  <c r="AD45" i="22" s="1"/>
  <c r="AA45" i="22"/>
  <c r="Z45" i="22"/>
  <c r="Y45" i="22"/>
  <c r="W45" i="22"/>
  <c r="X45" i="22" s="1"/>
  <c r="V45" i="22"/>
  <c r="T45" i="22"/>
  <c r="S45" i="22"/>
  <c r="U45" i="22" s="1"/>
  <c r="Q45" i="22"/>
  <c r="R45" i="22" s="1"/>
  <c r="P45" i="22"/>
  <c r="O45" i="22"/>
  <c r="K45" i="22"/>
  <c r="J45" i="22"/>
  <c r="AC44" i="22"/>
  <c r="AD44" i="22" s="1"/>
  <c r="AB44" i="22"/>
  <c r="AA44" i="22"/>
  <c r="Z44" i="22"/>
  <c r="Y44" i="22"/>
  <c r="W44" i="22"/>
  <c r="V44" i="22"/>
  <c r="X44" i="22" s="1"/>
  <c r="U44" i="22"/>
  <c r="T44" i="22"/>
  <c r="S44" i="22"/>
  <c r="Q44" i="22"/>
  <c r="R44" i="22" s="1"/>
  <c r="P44" i="22"/>
  <c r="O44" i="22"/>
  <c r="AC43" i="22"/>
  <c r="AD43" i="22" s="1"/>
  <c r="AB43" i="22"/>
  <c r="AA43" i="22"/>
  <c r="Z43" i="22"/>
  <c r="Y43" i="22"/>
  <c r="W43" i="22"/>
  <c r="V43" i="22"/>
  <c r="X43" i="22" s="1"/>
  <c r="U43" i="22"/>
  <c r="T43" i="22"/>
  <c r="S43" i="22"/>
  <c r="Q43" i="22"/>
  <c r="R43" i="22" s="1"/>
  <c r="P43" i="22"/>
  <c r="O43" i="22"/>
  <c r="AC42" i="22"/>
  <c r="AD42" i="22" s="1"/>
  <c r="AB42" i="22"/>
  <c r="AA42" i="22"/>
  <c r="Z42" i="22"/>
  <c r="Y42" i="22"/>
  <c r="W42" i="22"/>
  <c r="V42" i="22"/>
  <c r="X42" i="22" s="1"/>
  <c r="U42" i="22"/>
  <c r="T42" i="22"/>
  <c r="S42" i="22"/>
  <c r="Q42" i="22"/>
  <c r="R42" i="22" s="1"/>
  <c r="P42" i="22"/>
  <c r="O42" i="22"/>
  <c r="J42" i="22"/>
  <c r="AC41" i="22"/>
  <c r="AD41" i="22" s="1"/>
  <c r="AB41" i="22"/>
  <c r="AA41" i="22"/>
  <c r="Z41" i="22"/>
  <c r="Y41" i="22"/>
  <c r="W41" i="22"/>
  <c r="X41" i="22" s="1"/>
  <c r="V41" i="22"/>
  <c r="U41" i="22"/>
  <c r="T41" i="22"/>
  <c r="S41" i="22"/>
  <c r="Q41" i="22"/>
  <c r="P41" i="22"/>
  <c r="R41" i="22" s="1"/>
  <c r="O41" i="22"/>
  <c r="J41" i="22"/>
  <c r="AC40" i="22"/>
  <c r="AD40" i="22" s="1"/>
  <c r="AB40" i="22"/>
  <c r="Z40" i="22"/>
  <c r="Y40" i="22"/>
  <c r="AA40" i="22" s="1"/>
  <c r="W40" i="22"/>
  <c r="X40" i="22" s="1"/>
  <c r="V40" i="22"/>
  <c r="U40" i="22"/>
  <c r="T40" i="22"/>
  <c r="S40" i="22"/>
  <c r="Q40" i="22"/>
  <c r="R40" i="22" s="1"/>
  <c r="P40" i="22"/>
  <c r="O40" i="22"/>
  <c r="J40" i="22"/>
  <c r="AC39" i="22"/>
  <c r="AB39" i="22"/>
  <c r="AD39" i="22" s="1"/>
  <c r="AA39" i="22"/>
  <c r="Z39" i="22"/>
  <c r="Y39" i="22"/>
  <c r="W39" i="22"/>
  <c r="X39" i="22" s="1"/>
  <c r="V39" i="22"/>
  <c r="T39" i="22"/>
  <c r="S39" i="22"/>
  <c r="U39" i="22" s="1"/>
  <c r="Q39" i="22"/>
  <c r="R39" i="22" s="1"/>
  <c r="P39" i="22"/>
  <c r="O39" i="22"/>
  <c r="J39" i="22"/>
  <c r="AC38" i="22"/>
  <c r="AD38" i="22" s="1"/>
  <c r="AB38" i="22"/>
  <c r="AA38" i="22"/>
  <c r="Z38" i="22"/>
  <c r="Y38" i="22"/>
  <c r="W38" i="22"/>
  <c r="V38" i="22"/>
  <c r="X38" i="22" s="1"/>
  <c r="U38" i="22"/>
  <c r="T38" i="22"/>
  <c r="S38" i="22"/>
  <c r="Q38" i="22"/>
  <c r="R38" i="22" s="1"/>
  <c r="P38" i="22"/>
  <c r="O38" i="22"/>
  <c r="K38" i="22"/>
  <c r="J38" i="22"/>
  <c r="AC37" i="22"/>
  <c r="AD37" i="22" s="1"/>
  <c r="AB37" i="22"/>
  <c r="AA37" i="22"/>
  <c r="Z37" i="22"/>
  <c r="Y37" i="22"/>
  <c r="W37" i="22"/>
  <c r="X37" i="22" s="1"/>
  <c r="V37" i="22"/>
  <c r="U37" i="22"/>
  <c r="T37" i="22"/>
  <c r="S37" i="22"/>
  <c r="Q37" i="22"/>
  <c r="P37" i="22"/>
  <c r="R37" i="22" s="1"/>
  <c r="O37" i="22"/>
  <c r="K37" i="22"/>
  <c r="J37" i="22"/>
  <c r="AC36" i="22"/>
  <c r="AB36" i="22"/>
  <c r="AD36" i="22" s="1"/>
  <c r="Z36" i="22"/>
  <c r="Y36" i="22"/>
  <c r="AA36" i="22" s="1"/>
  <c r="W36" i="22"/>
  <c r="X36" i="22" s="1"/>
  <c r="V36" i="22"/>
  <c r="U36" i="22"/>
  <c r="T36" i="22"/>
  <c r="S36" i="22"/>
  <c r="Q36" i="22"/>
  <c r="R36" i="22" s="1"/>
  <c r="P36" i="22"/>
  <c r="O36" i="22"/>
  <c r="K36" i="22"/>
  <c r="J36" i="22"/>
  <c r="AC35" i="22"/>
  <c r="AB35" i="22"/>
  <c r="AD35" i="22" s="1"/>
  <c r="AA35" i="22"/>
  <c r="Z35" i="22"/>
  <c r="Y35" i="22"/>
  <c r="W35" i="22"/>
  <c r="X35" i="22" s="1"/>
  <c r="V35" i="22"/>
  <c r="T35" i="22"/>
  <c r="S35" i="22"/>
  <c r="U35" i="22" s="1"/>
  <c r="Q35" i="22"/>
  <c r="R35" i="22" s="1"/>
  <c r="P35" i="22"/>
  <c r="O35" i="22"/>
  <c r="AC34" i="22"/>
  <c r="AB34" i="22"/>
  <c r="AD34" i="22" s="1"/>
  <c r="AA34" i="22"/>
  <c r="Z34" i="22"/>
  <c r="Y34" i="22"/>
  <c r="W34" i="22"/>
  <c r="X34" i="22" s="1"/>
  <c r="V34" i="22"/>
  <c r="T34" i="22"/>
  <c r="S34" i="22"/>
  <c r="U34" i="22" s="1"/>
  <c r="Q34" i="22"/>
  <c r="R34" i="22" s="1"/>
  <c r="P34" i="22"/>
  <c r="O34" i="22"/>
  <c r="AC33" i="22"/>
  <c r="AB33" i="22"/>
  <c r="AD33" i="22" s="1"/>
  <c r="AA33" i="22"/>
  <c r="Z33" i="22"/>
  <c r="Y33" i="22"/>
  <c r="W33" i="22"/>
  <c r="X33" i="22" s="1"/>
  <c r="V33" i="22"/>
  <c r="T33" i="22"/>
  <c r="S33" i="22"/>
  <c r="U33" i="22" s="1"/>
  <c r="Q33" i="22"/>
  <c r="R33" i="22" s="1"/>
  <c r="P33" i="22"/>
  <c r="O33" i="22"/>
  <c r="J33" i="22"/>
  <c r="C33" i="22"/>
  <c r="E27" i="22" s="1"/>
  <c r="AC32" i="22"/>
  <c r="AD32" i="22" s="1"/>
  <c r="AB32" i="22"/>
  <c r="AA32" i="22"/>
  <c r="Z32" i="22"/>
  <c r="Y32" i="22"/>
  <c r="W32" i="22"/>
  <c r="X32" i="22" s="1"/>
  <c r="V32" i="22"/>
  <c r="U32" i="22"/>
  <c r="T32" i="22"/>
  <c r="S32" i="22"/>
  <c r="Q32" i="22"/>
  <c r="P32" i="22"/>
  <c r="R32" i="22" s="1"/>
  <c r="O32" i="22"/>
  <c r="J32" i="22"/>
  <c r="C32" i="22"/>
  <c r="AD31" i="22"/>
  <c r="AC31" i="22"/>
  <c r="AB31" i="22"/>
  <c r="Z31" i="22"/>
  <c r="AA31" i="22" s="1"/>
  <c r="Y31" i="22"/>
  <c r="X31" i="22"/>
  <c r="W31" i="22"/>
  <c r="V31" i="22"/>
  <c r="T31" i="22"/>
  <c r="S31" i="22"/>
  <c r="U31" i="22" s="1"/>
  <c r="R31" i="22"/>
  <c r="Q31" i="22"/>
  <c r="P31" i="22"/>
  <c r="O31" i="22"/>
  <c r="J31" i="22"/>
  <c r="C31" i="22"/>
  <c r="E28" i="22" s="1"/>
  <c r="C28" i="22" s="1"/>
  <c r="J30" i="22"/>
  <c r="K29" i="22"/>
  <c r="J29" i="22"/>
  <c r="K28" i="22"/>
  <c r="J28" i="22"/>
  <c r="K27" i="22"/>
  <c r="J27" i="22"/>
  <c r="C27" i="22"/>
  <c r="C26" i="22"/>
  <c r="C25" i="22"/>
  <c r="J24" i="22"/>
  <c r="C24" i="22"/>
  <c r="J23" i="22"/>
  <c r="J22" i="22"/>
  <c r="J21" i="22"/>
  <c r="K20" i="22"/>
  <c r="J20" i="22"/>
  <c r="K19" i="22"/>
  <c r="J19" i="22"/>
  <c r="K18" i="22"/>
  <c r="J18" i="22"/>
  <c r="J17" i="22"/>
  <c r="G12" i="22"/>
  <c r="J10" i="22"/>
  <c r="L7" i="22"/>
  <c r="J7" i="22"/>
  <c r="E7" i="22"/>
  <c r="K51" i="22" s="1"/>
  <c r="P56" i="5"/>
  <c r="S29" i="24" l="1"/>
  <c r="R29" i="24"/>
  <c r="Q41" i="24"/>
  <c r="O39" i="24"/>
  <c r="O40" i="24"/>
  <c r="Q29" i="24"/>
  <c r="O28" i="24"/>
  <c r="O41" i="23"/>
  <c r="P41" i="23" s="1"/>
  <c r="P38" i="23" s="1"/>
  <c r="P39" i="23" s="1"/>
  <c r="P36" i="23" s="1"/>
  <c r="Q63" i="24"/>
  <c r="S63" i="24"/>
  <c r="R63" i="24"/>
  <c r="R52" i="24"/>
  <c r="S52" i="24"/>
  <c r="Q52" i="24"/>
  <c r="O85" i="24"/>
  <c r="P85" i="24" s="1"/>
  <c r="P82" i="24" s="1"/>
  <c r="P83" i="24" s="1"/>
  <c r="P80" i="24" s="1"/>
  <c r="O73" i="24"/>
  <c r="O27" i="24"/>
  <c r="R41" i="24"/>
  <c r="O72" i="24"/>
  <c r="R74" i="24"/>
  <c r="Q74" i="24"/>
  <c r="S74" i="24"/>
  <c r="O29" i="24"/>
  <c r="P29" i="24" s="1"/>
  <c r="P26" i="24" s="1"/>
  <c r="P27" i="24" s="1"/>
  <c r="P24" i="24" s="1"/>
  <c r="O27" i="23"/>
  <c r="O29" i="23"/>
  <c r="P29" i="23" s="1"/>
  <c r="P26" i="23" s="1"/>
  <c r="P27" i="23" s="1"/>
  <c r="O83" i="23"/>
  <c r="O40" i="23"/>
  <c r="R74" i="23"/>
  <c r="Q74" i="23"/>
  <c r="S74" i="23"/>
  <c r="O84" i="23"/>
  <c r="Q63" i="23"/>
  <c r="S63" i="23"/>
  <c r="R63" i="23"/>
  <c r="O63" i="23" s="1"/>
  <c r="P63" i="23" s="1"/>
  <c r="P60" i="23" s="1"/>
  <c r="P61" i="23" s="1"/>
  <c r="P58" i="23" s="1"/>
  <c r="R52" i="23"/>
  <c r="S52" i="23"/>
  <c r="Q52" i="23"/>
  <c r="O51" i="23"/>
  <c r="O28" i="23"/>
  <c r="K8" i="22"/>
  <c r="J8" i="22"/>
  <c r="K10" i="22"/>
  <c r="K30" i="22"/>
  <c r="K48" i="22"/>
  <c r="K23" i="22"/>
  <c r="K7" i="22"/>
  <c r="K24" i="22"/>
  <c r="K33" i="22"/>
  <c r="K39" i="22"/>
  <c r="K49" i="22"/>
  <c r="E33" i="22"/>
  <c r="K42" i="22"/>
  <c r="K17" i="22"/>
  <c r="K21" i="22"/>
  <c r="K31" i="22"/>
  <c r="K40" i="22"/>
  <c r="K50" i="22"/>
  <c r="K22" i="22"/>
  <c r="K9" i="22"/>
  <c r="K32" i="22"/>
  <c r="K41" i="22"/>
  <c r="AE158" i="21"/>
  <c r="W158" i="21"/>
  <c r="V158" i="21"/>
  <c r="U158" i="21"/>
  <c r="T158" i="21"/>
  <c r="S158" i="21"/>
  <c r="R158" i="21"/>
  <c r="Q158" i="21"/>
  <c r="P158" i="21"/>
  <c r="O158" i="21"/>
  <c r="N158" i="21"/>
  <c r="M158" i="21"/>
  <c r="L158" i="21"/>
  <c r="K158" i="21"/>
  <c r="J158" i="21"/>
  <c r="I158" i="21"/>
  <c r="H158" i="21"/>
  <c r="G158" i="21"/>
  <c r="F158" i="21"/>
  <c r="E158" i="21"/>
  <c r="D158" i="21"/>
  <c r="AA158" i="21" s="1"/>
  <c r="W157" i="21"/>
  <c r="V157" i="21"/>
  <c r="U157" i="21"/>
  <c r="T157" i="21"/>
  <c r="S157" i="21"/>
  <c r="R157" i="21"/>
  <c r="Q157" i="21"/>
  <c r="P157" i="21"/>
  <c r="O157" i="21"/>
  <c r="N157" i="21"/>
  <c r="M157" i="21"/>
  <c r="L157" i="21"/>
  <c r="K157" i="21"/>
  <c r="J157" i="21"/>
  <c r="I157" i="21"/>
  <c r="H157" i="21"/>
  <c r="G157" i="21"/>
  <c r="F157" i="21"/>
  <c r="E157" i="21"/>
  <c r="D157" i="21"/>
  <c r="AA157" i="21" s="1"/>
  <c r="U156" i="21"/>
  <c r="T156" i="21"/>
  <c r="M156" i="21"/>
  <c r="L156" i="21"/>
  <c r="E156" i="21"/>
  <c r="W155" i="21"/>
  <c r="V155" i="21"/>
  <c r="U155" i="21"/>
  <c r="T155" i="21"/>
  <c r="S155" i="21"/>
  <c r="R155" i="21"/>
  <c r="Q155" i="21"/>
  <c r="P155" i="21"/>
  <c r="O155" i="21"/>
  <c r="N155" i="21"/>
  <c r="M155" i="21"/>
  <c r="L155" i="21"/>
  <c r="K155" i="21"/>
  <c r="J155" i="21"/>
  <c r="I155" i="21"/>
  <c r="H155" i="21"/>
  <c r="G155" i="21"/>
  <c r="F155" i="21"/>
  <c r="E155" i="21"/>
  <c r="D155" i="21"/>
  <c r="AD155" i="21" s="1"/>
  <c r="W154" i="21"/>
  <c r="W156" i="21" s="1"/>
  <c r="V154" i="21"/>
  <c r="V156" i="21" s="1"/>
  <c r="U154" i="21"/>
  <c r="T154" i="21"/>
  <c r="S154" i="21"/>
  <c r="S156" i="21" s="1"/>
  <c r="R154" i="21"/>
  <c r="R156" i="21" s="1"/>
  <c r="Q154" i="21"/>
  <c r="Q156" i="21" s="1"/>
  <c r="P154" i="21"/>
  <c r="P156" i="21" s="1"/>
  <c r="O154" i="21"/>
  <c r="O156" i="21" s="1"/>
  <c r="N154" i="21"/>
  <c r="N156" i="21" s="1"/>
  <c r="M154" i="21"/>
  <c r="L154" i="21"/>
  <c r="K154" i="21"/>
  <c r="K156" i="21" s="1"/>
  <c r="J154" i="21"/>
  <c r="J156" i="21" s="1"/>
  <c r="I154" i="21"/>
  <c r="I156" i="21" s="1"/>
  <c r="H154" i="21"/>
  <c r="H156" i="21" s="1"/>
  <c r="G154" i="21"/>
  <c r="G156" i="21" s="1"/>
  <c r="F154" i="21"/>
  <c r="F156" i="21" s="1"/>
  <c r="E154" i="21"/>
  <c r="D154" i="21"/>
  <c r="D156" i="21" s="1"/>
  <c r="V151" i="21"/>
  <c r="N151" i="21"/>
  <c r="F151" i="21"/>
  <c r="W150" i="21"/>
  <c r="W151" i="21" s="1"/>
  <c r="V150" i="21"/>
  <c r="U150" i="21"/>
  <c r="U151" i="21" s="1"/>
  <c r="T150" i="21"/>
  <c r="T151" i="21" s="1"/>
  <c r="S150" i="21"/>
  <c r="S151" i="21" s="1"/>
  <c r="R150" i="21"/>
  <c r="R151" i="21" s="1"/>
  <c r="Q150" i="21"/>
  <c r="Q151" i="21" s="1"/>
  <c r="P150" i="21"/>
  <c r="P151" i="21" s="1"/>
  <c r="O150" i="21"/>
  <c r="O151" i="21" s="1"/>
  <c r="N150" i="21"/>
  <c r="M150" i="21"/>
  <c r="M151" i="21" s="1"/>
  <c r="L150" i="21"/>
  <c r="L151" i="21" s="1"/>
  <c r="K150" i="21"/>
  <c r="K151" i="21" s="1"/>
  <c r="J150" i="21"/>
  <c r="J151" i="21" s="1"/>
  <c r="I150" i="21"/>
  <c r="I151" i="21" s="1"/>
  <c r="H150" i="21"/>
  <c r="H151" i="21" s="1"/>
  <c r="G150" i="21"/>
  <c r="G151" i="21" s="1"/>
  <c r="F150" i="21"/>
  <c r="E150" i="21"/>
  <c r="E151" i="21" s="1"/>
  <c r="X142" i="21"/>
  <c r="AE137" i="21"/>
  <c r="W137" i="21"/>
  <c r="V137" i="21"/>
  <c r="U137" i="21"/>
  <c r="T137" i="21"/>
  <c r="S137" i="21"/>
  <c r="R137" i="21"/>
  <c r="Q137" i="21"/>
  <c r="P137" i="21"/>
  <c r="O137" i="21"/>
  <c r="N137" i="21"/>
  <c r="M137" i="21"/>
  <c r="L137" i="21"/>
  <c r="K137" i="21"/>
  <c r="J137" i="21"/>
  <c r="I137" i="21"/>
  <c r="H137" i="21"/>
  <c r="G137" i="21"/>
  <c r="F137" i="21"/>
  <c r="E137" i="21"/>
  <c r="D137" i="21"/>
  <c r="AA137" i="21" s="1"/>
  <c r="W136" i="21"/>
  <c r="V136" i="21"/>
  <c r="U136" i="21"/>
  <c r="T136" i="21"/>
  <c r="S136" i="21"/>
  <c r="R136" i="21"/>
  <c r="Q136" i="21"/>
  <c r="P136" i="21"/>
  <c r="O136" i="21"/>
  <c r="N136" i="21"/>
  <c r="M136" i="21"/>
  <c r="L136" i="21"/>
  <c r="K136" i="21"/>
  <c r="J136" i="21"/>
  <c r="I136" i="21"/>
  <c r="H136" i="21"/>
  <c r="G136" i="21"/>
  <c r="F136" i="21"/>
  <c r="E136" i="21"/>
  <c r="D136" i="21"/>
  <c r="AA136" i="21" s="1"/>
  <c r="U135" i="21"/>
  <c r="M135" i="21"/>
  <c r="E135" i="21"/>
  <c r="W134" i="21"/>
  <c r="V134" i="21"/>
  <c r="U134" i="21"/>
  <c r="T134" i="21"/>
  <c r="S134" i="21"/>
  <c r="R134" i="21"/>
  <c r="Q134" i="21"/>
  <c r="P134" i="21"/>
  <c r="O134" i="21"/>
  <c r="N134" i="21"/>
  <c r="M134" i="21"/>
  <c r="L134" i="21"/>
  <c r="K134" i="21"/>
  <c r="J134" i="21"/>
  <c r="I134" i="21"/>
  <c r="H134" i="21"/>
  <c r="G134" i="21"/>
  <c r="F134" i="21"/>
  <c r="E134" i="21"/>
  <c r="D134" i="21"/>
  <c r="AD134" i="21" s="1"/>
  <c r="Z133" i="21"/>
  <c r="W133" i="21"/>
  <c r="W135" i="21" s="1"/>
  <c r="V133" i="21"/>
  <c r="V135" i="21" s="1"/>
  <c r="U133" i="21"/>
  <c r="T133" i="21"/>
  <c r="T135" i="21" s="1"/>
  <c r="S133" i="21"/>
  <c r="S135" i="21" s="1"/>
  <c r="R133" i="21"/>
  <c r="R135" i="21" s="1"/>
  <c r="Q133" i="21"/>
  <c r="Q135" i="21" s="1"/>
  <c r="P133" i="21"/>
  <c r="P135" i="21" s="1"/>
  <c r="O133" i="21"/>
  <c r="O135" i="21" s="1"/>
  <c r="N133" i="21"/>
  <c r="N135" i="21" s="1"/>
  <c r="M133" i="21"/>
  <c r="L133" i="21"/>
  <c r="L135" i="21" s="1"/>
  <c r="K133" i="21"/>
  <c r="K135" i="21" s="1"/>
  <c r="J133" i="21"/>
  <c r="J135" i="21" s="1"/>
  <c r="I133" i="21"/>
  <c r="I135" i="21" s="1"/>
  <c r="H133" i="21"/>
  <c r="H135" i="21" s="1"/>
  <c r="G133" i="21"/>
  <c r="G135" i="21" s="1"/>
  <c r="F133" i="21"/>
  <c r="F135" i="21" s="1"/>
  <c r="E133" i="21"/>
  <c r="D133" i="21"/>
  <c r="D135" i="21" s="1"/>
  <c r="V130" i="21"/>
  <c r="N130" i="21"/>
  <c r="F130" i="21"/>
  <c r="W129" i="21"/>
  <c r="W130" i="21" s="1"/>
  <c r="V129" i="21"/>
  <c r="U129" i="21"/>
  <c r="U130" i="21" s="1"/>
  <c r="T129" i="21"/>
  <c r="T130" i="21" s="1"/>
  <c r="S129" i="21"/>
  <c r="S130" i="21" s="1"/>
  <c r="R129" i="21"/>
  <c r="R130" i="21" s="1"/>
  <c r="Q129" i="21"/>
  <c r="Q130" i="21" s="1"/>
  <c r="P129" i="21"/>
  <c r="P130" i="21" s="1"/>
  <c r="O129" i="21"/>
  <c r="O130" i="21" s="1"/>
  <c r="N129" i="21"/>
  <c r="M129" i="21"/>
  <c r="M130" i="21" s="1"/>
  <c r="L129" i="21"/>
  <c r="L130" i="21" s="1"/>
  <c r="K129" i="21"/>
  <c r="K130" i="21" s="1"/>
  <c r="J129" i="21"/>
  <c r="J130" i="21" s="1"/>
  <c r="I129" i="21"/>
  <c r="I130" i="21" s="1"/>
  <c r="H129" i="21"/>
  <c r="H130" i="21" s="1"/>
  <c r="G129" i="21"/>
  <c r="G130" i="21" s="1"/>
  <c r="F129" i="21"/>
  <c r="E129" i="21"/>
  <c r="E130" i="21" s="1"/>
  <c r="X121" i="21"/>
  <c r="B114" i="21"/>
  <c r="AD63" i="21"/>
  <c r="AC63" i="21"/>
  <c r="AC62" i="21"/>
  <c r="W62" i="21"/>
  <c r="V62" i="21"/>
  <c r="U62" i="21"/>
  <c r="T62" i="21"/>
  <c r="S62" i="21"/>
  <c r="R62" i="21"/>
  <c r="Q62" i="21"/>
  <c r="P62" i="21"/>
  <c r="O62" i="21"/>
  <c r="N62" i="21"/>
  <c r="M62" i="21"/>
  <c r="L62" i="21"/>
  <c r="K62" i="21"/>
  <c r="J62" i="21"/>
  <c r="I62" i="21"/>
  <c r="H62" i="21"/>
  <c r="G62" i="21"/>
  <c r="F62" i="21"/>
  <c r="E62" i="21"/>
  <c r="D62" i="21"/>
  <c r="Y62" i="21" s="1"/>
  <c r="AB61" i="21"/>
  <c r="W61" i="21"/>
  <c r="V61" i="21"/>
  <c r="U61" i="21"/>
  <c r="T61" i="21"/>
  <c r="S61" i="21"/>
  <c r="R61" i="21"/>
  <c r="Q61" i="21"/>
  <c r="P61" i="21"/>
  <c r="O61" i="21"/>
  <c r="N61" i="21"/>
  <c r="M61" i="21"/>
  <c r="L61" i="21"/>
  <c r="K61" i="21"/>
  <c r="J61" i="21"/>
  <c r="I61" i="21"/>
  <c r="H61" i="21"/>
  <c r="G61" i="21"/>
  <c r="F61" i="21"/>
  <c r="E61" i="21"/>
  <c r="D61" i="21"/>
  <c r="AA61" i="21" s="1"/>
  <c r="AC60" i="21"/>
  <c r="AB60" i="21"/>
  <c r="W60" i="21"/>
  <c r="V60" i="21"/>
  <c r="U60" i="21"/>
  <c r="T60" i="21"/>
  <c r="S60" i="21"/>
  <c r="R60" i="21"/>
  <c r="Q60" i="21"/>
  <c r="P60" i="21"/>
  <c r="O60" i="21"/>
  <c r="N60" i="21"/>
  <c r="M60" i="21"/>
  <c r="L60" i="21"/>
  <c r="K60" i="21"/>
  <c r="J60" i="21"/>
  <c r="I60" i="21"/>
  <c r="H60" i="21"/>
  <c r="Y60" i="21" s="1"/>
  <c r="G60" i="21"/>
  <c r="F60" i="21"/>
  <c r="E60" i="21"/>
  <c r="D60" i="21"/>
  <c r="AA60" i="21" s="1"/>
  <c r="W59" i="21"/>
  <c r="V59" i="21"/>
  <c r="U59" i="21"/>
  <c r="T59" i="21"/>
  <c r="S59" i="21"/>
  <c r="R59" i="21"/>
  <c r="Q59" i="21"/>
  <c r="P59" i="21"/>
  <c r="O59" i="21"/>
  <c r="N59" i="21"/>
  <c r="M59" i="21"/>
  <c r="L59" i="21"/>
  <c r="K59" i="21"/>
  <c r="J59" i="21"/>
  <c r="I59" i="21"/>
  <c r="H59" i="21"/>
  <c r="G59" i="21"/>
  <c r="F59" i="21"/>
  <c r="E59" i="21"/>
  <c r="D59" i="21"/>
  <c r="AA59" i="21" s="1"/>
  <c r="AC58" i="21"/>
  <c r="W58" i="21"/>
  <c r="V58" i="21"/>
  <c r="U58" i="21"/>
  <c r="T58" i="21"/>
  <c r="S58" i="21"/>
  <c r="R58" i="21"/>
  <c r="Q58" i="21"/>
  <c r="P58" i="21"/>
  <c r="O58" i="21"/>
  <c r="N58" i="21"/>
  <c r="M58" i="21"/>
  <c r="L58" i="21"/>
  <c r="K58" i="21"/>
  <c r="J58" i="21"/>
  <c r="I58" i="21"/>
  <c r="H58" i="21"/>
  <c r="Y58" i="21" s="1"/>
  <c r="G58" i="21"/>
  <c r="F58" i="21"/>
  <c r="E58" i="21"/>
  <c r="D58" i="21"/>
  <c r="AA58" i="21" s="1"/>
  <c r="AC57" i="21"/>
  <c r="AB57" i="21"/>
  <c r="Z57" i="21"/>
  <c r="W57" i="21"/>
  <c r="V57" i="21"/>
  <c r="U57" i="21"/>
  <c r="T57" i="21"/>
  <c r="S57" i="21"/>
  <c r="R57" i="21"/>
  <c r="Q57" i="21"/>
  <c r="P57" i="21"/>
  <c r="O57" i="21"/>
  <c r="N57" i="21"/>
  <c r="M57" i="21"/>
  <c r="L57" i="21"/>
  <c r="K57" i="21"/>
  <c r="J57" i="21"/>
  <c r="I57" i="21"/>
  <c r="H57" i="21"/>
  <c r="G57" i="21"/>
  <c r="F57" i="21"/>
  <c r="E57" i="21"/>
  <c r="D57" i="21"/>
  <c r="Y57" i="21" s="1"/>
  <c r="V56" i="21"/>
  <c r="R56" i="21"/>
  <c r="Q56" i="21"/>
  <c r="P56" i="21"/>
  <c r="N56" i="21"/>
  <c r="J56" i="21"/>
  <c r="I56" i="21"/>
  <c r="H56" i="21"/>
  <c r="F56" i="21"/>
  <c r="AC55" i="21"/>
  <c r="W55" i="21"/>
  <c r="W56" i="21" s="1"/>
  <c r="V55" i="21"/>
  <c r="U55" i="21"/>
  <c r="U56" i="21" s="1"/>
  <c r="T55" i="21"/>
  <c r="T56" i="21" s="1"/>
  <c r="S55" i="21"/>
  <c r="S56" i="21" s="1"/>
  <c r="R55" i="21"/>
  <c r="Q55" i="21"/>
  <c r="P55" i="21"/>
  <c r="O55" i="21"/>
  <c r="O56" i="21" s="1"/>
  <c r="N55" i="21"/>
  <c r="M55" i="21"/>
  <c r="M56" i="21" s="1"/>
  <c r="L55" i="21"/>
  <c r="L56" i="21" s="1"/>
  <c r="K55" i="21"/>
  <c r="K56" i="21" s="1"/>
  <c r="J55" i="21"/>
  <c r="I55" i="21"/>
  <c r="H55" i="21"/>
  <c r="G55" i="21"/>
  <c r="AA55" i="21" s="1"/>
  <c r="F55" i="21"/>
  <c r="E55" i="21"/>
  <c r="E56" i="21" s="1"/>
  <c r="D55" i="21"/>
  <c r="D56" i="21" s="1"/>
  <c r="AC54" i="21"/>
  <c r="V54" i="21"/>
  <c r="T54" i="21"/>
  <c r="S54" i="21"/>
  <c r="Q54" i="21"/>
  <c r="N54" i="21"/>
  <c r="L54" i="21"/>
  <c r="K54" i="21"/>
  <c r="I54" i="21"/>
  <c r="F54" i="21"/>
  <c r="AD53" i="21"/>
  <c r="W53" i="21"/>
  <c r="V53" i="21"/>
  <c r="U53" i="21"/>
  <c r="T53" i="21"/>
  <c r="S53" i="21"/>
  <c r="R53" i="21"/>
  <c r="Q53" i="21"/>
  <c r="P53" i="21"/>
  <c r="O53" i="21"/>
  <c r="N53" i="21"/>
  <c r="M53" i="21"/>
  <c r="L53" i="21"/>
  <c r="K53" i="21"/>
  <c r="J53" i="21"/>
  <c r="I53" i="21"/>
  <c r="H53" i="21"/>
  <c r="G53" i="21"/>
  <c r="F53" i="21"/>
  <c r="E53" i="21"/>
  <c r="D53" i="21"/>
  <c r="AA53" i="21" s="1"/>
  <c r="AC52" i="21"/>
  <c r="W52" i="21"/>
  <c r="V52" i="21"/>
  <c r="U52" i="21"/>
  <c r="T52" i="21"/>
  <c r="S52" i="21"/>
  <c r="R52" i="21"/>
  <c r="Q52" i="21"/>
  <c r="P52" i="21"/>
  <c r="O52" i="21"/>
  <c r="N52" i="21"/>
  <c r="M52" i="21"/>
  <c r="L52" i="21"/>
  <c r="K52" i="21"/>
  <c r="J52" i="21"/>
  <c r="I52" i="21"/>
  <c r="H52" i="21"/>
  <c r="G52" i="21"/>
  <c r="F52" i="21"/>
  <c r="E52" i="21"/>
  <c r="Z52" i="21" s="1"/>
  <c r="D52" i="21"/>
  <c r="AA52" i="21" s="1"/>
  <c r="Y51" i="21"/>
  <c r="W51" i="21"/>
  <c r="V51" i="21"/>
  <c r="U51" i="21"/>
  <c r="T51" i="21"/>
  <c r="S51" i="21"/>
  <c r="R51" i="21"/>
  <c r="Q51" i="21"/>
  <c r="P51" i="21"/>
  <c r="O51" i="21"/>
  <c r="N51" i="21"/>
  <c r="M51" i="21"/>
  <c r="L51" i="21"/>
  <c r="K51" i="21"/>
  <c r="J51" i="21"/>
  <c r="I51" i="21"/>
  <c r="H51" i="21"/>
  <c r="G51" i="21"/>
  <c r="F51" i="21"/>
  <c r="X51" i="21" s="1"/>
  <c r="X46" i="21" s="1"/>
  <c r="E51" i="21"/>
  <c r="D51" i="21"/>
  <c r="Y50" i="21"/>
  <c r="W50" i="21"/>
  <c r="V50" i="21"/>
  <c r="U50" i="21"/>
  <c r="T50" i="21"/>
  <c r="S50" i="21"/>
  <c r="R50" i="21"/>
  <c r="Q50" i="21"/>
  <c r="P50" i="21"/>
  <c r="O50" i="21"/>
  <c r="N50" i="21"/>
  <c r="M50" i="21"/>
  <c r="L50" i="21"/>
  <c r="K50" i="21"/>
  <c r="J50" i="21"/>
  <c r="I50" i="21"/>
  <c r="H50" i="21"/>
  <c r="G50" i="21"/>
  <c r="F50" i="21"/>
  <c r="E50" i="21"/>
  <c r="D50" i="21"/>
  <c r="W47" i="21"/>
  <c r="W54" i="21" s="1"/>
  <c r="V47" i="21"/>
  <c r="U47" i="21"/>
  <c r="U54" i="21" s="1"/>
  <c r="T47" i="21"/>
  <c r="S47" i="21"/>
  <c r="R47" i="21"/>
  <c r="R54" i="21" s="1"/>
  <c r="Q47" i="21"/>
  <c r="P47" i="21"/>
  <c r="P54" i="21" s="1"/>
  <c r="O47" i="21"/>
  <c r="O54" i="21" s="1"/>
  <c r="N47" i="21"/>
  <c r="M47" i="21"/>
  <c r="M54" i="21" s="1"/>
  <c r="L47" i="21"/>
  <c r="K47" i="21"/>
  <c r="J47" i="21"/>
  <c r="J54" i="21" s="1"/>
  <c r="I47" i="21"/>
  <c r="H47" i="21"/>
  <c r="H54" i="21" s="1"/>
  <c r="G47" i="21"/>
  <c r="G54" i="21" s="1"/>
  <c r="F47" i="21"/>
  <c r="E47" i="21"/>
  <c r="E54" i="21" s="1"/>
  <c r="D47" i="21"/>
  <c r="D54" i="21" s="1"/>
  <c r="Y46" i="21"/>
  <c r="Y45" i="21"/>
  <c r="Y44" i="21"/>
  <c r="X44" i="21"/>
  <c r="AD36" i="21"/>
  <c r="Y32" i="21" s="1"/>
  <c r="AC36" i="21"/>
  <c r="AB36" i="21"/>
  <c r="W36" i="21"/>
  <c r="V36" i="21"/>
  <c r="U36" i="21"/>
  <c r="T36" i="21"/>
  <c r="S36" i="21"/>
  <c r="R36" i="21"/>
  <c r="Q36" i="21"/>
  <c r="P36" i="21"/>
  <c r="O36" i="21"/>
  <c r="N36" i="21"/>
  <c r="M36" i="21"/>
  <c r="L36" i="21"/>
  <c r="K36" i="21"/>
  <c r="J36" i="21"/>
  <c r="I36" i="21"/>
  <c r="H36" i="21"/>
  <c r="G36" i="21"/>
  <c r="F36" i="21"/>
  <c r="E36" i="21"/>
  <c r="D36" i="21"/>
  <c r="Y35" i="21"/>
  <c r="W35" i="21"/>
  <c r="V35" i="21"/>
  <c r="U35" i="21"/>
  <c r="T35" i="21"/>
  <c r="S35" i="21"/>
  <c r="R35" i="21"/>
  <c r="Q35" i="21"/>
  <c r="P35" i="21"/>
  <c r="O35" i="21"/>
  <c r="N35" i="21"/>
  <c r="M35" i="21"/>
  <c r="L35" i="21"/>
  <c r="K35" i="21"/>
  <c r="J35" i="21"/>
  <c r="I35" i="21"/>
  <c r="H35" i="21"/>
  <c r="G35" i="21"/>
  <c r="F35" i="21"/>
  <c r="E35" i="21"/>
  <c r="D35" i="21"/>
  <c r="X35" i="21" s="1"/>
  <c r="X33" i="21" s="1"/>
  <c r="Y34" i="21"/>
  <c r="W34" i="21"/>
  <c r="V34" i="21"/>
  <c r="U34" i="21"/>
  <c r="T34" i="21"/>
  <c r="S34" i="21"/>
  <c r="R34" i="21"/>
  <c r="Q34" i="21"/>
  <c r="P34" i="21"/>
  <c r="O34" i="21"/>
  <c r="N34" i="21"/>
  <c r="M34" i="21"/>
  <c r="L34" i="21"/>
  <c r="K34" i="21"/>
  <c r="J34" i="21"/>
  <c r="I34" i="21"/>
  <c r="H34" i="21"/>
  <c r="G34" i="21"/>
  <c r="F34" i="21"/>
  <c r="E34" i="21"/>
  <c r="D34" i="21"/>
  <c r="X34" i="21" s="1"/>
  <c r="Y31" i="21"/>
  <c r="X31" i="21"/>
  <c r="AE158" i="20"/>
  <c r="W158" i="20"/>
  <c r="V158" i="20"/>
  <c r="U158" i="20"/>
  <c r="T158" i="20"/>
  <c r="S158" i="20"/>
  <c r="R158" i="20"/>
  <c r="Q158" i="20"/>
  <c r="P158" i="20"/>
  <c r="O158" i="20"/>
  <c r="N158" i="20"/>
  <c r="M158" i="20"/>
  <c r="L158" i="20"/>
  <c r="K158" i="20"/>
  <c r="J158" i="20"/>
  <c r="I158" i="20"/>
  <c r="H158" i="20"/>
  <c r="G158" i="20"/>
  <c r="F158" i="20"/>
  <c r="E158" i="20"/>
  <c r="D158" i="20"/>
  <c r="W157" i="20"/>
  <c r="V157" i="20"/>
  <c r="U157" i="20"/>
  <c r="T157" i="20"/>
  <c r="S157" i="20"/>
  <c r="R157" i="20"/>
  <c r="Q157" i="20"/>
  <c r="P157" i="20"/>
  <c r="O157" i="20"/>
  <c r="N157" i="20"/>
  <c r="M157" i="20"/>
  <c r="L157" i="20"/>
  <c r="K157" i="20"/>
  <c r="J157" i="20"/>
  <c r="I157" i="20"/>
  <c r="H157" i="20"/>
  <c r="G157" i="20"/>
  <c r="F157" i="20"/>
  <c r="E157" i="20"/>
  <c r="D157" i="20"/>
  <c r="AA157" i="20" s="1"/>
  <c r="U156" i="20"/>
  <c r="P156" i="20"/>
  <c r="M156" i="20"/>
  <c r="H156" i="20"/>
  <c r="E156" i="20"/>
  <c r="W155" i="20"/>
  <c r="W156" i="20" s="1"/>
  <c r="V155" i="20"/>
  <c r="U155" i="20"/>
  <c r="T155" i="20"/>
  <c r="S155" i="20"/>
  <c r="R155" i="20"/>
  <c r="R156" i="20" s="1"/>
  <c r="Q155" i="20"/>
  <c r="P155" i="20"/>
  <c r="O155" i="20"/>
  <c r="O156" i="20" s="1"/>
  <c r="N155" i="20"/>
  <c r="M155" i="20"/>
  <c r="L155" i="20"/>
  <c r="K155" i="20"/>
  <c r="J155" i="20"/>
  <c r="AA155" i="20" s="1"/>
  <c r="I155" i="20"/>
  <c r="H155" i="20"/>
  <c r="G155" i="20"/>
  <c r="G156" i="20" s="1"/>
  <c r="F155" i="20"/>
  <c r="Z155" i="20" s="1"/>
  <c r="E155" i="20"/>
  <c r="D155" i="20"/>
  <c r="AD155" i="20" s="1"/>
  <c r="W154" i="20"/>
  <c r="V154" i="20"/>
  <c r="V156" i="20" s="1"/>
  <c r="U154" i="20"/>
  <c r="T154" i="20"/>
  <c r="T156" i="20" s="1"/>
  <c r="S154" i="20"/>
  <c r="S156" i="20" s="1"/>
  <c r="R154" i="20"/>
  <c r="Q154" i="20"/>
  <c r="Q156" i="20" s="1"/>
  <c r="P154" i="20"/>
  <c r="O154" i="20"/>
  <c r="N154" i="20"/>
  <c r="N156" i="20" s="1"/>
  <c r="M154" i="20"/>
  <c r="L154" i="20"/>
  <c r="L156" i="20" s="1"/>
  <c r="K154" i="20"/>
  <c r="K156" i="20" s="1"/>
  <c r="J154" i="20"/>
  <c r="I154" i="20"/>
  <c r="I156" i="20" s="1"/>
  <c r="H154" i="20"/>
  <c r="G154" i="20"/>
  <c r="F154" i="20"/>
  <c r="F156" i="20" s="1"/>
  <c r="E154" i="20"/>
  <c r="D154" i="20"/>
  <c r="D156" i="20" s="1"/>
  <c r="Q151" i="20"/>
  <c r="P151" i="20"/>
  <c r="I151" i="20"/>
  <c r="H151" i="20"/>
  <c r="W150" i="20"/>
  <c r="W151" i="20" s="1"/>
  <c r="V150" i="20"/>
  <c r="V151" i="20" s="1"/>
  <c r="U150" i="20"/>
  <c r="U151" i="20" s="1"/>
  <c r="T150" i="20"/>
  <c r="T151" i="20" s="1"/>
  <c r="S150" i="20"/>
  <c r="S151" i="20" s="1"/>
  <c r="R150" i="20"/>
  <c r="R151" i="20" s="1"/>
  <c r="Q150" i="20"/>
  <c r="P150" i="20"/>
  <c r="O150" i="20"/>
  <c r="O151" i="20" s="1"/>
  <c r="N150" i="20"/>
  <c r="N151" i="20" s="1"/>
  <c r="M150" i="20"/>
  <c r="M151" i="20" s="1"/>
  <c r="L150" i="20"/>
  <c r="L151" i="20" s="1"/>
  <c r="K150" i="20"/>
  <c r="K151" i="20" s="1"/>
  <c r="J150" i="20"/>
  <c r="J151" i="20" s="1"/>
  <c r="I150" i="20"/>
  <c r="H150" i="20"/>
  <c r="G150" i="20"/>
  <c r="G151" i="20" s="1"/>
  <c r="F150" i="20"/>
  <c r="F151" i="20" s="1"/>
  <c r="E150" i="20"/>
  <c r="E151" i="20" s="1"/>
  <c r="X142" i="20"/>
  <c r="AE137" i="20"/>
  <c r="W137" i="20"/>
  <c r="V137" i="20"/>
  <c r="U137" i="20"/>
  <c r="T137" i="20"/>
  <c r="S137" i="20"/>
  <c r="R137" i="20"/>
  <c r="Q137" i="20"/>
  <c r="P137" i="20"/>
  <c r="O137" i="20"/>
  <c r="N137" i="20"/>
  <c r="M137" i="20"/>
  <c r="L137" i="20"/>
  <c r="K137" i="20"/>
  <c r="J137" i="20"/>
  <c r="I137" i="20"/>
  <c r="H137" i="20"/>
  <c r="G137" i="20"/>
  <c r="F137" i="20"/>
  <c r="E137" i="20"/>
  <c r="D137" i="20"/>
  <c r="AA137" i="20" s="1"/>
  <c r="W136" i="20"/>
  <c r="V136" i="20"/>
  <c r="U136" i="20"/>
  <c r="T136" i="20"/>
  <c r="S136" i="20"/>
  <c r="R136" i="20"/>
  <c r="Q136" i="20"/>
  <c r="P136" i="20"/>
  <c r="O136" i="20"/>
  <c r="N136" i="20"/>
  <c r="M136" i="20"/>
  <c r="L136" i="20"/>
  <c r="K136" i="20"/>
  <c r="J136" i="20"/>
  <c r="I136" i="20"/>
  <c r="H136" i="20"/>
  <c r="G136" i="20"/>
  <c r="F136" i="20"/>
  <c r="E136" i="20"/>
  <c r="D136" i="20"/>
  <c r="AA136" i="20" s="1"/>
  <c r="U135" i="20"/>
  <c r="P135" i="20"/>
  <c r="M135" i="20"/>
  <c r="H135" i="20"/>
  <c r="E135" i="20"/>
  <c r="W134" i="20"/>
  <c r="W135" i="20" s="1"/>
  <c r="V134" i="20"/>
  <c r="U134" i="20"/>
  <c r="T134" i="20"/>
  <c r="S134" i="20"/>
  <c r="R134" i="20"/>
  <c r="R135" i="20" s="1"/>
  <c r="Q134" i="20"/>
  <c r="P134" i="20"/>
  <c r="O134" i="20"/>
  <c r="O135" i="20" s="1"/>
  <c r="N134" i="20"/>
  <c r="M134" i="20"/>
  <c r="L134" i="20"/>
  <c r="K134" i="20"/>
  <c r="J134" i="20"/>
  <c r="AA134" i="20" s="1"/>
  <c r="I134" i="20"/>
  <c r="H134" i="20"/>
  <c r="G134" i="20"/>
  <c r="G135" i="20" s="1"/>
  <c r="F134" i="20"/>
  <c r="Z134" i="20" s="1"/>
  <c r="E134" i="20"/>
  <c r="D134" i="20"/>
  <c r="AD134" i="20" s="1"/>
  <c r="W133" i="20"/>
  <c r="V133" i="20"/>
  <c r="V135" i="20" s="1"/>
  <c r="U133" i="20"/>
  <c r="T133" i="20"/>
  <c r="T135" i="20" s="1"/>
  <c r="S133" i="20"/>
  <c r="S135" i="20" s="1"/>
  <c r="R133" i="20"/>
  <c r="Q133" i="20"/>
  <c r="Q135" i="20" s="1"/>
  <c r="P133" i="20"/>
  <c r="O133" i="20"/>
  <c r="N133" i="20"/>
  <c r="N135" i="20" s="1"/>
  <c r="M133" i="20"/>
  <c r="L133" i="20"/>
  <c r="L135" i="20" s="1"/>
  <c r="K133" i="20"/>
  <c r="K135" i="20" s="1"/>
  <c r="J133" i="20"/>
  <c r="I133" i="20"/>
  <c r="I135" i="20" s="1"/>
  <c r="H133" i="20"/>
  <c r="G133" i="20"/>
  <c r="F133" i="20"/>
  <c r="F135" i="20" s="1"/>
  <c r="E133" i="20"/>
  <c r="D133" i="20"/>
  <c r="D135" i="20" s="1"/>
  <c r="U130" i="20"/>
  <c r="Q130" i="20"/>
  <c r="P130" i="20"/>
  <c r="M130" i="20"/>
  <c r="I130" i="20"/>
  <c r="H130" i="20"/>
  <c r="W129" i="20"/>
  <c r="W130" i="20" s="1"/>
  <c r="V129" i="20"/>
  <c r="V130" i="20" s="1"/>
  <c r="U129" i="20"/>
  <c r="T129" i="20"/>
  <c r="T130" i="20" s="1"/>
  <c r="S129" i="20"/>
  <c r="S130" i="20" s="1"/>
  <c r="R129" i="20"/>
  <c r="R130" i="20" s="1"/>
  <c r="Q129" i="20"/>
  <c r="P129" i="20"/>
  <c r="O129" i="20"/>
  <c r="O130" i="20" s="1"/>
  <c r="N129" i="20"/>
  <c r="N130" i="20" s="1"/>
  <c r="M129" i="20"/>
  <c r="L129" i="20"/>
  <c r="L130" i="20" s="1"/>
  <c r="K129" i="20"/>
  <c r="K130" i="20" s="1"/>
  <c r="J129" i="20"/>
  <c r="J130" i="20" s="1"/>
  <c r="I129" i="20"/>
  <c r="H129" i="20"/>
  <c r="G129" i="20"/>
  <c r="G130" i="20" s="1"/>
  <c r="F129" i="20"/>
  <c r="F130" i="20" s="1"/>
  <c r="E129" i="20"/>
  <c r="E130" i="20" s="1"/>
  <c r="X121" i="20"/>
  <c r="B114" i="20"/>
  <c r="AD63" i="20"/>
  <c r="AC63" i="20"/>
  <c r="AC62" i="20"/>
  <c r="W62" i="20"/>
  <c r="V62" i="20"/>
  <c r="U62" i="20"/>
  <c r="T62" i="20"/>
  <c r="S62" i="20"/>
  <c r="R62" i="20"/>
  <c r="Q62" i="20"/>
  <c r="P62" i="20"/>
  <c r="O62" i="20"/>
  <c r="N62" i="20"/>
  <c r="M62" i="20"/>
  <c r="L62" i="20"/>
  <c r="K62" i="20"/>
  <c r="J62" i="20"/>
  <c r="I62" i="20"/>
  <c r="H62" i="20"/>
  <c r="G62" i="20"/>
  <c r="F62" i="20"/>
  <c r="E62" i="20"/>
  <c r="D62" i="20"/>
  <c r="AB61" i="20"/>
  <c r="W61" i="20"/>
  <c r="V61" i="20"/>
  <c r="U61" i="20"/>
  <c r="T61" i="20"/>
  <c r="S61" i="20"/>
  <c r="R61" i="20"/>
  <c r="Q61" i="20"/>
  <c r="P61" i="20"/>
  <c r="O61" i="20"/>
  <c r="N61" i="20"/>
  <c r="M61" i="20"/>
  <c r="L61" i="20"/>
  <c r="K61" i="20"/>
  <c r="J61" i="20"/>
  <c r="Z61" i="20" s="1"/>
  <c r="I61" i="20"/>
  <c r="H61" i="20"/>
  <c r="G61" i="20"/>
  <c r="F61" i="20"/>
  <c r="E61" i="20"/>
  <c r="D61" i="20"/>
  <c r="AA61" i="20" s="1"/>
  <c r="AC60" i="20"/>
  <c r="AB60" i="20"/>
  <c r="W60" i="20"/>
  <c r="V60" i="20"/>
  <c r="U60" i="20"/>
  <c r="T60" i="20"/>
  <c r="S60" i="20"/>
  <c r="R60" i="20"/>
  <c r="Q60" i="20"/>
  <c r="P60" i="20"/>
  <c r="O60" i="20"/>
  <c r="N60" i="20"/>
  <c r="M60" i="20"/>
  <c r="L60" i="20"/>
  <c r="K60" i="20"/>
  <c r="J60" i="20"/>
  <c r="I60" i="20"/>
  <c r="H60" i="20"/>
  <c r="G60" i="20"/>
  <c r="F60" i="20"/>
  <c r="E60" i="20"/>
  <c r="D60" i="20"/>
  <c r="AA60" i="20" s="1"/>
  <c r="W59" i="20"/>
  <c r="V59" i="20"/>
  <c r="U59" i="20"/>
  <c r="T59" i="20"/>
  <c r="S59" i="20"/>
  <c r="R59" i="20"/>
  <c r="Q59" i="20"/>
  <c r="P59" i="20"/>
  <c r="O59" i="20"/>
  <c r="N59" i="20"/>
  <c r="M59" i="20"/>
  <c r="L59" i="20"/>
  <c r="K59" i="20"/>
  <c r="AA59" i="20" s="1"/>
  <c r="J59" i="20"/>
  <c r="I59" i="20"/>
  <c r="H59" i="20"/>
  <c r="G59" i="20"/>
  <c r="F59" i="20"/>
  <c r="E59" i="20"/>
  <c r="D59" i="20"/>
  <c r="Z59" i="20" s="1"/>
  <c r="AC58" i="20"/>
  <c r="W58" i="20"/>
  <c r="V58" i="20"/>
  <c r="U58" i="20"/>
  <c r="T58" i="20"/>
  <c r="S58" i="20"/>
  <c r="R58" i="20"/>
  <c r="Q58" i="20"/>
  <c r="P58" i="20"/>
  <c r="O58" i="20"/>
  <c r="N58" i="20"/>
  <c r="M58" i="20"/>
  <c r="L58" i="20"/>
  <c r="K58" i="20"/>
  <c r="J58" i="20"/>
  <c r="I58" i="20"/>
  <c r="H58" i="20"/>
  <c r="G58" i="20"/>
  <c r="F58" i="20"/>
  <c r="E58" i="20"/>
  <c r="D58" i="20"/>
  <c r="AA58" i="20" s="1"/>
  <c r="AC57" i="20"/>
  <c r="AB57" i="20"/>
  <c r="W57" i="20"/>
  <c r="V57" i="20"/>
  <c r="U57" i="20"/>
  <c r="T57" i="20"/>
  <c r="S57" i="20"/>
  <c r="R57" i="20"/>
  <c r="Q57" i="20"/>
  <c r="P57" i="20"/>
  <c r="O57" i="20"/>
  <c r="N57" i="20"/>
  <c r="M57" i="20"/>
  <c r="L57" i="20"/>
  <c r="K57" i="20"/>
  <c r="J57" i="20"/>
  <c r="I57" i="20"/>
  <c r="H57" i="20"/>
  <c r="G57" i="20"/>
  <c r="F57" i="20"/>
  <c r="E57" i="20"/>
  <c r="D57" i="20"/>
  <c r="Y57" i="20" s="1"/>
  <c r="U56" i="20"/>
  <c r="Q56" i="20"/>
  <c r="P56" i="20"/>
  <c r="M56" i="20"/>
  <c r="I56" i="20"/>
  <c r="H56" i="20"/>
  <c r="E56" i="20"/>
  <c r="AC55" i="20"/>
  <c r="Z55" i="20"/>
  <c r="W55" i="20"/>
  <c r="W56" i="20" s="1"/>
  <c r="V55" i="20"/>
  <c r="V56" i="20" s="1"/>
  <c r="U55" i="20"/>
  <c r="T55" i="20"/>
  <c r="T56" i="20" s="1"/>
  <c r="S55" i="20"/>
  <c r="S56" i="20" s="1"/>
  <c r="R55" i="20"/>
  <c r="R56" i="20" s="1"/>
  <c r="Q55" i="20"/>
  <c r="P55" i="20"/>
  <c r="O55" i="20"/>
  <c r="O56" i="20" s="1"/>
  <c r="N55" i="20"/>
  <c r="N56" i="20" s="1"/>
  <c r="M55" i="20"/>
  <c r="L55" i="20"/>
  <c r="L56" i="20" s="1"/>
  <c r="K55" i="20"/>
  <c r="K56" i="20" s="1"/>
  <c r="J55" i="20"/>
  <c r="J56" i="20" s="1"/>
  <c r="I55" i="20"/>
  <c r="AA55" i="20" s="1"/>
  <c r="H55" i="20"/>
  <c r="G55" i="20"/>
  <c r="G56" i="20" s="1"/>
  <c r="F55" i="20"/>
  <c r="F56" i="20" s="1"/>
  <c r="E55" i="20"/>
  <c r="D55" i="20"/>
  <c r="D56" i="20" s="1"/>
  <c r="AC54" i="20"/>
  <c r="V54" i="20"/>
  <c r="U54" i="20"/>
  <c r="T54" i="20"/>
  <c r="S54" i="20"/>
  <c r="N54" i="20"/>
  <c r="M54" i="20"/>
  <c r="L54" i="20"/>
  <c r="K54" i="20"/>
  <c r="D54" i="20"/>
  <c r="AD53" i="20"/>
  <c r="W53" i="20"/>
  <c r="V53" i="20"/>
  <c r="U53" i="20"/>
  <c r="T53" i="20"/>
  <c r="S53" i="20"/>
  <c r="R53" i="20"/>
  <c r="Q53" i="20"/>
  <c r="P53" i="20"/>
  <c r="O53" i="20"/>
  <c r="N53" i="20"/>
  <c r="M53" i="20"/>
  <c r="L53" i="20"/>
  <c r="K53" i="20"/>
  <c r="J53" i="20"/>
  <c r="I53" i="20"/>
  <c r="H53" i="20"/>
  <c r="G53" i="20"/>
  <c r="F53" i="20"/>
  <c r="AA53" i="20" s="1"/>
  <c r="E53" i="20"/>
  <c r="D53" i="20"/>
  <c r="Z53" i="20" s="1"/>
  <c r="AC52" i="20"/>
  <c r="W52" i="20"/>
  <c r="V52" i="20"/>
  <c r="U52" i="20"/>
  <c r="T52" i="20"/>
  <c r="S52" i="20"/>
  <c r="R52" i="20"/>
  <c r="Q52" i="20"/>
  <c r="P52" i="20"/>
  <c r="O52" i="20"/>
  <c r="N52" i="20"/>
  <c r="M52" i="20"/>
  <c r="L52" i="20"/>
  <c r="K52" i="20"/>
  <c r="J52" i="20"/>
  <c r="I52" i="20"/>
  <c r="H52" i="20"/>
  <c r="G52" i="20"/>
  <c r="F52" i="20"/>
  <c r="E52" i="20"/>
  <c r="D52" i="20"/>
  <c r="AA52" i="20" s="1"/>
  <c r="Y51" i="20"/>
  <c r="W51" i="20"/>
  <c r="V51" i="20"/>
  <c r="U51" i="20"/>
  <c r="T51" i="20"/>
  <c r="S51" i="20"/>
  <c r="R51" i="20"/>
  <c r="Q51" i="20"/>
  <c r="P51" i="20"/>
  <c r="O51" i="20"/>
  <c r="N51" i="20"/>
  <c r="M51" i="20"/>
  <c r="L51" i="20"/>
  <c r="K51" i="20"/>
  <c r="J51" i="20"/>
  <c r="I51" i="20"/>
  <c r="H51" i="20"/>
  <c r="G51" i="20"/>
  <c r="F51" i="20"/>
  <c r="E51" i="20"/>
  <c r="X51" i="20" s="1"/>
  <c r="X46" i="20" s="1"/>
  <c r="D51" i="20"/>
  <c r="Y50" i="20"/>
  <c r="W50" i="20"/>
  <c r="V50" i="20"/>
  <c r="U50" i="20"/>
  <c r="T50" i="20"/>
  <c r="S50" i="20"/>
  <c r="R50" i="20"/>
  <c r="Q50" i="20"/>
  <c r="P50" i="20"/>
  <c r="O50" i="20"/>
  <c r="N50" i="20"/>
  <c r="M50" i="20"/>
  <c r="L50" i="20"/>
  <c r="K50" i="20"/>
  <c r="J50" i="20"/>
  <c r="I50" i="20"/>
  <c r="H50" i="20"/>
  <c r="G50" i="20"/>
  <c r="F50" i="20"/>
  <c r="E50" i="20"/>
  <c r="D50" i="20"/>
  <c r="X50" i="20" s="1"/>
  <c r="W47" i="20"/>
  <c r="W54" i="20" s="1"/>
  <c r="V47" i="20"/>
  <c r="U47" i="20"/>
  <c r="T47" i="20"/>
  <c r="S47" i="20"/>
  <c r="R47" i="20"/>
  <c r="R54" i="20" s="1"/>
  <c r="Q47" i="20"/>
  <c r="Q54" i="20" s="1"/>
  <c r="P47" i="20"/>
  <c r="P54" i="20" s="1"/>
  <c r="O47" i="20"/>
  <c r="O54" i="20" s="1"/>
  <c r="N47" i="20"/>
  <c r="M47" i="20"/>
  <c r="L47" i="20"/>
  <c r="K47" i="20"/>
  <c r="J47" i="20"/>
  <c r="J54" i="20" s="1"/>
  <c r="I47" i="20"/>
  <c r="I54" i="20" s="1"/>
  <c r="H47" i="20"/>
  <c r="H54" i="20" s="1"/>
  <c r="G47" i="20"/>
  <c r="G54" i="20" s="1"/>
  <c r="F47" i="20"/>
  <c r="AB54" i="20" s="1"/>
  <c r="E47" i="20"/>
  <c r="E54" i="20" s="1"/>
  <c r="D47" i="20"/>
  <c r="Y46" i="20"/>
  <c r="Y44" i="20"/>
  <c r="X44" i="20"/>
  <c r="AD36" i="20"/>
  <c r="Y33" i="20" s="1"/>
  <c r="AC36" i="20"/>
  <c r="AB36" i="20"/>
  <c r="W36" i="20"/>
  <c r="V36" i="20"/>
  <c r="U36" i="20"/>
  <c r="T36" i="20"/>
  <c r="S36" i="20"/>
  <c r="R36" i="20"/>
  <c r="Q36" i="20"/>
  <c r="P36" i="20"/>
  <c r="O36" i="20"/>
  <c r="N36" i="20"/>
  <c r="M36" i="20"/>
  <c r="L36" i="20"/>
  <c r="K36" i="20"/>
  <c r="J36" i="20"/>
  <c r="I36" i="20"/>
  <c r="Y36" i="20" s="1"/>
  <c r="H36" i="20"/>
  <c r="G36" i="20"/>
  <c r="F36" i="20"/>
  <c r="E36" i="20"/>
  <c r="AA36" i="20" s="1"/>
  <c r="D36" i="20"/>
  <c r="Y35" i="20"/>
  <c r="X35" i="20"/>
  <c r="W35" i="20"/>
  <c r="V35" i="20"/>
  <c r="U35" i="20"/>
  <c r="T35" i="20"/>
  <c r="S35" i="20"/>
  <c r="R35" i="20"/>
  <c r="Q35" i="20"/>
  <c r="P35" i="20"/>
  <c r="O35" i="20"/>
  <c r="N35" i="20"/>
  <c r="M35" i="20"/>
  <c r="L35" i="20"/>
  <c r="K35" i="20"/>
  <c r="J35" i="20"/>
  <c r="I35" i="20"/>
  <c r="H35" i="20"/>
  <c r="G35" i="20"/>
  <c r="F35" i="20"/>
  <c r="E35" i="20"/>
  <c r="D35" i="20"/>
  <c r="Y34" i="20"/>
  <c r="W34" i="20"/>
  <c r="V34" i="20"/>
  <c r="U34" i="20"/>
  <c r="T34" i="20"/>
  <c r="S34" i="20"/>
  <c r="R34" i="20"/>
  <c r="Q34" i="20"/>
  <c r="P34" i="20"/>
  <c r="O34" i="20"/>
  <c r="N34" i="20"/>
  <c r="M34" i="20"/>
  <c r="L34" i="20"/>
  <c r="K34" i="20"/>
  <c r="J34" i="20"/>
  <c r="I34" i="20"/>
  <c r="H34" i="20"/>
  <c r="G34" i="20"/>
  <c r="F34" i="20"/>
  <c r="E34" i="20"/>
  <c r="D34" i="20"/>
  <c r="X34" i="20" s="1"/>
  <c r="Y32" i="20"/>
  <c r="Y31" i="20"/>
  <c r="X31" i="20"/>
  <c r="O41" i="24" l="1"/>
  <c r="P41" i="24" s="1"/>
  <c r="P24" i="23"/>
  <c r="G19" i="23"/>
  <c r="O74" i="24"/>
  <c r="P74" i="24" s="1"/>
  <c r="P71" i="24" s="1"/>
  <c r="P72" i="24" s="1"/>
  <c r="P69" i="24" s="1"/>
  <c r="O52" i="24"/>
  <c r="P52" i="24" s="1"/>
  <c r="P49" i="24" s="1"/>
  <c r="P50" i="24" s="1"/>
  <c r="P47" i="24" s="1"/>
  <c r="O63" i="24"/>
  <c r="P63" i="24" s="1"/>
  <c r="P60" i="24" s="1"/>
  <c r="P61" i="24" s="1"/>
  <c r="P58" i="24" s="1"/>
  <c r="O74" i="23"/>
  <c r="P74" i="23" s="1"/>
  <c r="P71" i="23" s="1"/>
  <c r="P72" i="23" s="1"/>
  <c r="P69" i="23" s="1"/>
  <c r="O52" i="23"/>
  <c r="P52" i="23" s="1"/>
  <c r="P49" i="23" s="1"/>
  <c r="P50" i="23" s="1"/>
  <c r="AA158" i="20"/>
  <c r="AA62" i="20"/>
  <c r="Y62" i="20"/>
  <c r="F54" i="20"/>
  <c r="AA63" i="20"/>
  <c r="X50" i="21"/>
  <c r="U63" i="21" s="1"/>
  <c r="AA54" i="21"/>
  <c r="AA62" i="21"/>
  <c r="AA63" i="21"/>
  <c r="AA36" i="21"/>
  <c r="Y54" i="21"/>
  <c r="X54" i="21" s="1"/>
  <c r="AA156" i="21"/>
  <c r="Z156" i="21"/>
  <c r="X156" i="21" s="1"/>
  <c r="Y156" i="21"/>
  <c r="X32" i="21"/>
  <c r="AA135" i="21"/>
  <c r="Z135" i="21"/>
  <c r="X135" i="21" s="1"/>
  <c r="Y135" i="21"/>
  <c r="R63" i="21"/>
  <c r="X57" i="21"/>
  <c r="Y33" i="21"/>
  <c r="AC53" i="21"/>
  <c r="Z54" i="21"/>
  <c r="G56" i="21"/>
  <c r="AA57" i="21"/>
  <c r="Z58" i="21"/>
  <c r="Y59" i="21"/>
  <c r="X59" i="21" s="1"/>
  <c r="Z60" i="21"/>
  <c r="AA133" i="21"/>
  <c r="Y134" i="21"/>
  <c r="AA154" i="21"/>
  <c r="Y155" i="21"/>
  <c r="AB53" i="21"/>
  <c r="Y55" i="21"/>
  <c r="X55" i="21" s="1"/>
  <c r="Z59" i="21"/>
  <c r="Y61" i="21"/>
  <c r="X61" i="21" s="1"/>
  <c r="AB133" i="21"/>
  <c r="Z134" i="21"/>
  <c r="AB154" i="21"/>
  <c r="Z155" i="21"/>
  <c r="Z154" i="21"/>
  <c r="Y36" i="21"/>
  <c r="AB54" i="21"/>
  <c r="Z55" i="21"/>
  <c r="Z61" i="21"/>
  <c r="AC133" i="21"/>
  <c r="AA134" i="21"/>
  <c r="AC154" i="21"/>
  <c r="AA155" i="21"/>
  <c r="Z36" i="21"/>
  <c r="X36" i="21" s="1"/>
  <c r="Y52" i="21"/>
  <c r="X52" i="21" s="1"/>
  <c r="Z62" i="21"/>
  <c r="X62" i="21" s="1"/>
  <c r="AD133" i="21"/>
  <c r="AB134" i="21"/>
  <c r="Y136" i="21"/>
  <c r="Y137" i="21"/>
  <c r="AD154" i="21"/>
  <c r="AB155" i="21"/>
  <c r="Y157" i="21"/>
  <c r="Y158" i="21"/>
  <c r="Y53" i="21"/>
  <c r="X53" i="21" s="1"/>
  <c r="AC134" i="21"/>
  <c r="Z136" i="21"/>
  <c r="X136" i="21" s="1"/>
  <c r="Z137" i="21"/>
  <c r="X137" i="21" s="1"/>
  <c r="AC155" i="21"/>
  <c r="Z157" i="21"/>
  <c r="Z158" i="21"/>
  <c r="X158" i="21" s="1"/>
  <c r="Z53" i="21"/>
  <c r="Y133" i="21"/>
  <c r="Y154" i="21"/>
  <c r="U63" i="20"/>
  <c r="X32" i="20"/>
  <c r="R63" i="20"/>
  <c r="X57" i="20"/>
  <c r="AA156" i="20"/>
  <c r="AA54" i="20"/>
  <c r="AB53" i="20"/>
  <c r="Y54" i="20"/>
  <c r="X54" i="20" s="1"/>
  <c r="Z57" i="20"/>
  <c r="Y58" i="20"/>
  <c r="X59" i="20" s="1"/>
  <c r="Y60" i="20"/>
  <c r="X61" i="20" s="1"/>
  <c r="Z133" i="20"/>
  <c r="Z154" i="20"/>
  <c r="X33" i="20"/>
  <c r="AC53" i="20"/>
  <c r="Z54" i="20"/>
  <c r="AA57" i="20"/>
  <c r="Z58" i="20"/>
  <c r="Y59" i="20"/>
  <c r="Z60" i="20"/>
  <c r="AA133" i="20"/>
  <c r="Y134" i="20"/>
  <c r="AA154" i="20"/>
  <c r="Y155" i="20"/>
  <c r="Y55" i="20"/>
  <c r="X55" i="20" s="1"/>
  <c r="Y61" i="20"/>
  <c r="AB133" i="20"/>
  <c r="AB154" i="20"/>
  <c r="Z36" i="20"/>
  <c r="X36" i="20" s="1"/>
  <c r="Y52" i="20"/>
  <c r="X52" i="20" s="1"/>
  <c r="Z62" i="20"/>
  <c r="X62" i="20" s="1"/>
  <c r="H25" i="20" s="1"/>
  <c r="AD133" i="20"/>
  <c r="AB134" i="20"/>
  <c r="Y136" i="20"/>
  <c r="Y137" i="20"/>
  <c r="AD154" i="20"/>
  <c r="AB155" i="20"/>
  <c r="Y157" i="20"/>
  <c r="Y158" i="20"/>
  <c r="Z52" i="20"/>
  <c r="Y53" i="20"/>
  <c r="X53" i="20" s="1"/>
  <c r="AC134" i="20"/>
  <c r="J135" i="20"/>
  <c r="Y135" i="20" s="1"/>
  <c r="Z136" i="20"/>
  <c r="Z137" i="20"/>
  <c r="X137" i="20" s="1"/>
  <c r="AC155" i="20"/>
  <c r="J156" i="20"/>
  <c r="Z156" i="20" s="1"/>
  <c r="Z157" i="20"/>
  <c r="X157" i="20" s="1"/>
  <c r="Z158" i="20"/>
  <c r="AC133" i="20"/>
  <c r="AC154" i="20"/>
  <c r="Y133" i="20"/>
  <c r="Y154" i="20"/>
  <c r="D47" i="2"/>
  <c r="E47" i="2"/>
  <c r="F47" i="2"/>
  <c r="G47" i="2"/>
  <c r="H47" i="2"/>
  <c r="I21" i="19"/>
  <c r="H42" i="19"/>
  <c r="BL40" i="19"/>
  <c r="BK40" i="19"/>
  <c r="BJ40" i="19"/>
  <c r="BI40" i="19"/>
  <c r="BH40" i="19"/>
  <c r="BH35" i="19" s="1"/>
  <c r="BH39" i="19" s="1"/>
  <c r="BG40" i="19"/>
  <c r="BG35" i="19" s="1"/>
  <c r="BG39" i="19" s="1"/>
  <c r="BF40" i="19"/>
  <c r="BE40" i="19"/>
  <c r="BD40" i="19"/>
  <c r="BC40" i="19"/>
  <c r="BB40" i="19"/>
  <c r="BA40" i="19"/>
  <c r="AZ40" i="19"/>
  <c r="AZ35" i="19" s="1"/>
  <c r="AZ39" i="19" s="1"/>
  <c r="AY40" i="19"/>
  <c r="AY35" i="19" s="1"/>
  <c r="AY39" i="19" s="1"/>
  <c r="AX40" i="19"/>
  <c r="AW40" i="19"/>
  <c r="AV40" i="19"/>
  <c r="AU40" i="19"/>
  <c r="AT40" i="19"/>
  <c r="AS40" i="19"/>
  <c r="AR40" i="19"/>
  <c r="AR35" i="19" s="1"/>
  <c r="AR39" i="19" s="1"/>
  <c r="AQ40" i="19"/>
  <c r="AQ35" i="19" s="1"/>
  <c r="AQ39" i="19" s="1"/>
  <c r="AP40" i="19"/>
  <c r="AO40" i="19"/>
  <c r="AN40" i="19"/>
  <c r="AM40" i="19"/>
  <c r="AL40" i="19"/>
  <c r="AK40" i="19"/>
  <c r="AJ40" i="19"/>
  <c r="AJ35" i="19" s="1"/>
  <c r="AJ39" i="19" s="1"/>
  <c r="AI40" i="19"/>
  <c r="AI35" i="19" s="1"/>
  <c r="AI39" i="19" s="1"/>
  <c r="AH40" i="19"/>
  <c r="AG40" i="19"/>
  <c r="AF40" i="19"/>
  <c r="AE40" i="19"/>
  <c r="AD40" i="19"/>
  <c r="AC40" i="19"/>
  <c r="AB40" i="19"/>
  <c r="AB35" i="19" s="1"/>
  <c r="AB39" i="19" s="1"/>
  <c r="AA40" i="19"/>
  <c r="AA35" i="19" s="1"/>
  <c r="AA39" i="19" s="1"/>
  <c r="Z40" i="19"/>
  <c r="Y40" i="19"/>
  <c r="X40" i="19"/>
  <c r="W40" i="19"/>
  <c r="V40" i="19"/>
  <c r="U40" i="19"/>
  <c r="T40" i="19"/>
  <c r="T35" i="19" s="1"/>
  <c r="T39" i="19" s="1"/>
  <c r="S40" i="19"/>
  <c r="S35" i="19" s="1"/>
  <c r="S39" i="19" s="1"/>
  <c r="R40" i="19"/>
  <c r="Q40" i="19"/>
  <c r="P40" i="19"/>
  <c r="O40" i="19"/>
  <c r="N40" i="19"/>
  <c r="M40" i="19"/>
  <c r="L40" i="19"/>
  <c r="L35" i="19" s="1"/>
  <c r="L39" i="19" s="1"/>
  <c r="K40" i="19"/>
  <c r="K35" i="19" s="1"/>
  <c r="K39" i="19" s="1"/>
  <c r="J40" i="19"/>
  <c r="I40" i="19"/>
  <c r="BL37" i="19"/>
  <c r="BK37" i="19"/>
  <c r="BJ37" i="19"/>
  <c r="BI37" i="19"/>
  <c r="BH37" i="19"/>
  <c r="BG37" i="19"/>
  <c r="BF37" i="19"/>
  <c r="BE37" i="19"/>
  <c r="BD37"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H40" i="19" s="1"/>
  <c r="G37" i="19"/>
  <c r="G40" i="19" s="1"/>
  <c r="F37" i="19"/>
  <c r="F40" i="19" s="1"/>
  <c r="E37" i="19"/>
  <c r="E40" i="19" s="1"/>
  <c r="BL36" i="19"/>
  <c r="BK36" i="19"/>
  <c r="BJ36" i="19"/>
  <c r="BI36" i="19"/>
  <c r="BH36" i="19"/>
  <c r="BG36" i="19"/>
  <c r="BF36" i="19"/>
  <c r="BE36" i="19"/>
  <c r="BD36"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BL35" i="19"/>
  <c r="BL39" i="19" s="1"/>
  <c r="BK35" i="19"/>
  <c r="BK39" i="19" s="1"/>
  <c r="BJ35" i="19"/>
  <c r="BJ39" i="19" s="1"/>
  <c r="BI35" i="19"/>
  <c r="BI39" i="19" s="1"/>
  <c r="BF35" i="19"/>
  <c r="BF39" i="19" s="1"/>
  <c r="BE35" i="19"/>
  <c r="BE39" i="19" s="1"/>
  <c r="BD35" i="19"/>
  <c r="BD39" i="19" s="1"/>
  <c r="BC35" i="19"/>
  <c r="BC39" i="19" s="1"/>
  <c r="BB35" i="19"/>
  <c r="BB39" i="19" s="1"/>
  <c r="BA35" i="19"/>
  <c r="BA39" i="19" s="1"/>
  <c r="AX35" i="19"/>
  <c r="AX39" i="19" s="1"/>
  <c r="AW35" i="19"/>
  <c r="AW39" i="19" s="1"/>
  <c r="AV35" i="19"/>
  <c r="AV39" i="19" s="1"/>
  <c r="AU35" i="19"/>
  <c r="AU39" i="19" s="1"/>
  <c r="AT35" i="19"/>
  <c r="AT39" i="19" s="1"/>
  <c r="AS35" i="19"/>
  <c r="AS39" i="19" s="1"/>
  <c r="AP35" i="19"/>
  <c r="AP39" i="19" s="1"/>
  <c r="AO35" i="19"/>
  <c r="AO39" i="19" s="1"/>
  <c r="AN35" i="19"/>
  <c r="AN39" i="19" s="1"/>
  <c r="AM35" i="19"/>
  <c r="AM39" i="19" s="1"/>
  <c r="AL35" i="19"/>
  <c r="AL39" i="19" s="1"/>
  <c r="AK35" i="19"/>
  <c r="AK39" i="19" s="1"/>
  <c r="AH35" i="19"/>
  <c r="AH39" i="19" s="1"/>
  <c r="AG35" i="19"/>
  <c r="AG39" i="19" s="1"/>
  <c r="AF35" i="19"/>
  <c r="AF39" i="19" s="1"/>
  <c r="AE35" i="19"/>
  <c r="AE39" i="19" s="1"/>
  <c r="AD35" i="19"/>
  <c r="AD39" i="19" s="1"/>
  <c r="AC35" i="19"/>
  <c r="AC39" i="19" s="1"/>
  <c r="Z35" i="19"/>
  <c r="Z39" i="19" s="1"/>
  <c r="Y35" i="19"/>
  <c r="Y39" i="19" s="1"/>
  <c r="X35" i="19"/>
  <c r="X39" i="19" s="1"/>
  <c r="W35" i="19"/>
  <c r="W39" i="19" s="1"/>
  <c r="V35" i="19"/>
  <c r="V39" i="19" s="1"/>
  <c r="U35" i="19"/>
  <c r="U39" i="19" s="1"/>
  <c r="R35" i="19"/>
  <c r="R39" i="19" s="1"/>
  <c r="Q35" i="19"/>
  <c r="Q39" i="19" s="1"/>
  <c r="P35" i="19"/>
  <c r="P39" i="19" s="1"/>
  <c r="O35" i="19"/>
  <c r="O39" i="19" s="1"/>
  <c r="N35" i="19"/>
  <c r="N39" i="19" s="1"/>
  <c r="M35" i="19"/>
  <c r="M39" i="19" s="1"/>
  <c r="J35" i="19"/>
  <c r="J39" i="19" s="1"/>
  <c r="I35" i="19"/>
  <c r="I39" i="19" s="1"/>
  <c r="BL34" i="19"/>
  <c r="BL38" i="19" s="1"/>
  <c r="BK34" i="19"/>
  <c r="BK38" i="19" s="1"/>
  <c r="BK41" i="19" s="1"/>
  <c r="BJ34" i="19"/>
  <c r="BJ38" i="19" s="1"/>
  <c r="BJ41" i="19" s="1"/>
  <c r="BI34" i="19"/>
  <c r="BI38" i="19" s="1"/>
  <c r="BI41" i="19" s="1"/>
  <c r="BH34" i="19"/>
  <c r="BH38" i="19" s="1"/>
  <c r="BH41" i="19" s="1"/>
  <c r="BG34" i="19"/>
  <c r="BG38" i="19" s="1"/>
  <c r="BG41" i="19" s="1"/>
  <c r="BF34" i="19"/>
  <c r="BF38" i="19" s="1"/>
  <c r="BF41" i="19" s="1"/>
  <c r="BE34" i="19"/>
  <c r="BE38" i="19" s="1"/>
  <c r="BD34" i="19"/>
  <c r="BD38" i="19" s="1"/>
  <c r="BC34" i="19"/>
  <c r="BC38" i="19" s="1"/>
  <c r="BB34" i="19"/>
  <c r="BB38" i="19" s="1"/>
  <c r="BA34" i="19"/>
  <c r="BA38" i="19" s="1"/>
  <c r="BA41" i="19" s="1"/>
  <c r="AZ34" i="19"/>
  <c r="AZ38" i="19" s="1"/>
  <c r="AZ41" i="19" s="1"/>
  <c r="AY34" i="19"/>
  <c r="AY38" i="19" s="1"/>
  <c r="AY41" i="19" s="1"/>
  <c r="AX34" i="19"/>
  <c r="AX38" i="19" s="1"/>
  <c r="AX41" i="19" s="1"/>
  <c r="AW34" i="19"/>
  <c r="AW38" i="19" s="1"/>
  <c r="AW41" i="19" s="1"/>
  <c r="AV34" i="19"/>
  <c r="AV38" i="19" s="1"/>
  <c r="AU34" i="19"/>
  <c r="AU38" i="19" s="1"/>
  <c r="AT34" i="19"/>
  <c r="AT38" i="19" s="1"/>
  <c r="AS34" i="19"/>
  <c r="AS38" i="19" s="1"/>
  <c r="AR34" i="19"/>
  <c r="AR38" i="19" s="1"/>
  <c r="AR41" i="19" s="1"/>
  <c r="AQ34" i="19"/>
  <c r="AQ38" i="19" s="1"/>
  <c r="AQ41" i="19" s="1"/>
  <c r="AP34" i="19"/>
  <c r="AP38" i="19" s="1"/>
  <c r="AP41" i="19" s="1"/>
  <c r="AO34" i="19"/>
  <c r="AO38" i="19" s="1"/>
  <c r="AO41" i="19" s="1"/>
  <c r="AN34" i="19"/>
  <c r="AN38" i="19" s="1"/>
  <c r="AN41" i="19" s="1"/>
  <c r="AM34" i="19"/>
  <c r="AM38" i="19" s="1"/>
  <c r="AM41" i="19" s="1"/>
  <c r="AL34" i="19"/>
  <c r="AL38" i="19" s="1"/>
  <c r="AL41" i="19" s="1"/>
  <c r="AK34" i="19"/>
  <c r="AK38" i="19" s="1"/>
  <c r="AK41" i="19" s="1"/>
  <c r="AJ34" i="19"/>
  <c r="AJ38" i="19" s="1"/>
  <c r="AJ41" i="19" s="1"/>
  <c r="AI34" i="19"/>
  <c r="AI38" i="19" s="1"/>
  <c r="AI41" i="19" s="1"/>
  <c r="AH34" i="19"/>
  <c r="AH38" i="19" s="1"/>
  <c r="AH41" i="19" s="1"/>
  <c r="AG34" i="19"/>
  <c r="AG38" i="19" s="1"/>
  <c r="AF34" i="19"/>
  <c r="AF38" i="19" s="1"/>
  <c r="AE34" i="19"/>
  <c r="AE38" i="19" s="1"/>
  <c r="AE41" i="19" s="1"/>
  <c r="AD34" i="19"/>
  <c r="AD38" i="19" s="1"/>
  <c r="AD41" i="19" s="1"/>
  <c r="AC34" i="19"/>
  <c r="AC38" i="19" s="1"/>
  <c r="AC41" i="19" s="1"/>
  <c r="AB34" i="19"/>
  <c r="AB38" i="19" s="1"/>
  <c r="AB41" i="19" s="1"/>
  <c r="AA34" i="19"/>
  <c r="AA38" i="19" s="1"/>
  <c r="AA41" i="19" s="1"/>
  <c r="Z34" i="19"/>
  <c r="Z38" i="19" s="1"/>
  <c r="Z41" i="19" s="1"/>
  <c r="Y34" i="19"/>
  <c r="Y38" i="19" s="1"/>
  <c r="X34" i="19"/>
  <c r="X38" i="19" s="1"/>
  <c r="W34" i="19"/>
  <c r="W38" i="19" s="1"/>
  <c r="V34" i="19"/>
  <c r="V38" i="19" s="1"/>
  <c r="U34" i="19"/>
  <c r="U38" i="19" s="1"/>
  <c r="U41" i="19" s="1"/>
  <c r="T34" i="19"/>
  <c r="T38" i="19" s="1"/>
  <c r="T41" i="19" s="1"/>
  <c r="S34" i="19"/>
  <c r="S38" i="19" s="1"/>
  <c r="S41" i="19" s="1"/>
  <c r="R34" i="19"/>
  <c r="R38" i="19" s="1"/>
  <c r="R41" i="19" s="1"/>
  <c r="Q34" i="19"/>
  <c r="Q38" i="19" s="1"/>
  <c r="Q41" i="19" s="1"/>
  <c r="P34" i="19"/>
  <c r="P38" i="19" s="1"/>
  <c r="O34" i="19"/>
  <c r="O38" i="19" s="1"/>
  <c r="N34" i="19"/>
  <c r="N38" i="19" s="1"/>
  <c r="M34" i="19"/>
  <c r="M38" i="19" s="1"/>
  <c r="L34" i="19"/>
  <c r="L38" i="19" s="1"/>
  <c r="L41" i="19" s="1"/>
  <c r="K34" i="19"/>
  <c r="K38" i="19" s="1"/>
  <c r="K41" i="19" s="1"/>
  <c r="J34" i="19"/>
  <c r="J38" i="19" s="1"/>
  <c r="J41" i="19" s="1"/>
  <c r="I34" i="19"/>
  <c r="I38" i="19" s="1"/>
  <c r="I41" i="19" s="1"/>
  <c r="BL33" i="19"/>
  <c r="BK33" i="19"/>
  <c r="BJ33" i="19"/>
  <c r="BI33" i="19"/>
  <c r="BF33" i="19"/>
  <c r="BE33" i="19"/>
  <c r="BD33" i="19"/>
  <c r="BC33" i="19"/>
  <c r="BB33" i="19"/>
  <c r="BA33" i="19"/>
  <c r="AX33" i="19"/>
  <c r="AW33" i="19"/>
  <c r="AV33" i="19"/>
  <c r="AU33" i="19"/>
  <c r="AT33" i="19"/>
  <c r="AS33" i="19"/>
  <c r="AP33" i="19"/>
  <c r="AO33" i="19"/>
  <c r="AN33" i="19"/>
  <c r="AM33" i="19"/>
  <c r="AL33" i="19"/>
  <c r="AK33" i="19"/>
  <c r="AH33" i="19"/>
  <c r="AG33" i="19"/>
  <c r="AF33" i="19"/>
  <c r="AE33" i="19"/>
  <c r="AD33" i="19"/>
  <c r="AC33" i="19"/>
  <c r="Z33" i="19"/>
  <c r="Y33" i="19"/>
  <c r="X33" i="19"/>
  <c r="W33" i="19"/>
  <c r="V33" i="19"/>
  <c r="U33" i="19"/>
  <c r="R33" i="19"/>
  <c r="Q33" i="19"/>
  <c r="P33" i="19"/>
  <c r="O33" i="19"/>
  <c r="N33" i="19"/>
  <c r="M33" i="19"/>
  <c r="J33" i="19"/>
  <c r="I33" i="19"/>
  <c r="BL32" i="19"/>
  <c r="BK32" i="19"/>
  <c r="BJ32" i="19"/>
  <c r="BI32" i="19"/>
  <c r="BH32" i="19"/>
  <c r="BG32" i="19"/>
  <c r="BF32"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42" i="18"/>
  <c r="BL40" i="18"/>
  <c r="BK40" i="18"/>
  <c r="BJ40" i="18"/>
  <c r="BI40" i="18"/>
  <c r="BH40" i="18"/>
  <c r="BG40" i="18"/>
  <c r="BF40" i="18"/>
  <c r="BE40" i="18"/>
  <c r="BE35" i="18" s="1"/>
  <c r="BE39" i="18" s="1"/>
  <c r="BD40" i="18"/>
  <c r="BC40" i="18"/>
  <c r="BB40" i="18"/>
  <c r="BA40" i="18"/>
  <c r="AZ40" i="18"/>
  <c r="AY40" i="18"/>
  <c r="AX40" i="18"/>
  <c r="AW40" i="18"/>
  <c r="AW35" i="18" s="1"/>
  <c r="AW39" i="18" s="1"/>
  <c r="AV40" i="18"/>
  <c r="AU40" i="18"/>
  <c r="AT40" i="18"/>
  <c r="AS40" i="18"/>
  <c r="AR40" i="18"/>
  <c r="AQ40" i="18"/>
  <c r="AP40" i="18"/>
  <c r="AO40" i="18"/>
  <c r="AO35" i="18" s="1"/>
  <c r="AO39" i="18" s="1"/>
  <c r="AN40" i="18"/>
  <c r="AM40" i="18"/>
  <c r="AL40" i="18"/>
  <c r="AK40" i="18"/>
  <c r="AJ40" i="18"/>
  <c r="AI40" i="18"/>
  <c r="AH40" i="18"/>
  <c r="AG40" i="18"/>
  <c r="AG35" i="18" s="1"/>
  <c r="AG39" i="18" s="1"/>
  <c r="AF40" i="18"/>
  <c r="AE40" i="18"/>
  <c r="AD40" i="18"/>
  <c r="AC40" i="18"/>
  <c r="AB40" i="18"/>
  <c r="AA40" i="18"/>
  <c r="Z40" i="18"/>
  <c r="Y40" i="18"/>
  <c r="Y35" i="18" s="1"/>
  <c r="Y39" i="18" s="1"/>
  <c r="X40" i="18"/>
  <c r="W40" i="18"/>
  <c r="V40" i="18"/>
  <c r="U40" i="18"/>
  <c r="T40" i="18"/>
  <c r="S40" i="18"/>
  <c r="R40" i="18"/>
  <c r="Q40" i="18"/>
  <c r="Q35" i="18" s="1"/>
  <c r="Q39" i="18" s="1"/>
  <c r="P40" i="18"/>
  <c r="O40" i="18"/>
  <c r="N40" i="18"/>
  <c r="M40" i="18"/>
  <c r="L40" i="18"/>
  <c r="K40" i="18"/>
  <c r="J40" i="18"/>
  <c r="I40" i="18"/>
  <c r="I35" i="18" s="1"/>
  <c r="I39" i="18" s="1"/>
  <c r="BL37" i="18"/>
  <c r="BK37" i="18"/>
  <c r="BJ37" i="18"/>
  <c r="BI37" i="18"/>
  <c r="BH37" i="18"/>
  <c r="BG37" i="18"/>
  <c r="BF37" i="18"/>
  <c r="BE37" i="18"/>
  <c r="BD37" i="18"/>
  <c r="BC37" i="18"/>
  <c r="BB37" i="18"/>
  <c r="BA37" i="18"/>
  <c r="AZ37" i="18"/>
  <c r="AY37" i="18"/>
  <c r="AX37" i="18"/>
  <c r="AW37" i="18"/>
  <c r="AV37" i="18"/>
  <c r="AU37" i="18"/>
  <c r="AT37" i="18"/>
  <c r="AS37" i="18"/>
  <c r="AR37" i="18"/>
  <c r="AQ37" i="18"/>
  <c r="AP37" i="18"/>
  <c r="AO37" i="18"/>
  <c r="AN37" i="18"/>
  <c r="AM37" i="18"/>
  <c r="AL37" i="18"/>
  <c r="AK37"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H40" i="18" s="1"/>
  <c r="H32" i="18" s="1"/>
  <c r="G37" i="18"/>
  <c r="G40" i="18" s="1"/>
  <c r="G32" i="18" s="1"/>
  <c r="F37" i="18"/>
  <c r="F40" i="18" s="1"/>
  <c r="F32" i="18" s="1"/>
  <c r="E37" i="18"/>
  <c r="E40" i="18" s="1"/>
  <c r="E32" i="18" s="1"/>
  <c r="BL36" i="18"/>
  <c r="BK36" i="18"/>
  <c r="BJ36" i="18"/>
  <c r="BI36" i="18"/>
  <c r="BH36" i="18"/>
  <c r="BG36" i="18"/>
  <c r="BF36" i="18"/>
  <c r="BE36" i="18"/>
  <c r="BD36" i="18"/>
  <c r="BC36" i="18"/>
  <c r="BB36" i="18"/>
  <c r="BA36" i="18"/>
  <c r="AZ36" i="18"/>
  <c r="AY36" i="18"/>
  <c r="AX36" i="18"/>
  <c r="AW36" i="18"/>
  <c r="AV36" i="18"/>
  <c r="AU36" i="18"/>
  <c r="AT36" i="18"/>
  <c r="AS36" i="18"/>
  <c r="AR36" i="18"/>
  <c r="AQ36" i="18"/>
  <c r="AP36" i="18"/>
  <c r="AO36" i="18"/>
  <c r="AN36" i="18"/>
  <c r="AM36" i="18"/>
  <c r="AL36" i="18"/>
  <c r="AK36"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F36" i="18"/>
  <c r="E36" i="18"/>
  <c r="BL35" i="18"/>
  <c r="BL39" i="18" s="1"/>
  <c r="BK35" i="18"/>
  <c r="BK39" i="18" s="1"/>
  <c r="BJ35" i="18"/>
  <c r="BJ39" i="18" s="1"/>
  <c r="BI35" i="18"/>
  <c r="BI39" i="18" s="1"/>
  <c r="BH35" i="18"/>
  <c r="BH39" i="18" s="1"/>
  <c r="BG35" i="18"/>
  <c r="BG39" i="18" s="1"/>
  <c r="BF35" i="18"/>
  <c r="BF39" i="18" s="1"/>
  <c r="BD35" i="18"/>
  <c r="BD39" i="18" s="1"/>
  <c r="BC35" i="18"/>
  <c r="BC39" i="18" s="1"/>
  <c r="BB35" i="18"/>
  <c r="BB39" i="18" s="1"/>
  <c r="BA35" i="18"/>
  <c r="BA39" i="18" s="1"/>
  <c r="AZ35" i="18"/>
  <c r="AZ39" i="18" s="1"/>
  <c r="AY35" i="18"/>
  <c r="AY39" i="18" s="1"/>
  <c r="AX35" i="18"/>
  <c r="AX39" i="18" s="1"/>
  <c r="AV35" i="18"/>
  <c r="AV39" i="18" s="1"/>
  <c r="AU35" i="18"/>
  <c r="AU39" i="18" s="1"/>
  <c r="AT35" i="18"/>
  <c r="AT39" i="18" s="1"/>
  <c r="AS35" i="18"/>
  <c r="AS39" i="18" s="1"/>
  <c r="AR35" i="18"/>
  <c r="AR39" i="18" s="1"/>
  <c r="AQ35" i="18"/>
  <c r="AQ39" i="18" s="1"/>
  <c r="AP35" i="18"/>
  <c r="AP39" i="18" s="1"/>
  <c r="AN35" i="18"/>
  <c r="AN39" i="18" s="1"/>
  <c r="AM35" i="18"/>
  <c r="AM39" i="18" s="1"/>
  <c r="AL35" i="18"/>
  <c r="AL39" i="18" s="1"/>
  <c r="AK35" i="18"/>
  <c r="AK39" i="18" s="1"/>
  <c r="AJ35" i="18"/>
  <c r="AJ39" i="18" s="1"/>
  <c r="AI35" i="18"/>
  <c r="AI39" i="18" s="1"/>
  <c r="AH35" i="18"/>
  <c r="AH39" i="18" s="1"/>
  <c r="AF35" i="18"/>
  <c r="AF39" i="18" s="1"/>
  <c r="AE35" i="18"/>
  <c r="AE39" i="18" s="1"/>
  <c r="AD35" i="18"/>
  <c r="AD39" i="18" s="1"/>
  <c r="AC35" i="18"/>
  <c r="AC39" i="18" s="1"/>
  <c r="AB35" i="18"/>
  <c r="AB39" i="18" s="1"/>
  <c r="AA35" i="18"/>
  <c r="AA39" i="18" s="1"/>
  <c r="Z35" i="18"/>
  <c r="Z39" i="18" s="1"/>
  <c r="X35" i="18"/>
  <c r="X39" i="18" s="1"/>
  <c r="W35" i="18"/>
  <c r="W39" i="18" s="1"/>
  <c r="V35" i="18"/>
  <c r="V39" i="18" s="1"/>
  <c r="U35" i="18"/>
  <c r="U39" i="18" s="1"/>
  <c r="T35" i="18"/>
  <c r="T39" i="18" s="1"/>
  <c r="S35" i="18"/>
  <c r="S39" i="18" s="1"/>
  <c r="R35" i="18"/>
  <c r="R39" i="18" s="1"/>
  <c r="P35" i="18"/>
  <c r="P39" i="18" s="1"/>
  <c r="O35" i="18"/>
  <c r="O39" i="18" s="1"/>
  <c r="N35" i="18"/>
  <c r="N39" i="18" s="1"/>
  <c r="M35" i="18"/>
  <c r="M39" i="18" s="1"/>
  <c r="L35" i="18"/>
  <c r="L39" i="18" s="1"/>
  <c r="K35" i="18"/>
  <c r="K39" i="18" s="1"/>
  <c r="J35" i="18"/>
  <c r="J39" i="18" s="1"/>
  <c r="BL34" i="18"/>
  <c r="BL38" i="18" s="1"/>
  <c r="BL41" i="18" s="1"/>
  <c r="BK34" i="18"/>
  <c r="BK38" i="18" s="1"/>
  <c r="BK41" i="18" s="1"/>
  <c r="BJ34" i="18"/>
  <c r="BJ38" i="18" s="1"/>
  <c r="BJ41" i="18" s="1"/>
  <c r="BI34" i="18"/>
  <c r="BI38" i="18" s="1"/>
  <c r="BI41" i="18" s="1"/>
  <c r="BH34" i="18"/>
  <c r="BH38" i="18" s="1"/>
  <c r="BH41" i="18" s="1"/>
  <c r="BG34" i="18"/>
  <c r="BG38" i="18" s="1"/>
  <c r="BG41" i="18" s="1"/>
  <c r="BF34" i="18"/>
  <c r="BF38" i="18" s="1"/>
  <c r="BE34" i="18"/>
  <c r="BE38" i="18" s="1"/>
  <c r="BE41" i="18" s="1"/>
  <c r="BD34" i="18"/>
  <c r="BD38" i="18" s="1"/>
  <c r="BC34" i="18"/>
  <c r="BC38" i="18" s="1"/>
  <c r="BC41" i="18" s="1"/>
  <c r="BB34" i="18"/>
  <c r="BB38" i="18" s="1"/>
  <c r="BB41" i="18" s="1"/>
  <c r="BA34" i="18"/>
  <c r="BA38" i="18" s="1"/>
  <c r="BA41" i="18" s="1"/>
  <c r="AZ34" i="18"/>
  <c r="AZ38" i="18" s="1"/>
  <c r="AZ41" i="18" s="1"/>
  <c r="AY34" i="18"/>
  <c r="AY38" i="18" s="1"/>
  <c r="AY41" i="18" s="1"/>
  <c r="AX34" i="18"/>
  <c r="AX38" i="18" s="1"/>
  <c r="AX41" i="18" s="1"/>
  <c r="AW34" i="18"/>
  <c r="AW38" i="18" s="1"/>
  <c r="AW41" i="18" s="1"/>
  <c r="AV34" i="18"/>
  <c r="AV38" i="18" s="1"/>
  <c r="AU34" i="18"/>
  <c r="AU38" i="18" s="1"/>
  <c r="AU41" i="18" s="1"/>
  <c r="AT34" i="18"/>
  <c r="AT38" i="18" s="1"/>
  <c r="AT41" i="18" s="1"/>
  <c r="AS34" i="18"/>
  <c r="AS38" i="18" s="1"/>
  <c r="AS41" i="18" s="1"/>
  <c r="AR34" i="18"/>
  <c r="AR38" i="18" s="1"/>
  <c r="AR41" i="18" s="1"/>
  <c r="AQ34" i="18"/>
  <c r="AQ38" i="18" s="1"/>
  <c r="AQ41" i="18" s="1"/>
  <c r="AP34" i="18"/>
  <c r="AP38" i="18" s="1"/>
  <c r="AP41" i="18" s="1"/>
  <c r="AO34" i="18"/>
  <c r="AO38" i="18" s="1"/>
  <c r="AO41" i="18" s="1"/>
  <c r="AN34" i="18"/>
  <c r="AN38" i="18" s="1"/>
  <c r="AN41" i="18" s="1"/>
  <c r="AM34" i="18"/>
  <c r="AM38" i="18" s="1"/>
  <c r="AL34" i="18"/>
  <c r="AL38" i="18" s="1"/>
  <c r="AL41" i="18" s="1"/>
  <c r="AK34" i="18"/>
  <c r="AK38" i="18" s="1"/>
  <c r="AK41" i="18" s="1"/>
  <c r="AJ34" i="18"/>
  <c r="AJ38" i="18" s="1"/>
  <c r="AJ41" i="18" s="1"/>
  <c r="AI34" i="18"/>
  <c r="AI38" i="18" s="1"/>
  <c r="AI41" i="18" s="1"/>
  <c r="AH34" i="18"/>
  <c r="AH38" i="18" s="1"/>
  <c r="AH41" i="18" s="1"/>
  <c r="AG34" i="18"/>
  <c r="AG38" i="18" s="1"/>
  <c r="AG41" i="18" s="1"/>
  <c r="AF34" i="18"/>
  <c r="AF38" i="18" s="1"/>
  <c r="AF41" i="18" s="1"/>
  <c r="AE34" i="18"/>
  <c r="AE38" i="18" s="1"/>
  <c r="AE41" i="18" s="1"/>
  <c r="AD34" i="18"/>
  <c r="AD38" i="18" s="1"/>
  <c r="AC34" i="18"/>
  <c r="AC38" i="18" s="1"/>
  <c r="AC41" i="18" s="1"/>
  <c r="AB34" i="18"/>
  <c r="AB38" i="18" s="1"/>
  <c r="AB41" i="18" s="1"/>
  <c r="AA34" i="18"/>
  <c r="AA38" i="18" s="1"/>
  <c r="AA41" i="18" s="1"/>
  <c r="Z34" i="18"/>
  <c r="Z38" i="18" s="1"/>
  <c r="Z41" i="18" s="1"/>
  <c r="Y34" i="18"/>
  <c r="Y38" i="18" s="1"/>
  <c r="Y41" i="18" s="1"/>
  <c r="X34" i="18"/>
  <c r="X38" i="18" s="1"/>
  <c r="X41" i="18" s="1"/>
  <c r="W34" i="18"/>
  <c r="W38" i="18" s="1"/>
  <c r="W41" i="18" s="1"/>
  <c r="V34" i="18"/>
  <c r="V38" i="18" s="1"/>
  <c r="V41" i="18" s="1"/>
  <c r="U34" i="18"/>
  <c r="U38" i="18" s="1"/>
  <c r="T34" i="18"/>
  <c r="T38" i="18" s="1"/>
  <c r="T41" i="18" s="1"/>
  <c r="S34" i="18"/>
  <c r="S38" i="18" s="1"/>
  <c r="S41" i="18" s="1"/>
  <c r="R34" i="18"/>
  <c r="R38" i="18" s="1"/>
  <c r="R41" i="18" s="1"/>
  <c r="Q34" i="18"/>
  <c r="Q38" i="18" s="1"/>
  <c r="Q41" i="18" s="1"/>
  <c r="P34" i="18"/>
  <c r="P38" i="18" s="1"/>
  <c r="P41" i="18" s="1"/>
  <c r="O34" i="18"/>
  <c r="O38" i="18" s="1"/>
  <c r="O41" i="18" s="1"/>
  <c r="N34" i="18"/>
  <c r="N38" i="18" s="1"/>
  <c r="N41" i="18" s="1"/>
  <c r="M34" i="18"/>
  <c r="M38" i="18" s="1"/>
  <c r="M41" i="18" s="1"/>
  <c r="L34" i="18"/>
  <c r="L38" i="18" s="1"/>
  <c r="K34" i="18"/>
  <c r="K38" i="18" s="1"/>
  <c r="K41" i="18" s="1"/>
  <c r="J34" i="18"/>
  <c r="J38" i="18" s="1"/>
  <c r="J41" i="18" s="1"/>
  <c r="I34" i="18"/>
  <c r="I38" i="18" s="1"/>
  <c r="I41" i="18" s="1"/>
  <c r="BL33" i="18"/>
  <c r="BK33" i="18"/>
  <c r="BJ33" i="18"/>
  <c r="BI33" i="18"/>
  <c r="BH33" i="18"/>
  <c r="BG33" i="18"/>
  <c r="BF33" i="18"/>
  <c r="BD33" i="18"/>
  <c r="BC33" i="18"/>
  <c r="BB33" i="18"/>
  <c r="BA33" i="18"/>
  <c r="AZ33" i="18"/>
  <c r="AY33" i="18"/>
  <c r="AX33" i="18"/>
  <c r="AV33" i="18"/>
  <c r="AU33" i="18"/>
  <c r="AT33" i="18"/>
  <c r="AS33" i="18"/>
  <c r="AR33" i="18"/>
  <c r="AQ33" i="18"/>
  <c r="AP33" i="18"/>
  <c r="AN33" i="18"/>
  <c r="AM33" i="18"/>
  <c r="AL33" i="18"/>
  <c r="AK33" i="18"/>
  <c r="AJ33" i="18"/>
  <c r="AI33" i="18"/>
  <c r="AH33" i="18"/>
  <c r="AF33" i="18"/>
  <c r="AE33" i="18"/>
  <c r="AD33" i="18"/>
  <c r="AC33" i="18"/>
  <c r="AB33" i="18"/>
  <c r="AA33" i="18"/>
  <c r="Z33" i="18"/>
  <c r="X33" i="18"/>
  <c r="W33" i="18"/>
  <c r="V33" i="18"/>
  <c r="U33" i="18"/>
  <c r="T33" i="18"/>
  <c r="S33" i="18"/>
  <c r="R33" i="18"/>
  <c r="P33" i="18"/>
  <c r="O33" i="18"/>
  <c r="N33" i="18"/>
  <c r="M33" i="18"/>
  <c r="L33" i="18"/>
  <c r="K33" i="18"/>
  <c r="J33" i="18"/>
  <c r="BL32" i="18"/>
  <c r="BK32" i="18"/>
  <c r="BJ32" i="18"/>
  <c r="BI32" i="18"/>
  <c r="BH32" i="18"/>
  <c r="BG32" i="18"/>
  <c r="BF32" i="18"/>
  <c r="BE32" i="18"/>
  <c r="BD32" i="18"/>
  <c r="BC32" i="18"/>
  <c r="BB32" i="18"/>
  <c r="BA32" i="18"/>
  <c r="AZ32" i="18"/>
  <c r="AY32" i="18"/>
  <c r="AX32"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L32" i="18"/>
  <c r="K32" i="18"/>
  <c r="J32" i="18"/>
  <c r="I32" i="18"/>
  <c r="P38" i="24" l="1"/>
  <c r="P39" i="24" s="1"/>
  <c r="P47" i="23"/>
  <c r="X158" i="20"/>
  <c r="X136" i="20"/>
  <c r="Z63" i="20"/>
  <c r="X63" i="20" s="1"/>
  <c r="X157" i="21"/>
  <c r="X45" i="21"/>
  <c r="Z63" i="21"/>
  <c r="X63" i="21" s="1"/>
  <c r="H25" i="21" s="1"/>
  <c r="H116" i="21"/>
  <c r="X156" i="20"/>
  <c r="Z135" i="20"/>
  <c r="X135" i="20" s="1"/>
  <c r="AA135" i="20"/>
  <c r="Y156" i="20"/>
  <c r="G33" i="18"/>
  <c r="G35" i="18" s="1"/>
  <c r="G39" i="18" s="1"/>
  <c r="H33" i="18"/>
  <c r="H35" i="18" s="1"/>
  <c r="H39" i="18" s="1"/>
  <c r="F33" i="18"/>
  <c r="F35" i="18" s="1"/>
  <c r="F39" i="18" s="1"/>
  <c r="E33" i="18"/>
  <c r="E35" i="18" s="1"/>
  <c r="E39" i="18" s="1"/>
  <c r="H34" i="18"/>
  <c r="G34" i="18"/>
  <c r="G38" i="18" s="1"/>
  <c r="F34" i="18"/>
  <c r="F38" i="18" s="1"/>
  <c r="E34" i="18"/>
  <c r="BB41" i="19"/>
  <c r="O41" i="19"/>
  <c r="W41" i="19"/>
  <c r="AU41" i="19"/>
  <c r="BC41" i="19"/>
  <c r="G42" i="19"/>
  <c r="E34" i="19"/>
  <c r="E38" i="19" s="1"/>
  <c r="E32" i="19"/>
  <c r="F42" i="19"/>
  <c r="I42" i="19" s="1"/>
  <c r="E42" i="19"/>
  <c r="E33" i="19"/>
  <c r="N41" i="19"/>
  <c r="V41" i="19"/>
  <c r="P41" i="19"/>
  <c r="X41" i="19"/>
  <c r="AF41" i="19"/>
  <c r="AV41" i="19"/>
  <c r="BD41" i="19"/>
  <c r="BL41" i="19"/>
  <c r="F34" i="19"/>
  <c r="F38" i="19" s="1"/>
  <c r="F32" i="19"/>
  <c r="F33" i="19"/>
  <c r="F35" i="19" s="1"/>
  <c r="F39" i="19" s="1"/>
  <c r="M41" i="19"/>
  <c r="AS41" i="19"/>
  <c r="AT41" i="19"/>
  <c r="Y41" i="19"/>
  <c r="AG41" i="19"/>
  <c r="BE41" i="19"/>
  <c r="G35" i="19"/>
  <c r="G39" i="19" s="1"/>
  <c r="G34" i="19"/>
  <c r="G38" i="19" s="1"/>
  <c r="G32" i="19"/>
  <c r="G33" i="19"/>
  <c r="H34" i="19"/>
  <c r="H38" i="19" s="1"/>
  <c r="H32" i="19"/>
  <c r="H33" i="19"/>
  <c r="H35" i="19" s="1"/>
  <c r="H39" i="19" s="1"/>
  <c r="K33" i="19"/>
  <c r="S33" i="19"/>
  <c r="AA33" i="19"/>
  <c r="AI33" i="19"/>
  <c r="AQ33" i="19"/>
  <c r="AY33" i="19"/>
  <c r="BG33" i="19"/>
  <c r="L33" i="19"/>
  <c r="T33" i="19"/>
  <c r="AB33" i="19"/>
  <c r="AJ33" i="19"/>
  <c r="AR33" i="19"/>
  <c r="AZ33" i="19"/>
  <c r="BH33" i="19"/>
  <c r="L41" i="18"/>
  <c r="U41" i="18"/>
  <c r="AD41" i="18"/>
  <c r="G42" i="18"/>
  <c r="F42" i="18"/>
  <c r="E42" i="18"/>
  <c r="E38" i="18"/>
  <c r="AM41" i="18"/>
  <c r="AV41" i="18"/>
  <c r="BD41" i="18"/>
  <c r="H38" i="18"/>
  <c r="BF41" i="18"/>
  <c r="I33" i="18"/>
  <c r="Q33" i="18"/>
  <c r="Y33" i="18"/>
  <c r="AG33" i="18"/>
  <c r="AO33" i="18"/>
  <c r="AW33" i="18"/>
  <c r="BE33" i="18"/>
  <c r="P36" i="24" l="1"/>
  <c r="G19" i="24" s="1"/>
  <c r="E35" i="19"/>
  <c r="E39" i="19" s="1"/>
  <c r="E41" i="19" s="1"/>
  <c r="F41" i="19"/>
  <c r="H41" i="19"/>
  <c r="G41" i="19"/>
  <c r="F41" i="18"/>
  <c r="I42" i="18"/>
  <c r="H41" i="18"/>
  <c r="E41" i="18"/>
  <c r="G41" i="18"/>
  <c r="I21" i="18" l="1"/>
  <c r="D53" i="2" l="1"/>
  <c r="E53" i="2"/>
  <c r="F53" i="2"/>
  <c r="G53" i="2"/>
  <c r="H53" i="2"/>
  <c r="I53" i="2"/>
  <c r="J53" i="2"/>
  <c r="K53" i="2"/>
  <c r="L53" i="2"/>
  <c r="M53" i="2"/>
  <c r="N53" i="2"/>
  <c r="O53" i="2"/>
  <c r="P53" i="2"/>
  <c r="Q53" i="2"/>
  <c r="R53" i="2"/>
  <c r="S53" i="2"/>
  <c r="T53" i="2"/>
  <c r="U53" i="2"/>
  <c r="V53" i="2"/>
  <c r="W53" i="2"/>
  <c r="O26" i="4" l="1"/>
  <c r="O24" i="4"/>
  <c r="K3" i="5" l="1"/>
  <c r="AD63" i="2"/>
  <c r="AC63" i="2"/>
  <c r="AD36" i="2"/>
  <c r="AC36" i="2"/>
  <c r="B48" i="4" l="1"/>
  <c r="T62" i="2" l="1"/>
  <c r="AB36" i="2" l="1"/>
  <c r="D55" i="2"/>
  <c r="D56" i="2" s="1"/>
  <c r="V62" i="2"/>
  <c r="V61" i="2"/>
  <c r="V60" i="2"/>
  <c r="D62" i="2"/>
  <c r="W62" i="2" l="1"/>
  <c r="E62" i="2"/>
  <c r="F62" i="2"/>
  <c r="G62" i="2"/>
  <c r="H62" i="2"/>
  <c r="I62" i="2"/>
  <c r="J62" i="2"/>
  <c r="K62" i="2"/>
  <c r="L62" i="2"/>
  <c r="M62" i="2"/>
  <c r="N62" i="2"/>
  <c r="O62" i="2"/>
  <c r="P62" i="2"/>
  <c r="Q62" i="2"/>
  <c r="R62" i="2"/>
  <c r="S62" i="2"/>
  <c r="U62" i="2"/>
  <c r="Y44" i="2"/>
  <c r="X44" i="2"/>
  <c r="E50" i="2"/>
  <c r="Y50" i="2" s="1"/>
  <c r="F50" i="2"/>
  <c r="G50" i="2"/>
  <c r="H50" i="2"/>
  <c r="I50" i="2"/>
  <c r="J50" i="2"/>
  <c r="K50" i="2"/>
  <c r="L50" i="2"/>
  <c r="M50" i="2"/>
  <c r="N50" i="2"/>
  <c r="O50" i="2"/>
  <c r="P50" i="2"/>
  <c r="Q50" i="2"/>
  <c r="R50" i="2"/>
  <c r="S50" i="2"/>
  <c r="T50" i="2"/>
  <c r="U50" i="2"/>
  <c r="V50" i="2"/>
  <c r="W50" i="2"/>
  <c r="E51" i="2"/>
  <c r="Y51" i="2" s="1"/>
  <c r="Y46" i="2" s="1"/>
  <c r="F51" i="2"/>
  <c r="G51" i="2"/>
  <c r="H51" i="2"/>
  <c r="I51" i="2"/>
  <c r="J51" i="2"/>
  <c r="K51" i="2"/>
  <c r="L51" i="2"/>
  <c r="M51" i="2"/>
  <c r="N51" i="2"/>
  <c r="O51" i="2"/>
  <c r="P51" i="2"/>
  <c r="Q51" i="2"/>
  <c r="R51" i="2"/>
  <c r="S51" i="2"/>
  <c r="T51" i="2"/>
  <c r="U51" i="2"/>
  <c r="V51" i="2"/>
  <c r="W51" i="2"/>
  <c r="D51" i="2"/>
  <c r="X51" i="2" s="1"/>
  <c r="X46" i="2" s="1"/>
  <c r="D50" i="2"/>
  <c r="X50" i="2" s="1"/>
  <c r="X45" i="2" l="1"/>
  <c r="U63" i="2"/>
  <c r="Y45" i="2"/>
  <c r="E36" i="2"/>
  <c r="F36" i="2"/>
  <c r="G36" i="2"/>
  <c r="H36" i="2"/>
  <c r="I36" i="2"/>
  <c r="J36" i="2"/>
  <c r="K36" i="2"/>
  <c r="L36" i="2"/>
  <c r="M36" i="2"/>
  <c r="N36" i="2"/>
  <c r="O36" i="2"/>
  <c r="P36" i="2"/>
  <c r="Q36" i="2"/>
  <c r="R36" i="2"/>
  <c r="S36" i="2"/>
  <c r="T36" i="2"/>
  <c r="U36" i="2"/>
  <c r="V36" i="2"/>
  <c r="W36" i="2"/>
  <c r="D36" i="2"/>
  <c r="E35" i="2"/>
  <c r="Y35" i="2" s="1"/>
  <c r="Y33" i="2" s="1"/>
  <c r="F35" i="2"/>
  <c r="G35" i="2"/>
  <c r="H35" i="2"/>
  <c r="I35" i="2"/>
  <c r="J35" i="2"/>
  <c r="K35" i="2"/>
  <c r="L35" i="2"/>
  <c r="M35" i="2"/>
  <c r="N35" i="2"/>
  <c r="O35" i="2"/>
  <c r="P35" i="2"/>
  <c r="Q35" i="2"/>
  <c r="R35" i="2"/>
  <c r="S35" i="2"/>
  <c r="T35" i="2"/>
  <c r="U35" i="2"/>
  <c r="V35" i="2"/>
  <c r="W35" i="2"/>
  <c r="D35" i="2"/>
  <c r="X35" i="2" s="1"/>
  <c r="X33" i="2" s="1"/>
  <c r="E34" i="2"/>
  <c r="F34" i="2"/>
  <c r="G34" i="2"/>
  <c r="H34" i="2"/>
  <c r="I34" i="2"/>
  <c r="J34" i="2"/>
  <c r="K34" i="2"/>
  <c r="L34" i="2"/>
  <c r="M34" i="2"/>
  <c r="N34" i="2"/>
  <c r="O34" i="2"/>
  <c r="P34" i="2"/>
  <c r="Q34" i="2"/>
  <c r="R34" i="2"/>
  <c r="S34" i="2"/>
  <c r="T34" i="2"/>
  <c r="U34" i="2"/>
  <c r="V34" i="2"/>
  <c r="W34" i="2"/>
  <c r="D34" i="2"/>
  <c r="X31" i="2"/>
  <c r="Y31" i="2"/>
  <c r="X34" i="2" l="1"/>
  <c r="Y34" i="2"/>
  <c r="Y36" i="2"/>
  <c r="I40" i="10"/>
  <c r="J40" i="10"/>
  <c r="M40" i="10"/>
  <c r="N40" i="10"/>
  <c r="O40" i="10"/>
  <c r="Q40" i="10"/>
  <c r="R40" i="10"/>
  <c r="U40" i="10"/>
  <c r="V40" i="10"/>
  <c r="Y40" i="10"/>
  <c r="Z40" i="10"/>
  <c r="AC40" i="10"/>
  <c r="AD40" i="10"/>
  <c r="AG40" i="10"/>
  <c r="AH40" i="10"/>
  <c r="AK40" i="10"/>
  <c r="AL40" i="10"/>
  <c r="AO40" i="10"/>
  <c r="AP40" i="10"/>
  <c r="AS40" i="10"/>
  <c r="AT40" i="10"/>
  <c r="AW40" i="10"/>
  <c r="AX40" i="10"/>
  <c r="BA40" i="10"/>
  <c r="BB40" i="10"/>
  <c r="BC40" i="10"/>
  <c r="BE40" i="10"/>
  <c r="BF40" i="10"/>
  <c r="BI40" i="10"/>
  <c r="BJ40" i="10"/>
  <c r="F37" i="10"/>
  <c r="F40" i="10" s="1"/>
  <c r="G37" i="10"/>
  <c r="G40" i="10" s="1"/>
  <c r="H37" i="10"/>
  <c r="H40" i="10" s="1"/>
  <c r="I37" i="10"/>
  <c r="J37" i="10"/>
  <c r="K37" i="10"/>
  <c r="K40" i="10" s="1"/>
  <c r="L37" i="10"/>
  <c r="L40" i="10" s="1"/>
  <c r="M37" i="10"/>
  <c r="N37" i="10"/>
  <c r="O37" i="10"/>
  <c r="P37" i="10"/>
  <c r="P40" i="10" s="1"/>
  <c r="Q37" i="10"/>
  <c r="R37" i="10"/>
  <c r="S37" i="10"/>
  <c r="S40" i="10" s="1"/>
  <c r="T37" i="10"/>
  <c r="T40" i="10" s="1"/>
  <c r="U37" i="10"/>
  <c r="V37" i="10"/>
  <c r="W37" i="10"/>
  <c r="W40" i="10" s="1"/>
  <c r="X37" i="10"/>
  <c r="X40" i="10" s="1"/>
  <c r="Y37" i="10"/>
  <c r="Z37" i="10"/>
  <c r="AA37" i="10"/>
  <c r="AA40" i="10" s="1"/>
  <c r="AB37" i="10"/>
  <c r="AB40" i="10" s="1"/>
  <c r="AC37" i="10"/>
  <c r="AD37" i="10"/>
  <c r="AE37" i="10"/>
  <c r="AE40" i="10" s="1"/>
  <c r="AF37" i="10"/>
  <c r="AF40" i="10" s="1"/>
  <c r="AG37" i="10"/>
  <c r="AH37" i="10"/>
  <c r="AI37" i="10"/>
  <c r="AI40" i="10" s="1"/>
  <c r="AJ37" i="10"/>
  <c r="AJ40" i="10" s="1"/>
  <c r="AK37" i="10"/>
  <c r="AL37" i="10"/>
  <c r="AM37" i="10"/>
  <c r="AM40" i="10" s="1"/>
  <c r="AN37" i="10"/>
  <c r="AN40" i="10" s="1"/>
  <c r="AO37" i="10"/>
  <c r="AP37" i="10"/>
  <c r="AQ37" i="10"/>
  <c r="AQ40" i="10" s="1"/>
  <c r="AR37" i="10"/>
  <c r="AR40" i="10" s="1"/>
  <c r="AS37" i="10"/>
  <c r="AT37" i="10"/>
  <c r="AU37" i="10"/>
  <c r="AU40" i="10" s="1"/>
  <c r="AV37" i="10"/>
  <c r="AV40" i="10" s="1"/>
  <c r="AW37" i="10"/>
  <c r="AX37" i="10"/>
  <c r="AY37" i="10"/>
  <c r="AY40" i="10" s="1"/>
  <c r="AZ37" i="10"/>
  <c r="AZ40" i="10" s="1"/>
  <c r="BA37" i="10"/>
  <c r="BB37" i="10"/>
  <c r="BC37" i="10"/>
  <c r="BD37" i="10"/>
  <c r="BD40" i="10" s="1"/>
  <c r="BE37" i="10"/>
  <c r="BF37" i="10"/>
  <c r="BG37" i="10"/>
  <c r="BG40" i="10" s="1"/>
  <c r="BH37" i="10"/>
  <c r="BH40" i="10" s="1"/>
  <c r="BI37" i="10"/>
  <c r="BJ37" i="10"/>
  <c r="BK37" i="10"/>
  <c r="BK40" i="10" s="1"/>
  <c r="BL37" i="10"/>
  <c r="BL40" i="10" s="1"/>
  <c r="E37" i="10"/>
  <c r="E40" i="10" s="1"/>
  <c r="Y32" i="2" l="1"/>
  <c r="R63" i="2"/>
  <c r="AA63" i="2" s="1"/>
  <c r="X32" i="2"/>
  <c r="G42" i="10"/>
  <c r="F42" i="10"/>
  <c r="G32" i="10"/>
  <c r="H42" i="10"/>
  <c r="I32" i="10"/>
  <c r="J32" i="10"/>
  <c r="L32" i="10"/>
  <c r="N32" i="10"/>
  <c r="O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L32" i="10"/>
  <c r="I33" i="10"/>
  <c r="J33" i="10"/>
  <c r="L33" i="10"/>
  <c r="N33" i="10"/>
  <c r="O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L33" i="10"/>
  <c r="I34" i="10"/>
  <c r="I38" i="10" s="1"/>
  <c r="J34" i="10"/>
  <c r="J38" i="10" s="1"/>
  <c r="L34" i="10"/>
  <c r="L38" i="10" s="1"/>
  <c r="N34" i="10"/>
  <c r="N38" i="10" s="1"/>
  <c r="O34" i="10"/>
  <c r="O38" i="10" s="1"/>
  <c r="Q34" i="10"/>
  <c r="Q38" i="10" s="1"/>
  <c r="R34" i="10"/>
  <c r="R38" i="10" s="1"/>
  <c r="S34" i="10"/>
  <c r="S38" i="10" s="1"/>
  <c r="T34" i="10"/>
  <c r="T38" i="10" s="1"/>
  <c r="U34" i="10"/>
  <c r="U38" i="10" s="1"/>
  <c r="V34" i="10"/>
  <c r="V38" i="10" s="1"/>
  <c r="W34" i="10"/>
  <c r="W38" i="10" s="1"/>
  <c r="X34" i="10"/>
  <c r="X38" i="10" s="1"/>
  <c r="Y34" i="10"/>
  <c r="Y38" i="10" s="1"/>
  <c r="Z34" i="10"/>
  <c r="Z38" i="10" s="1"/>
  <c r="AA34" i="10"/>
  <c r="AA38" i="10" s="1"/>
  <c r="AB34" i="10"/>
  <c r="AB38" i="10" s="1"/>
  <c r="AC34" i="10"/>
  <c r="AC38" i="10" s="1"/>
  <c r="AD34" i="10"/>
  <c r="AD38" i="10" s="1"/>
  <c r="AE34" i="10"/>
  <c r="AE38" i="10" s="1"/>
  <c r="AF34" i="10"/>
  <c r="AF38" i="10" s="1"/>
  <c r="AG34" i="10"/>
  <c r="AG38" i="10" s="1"/>
  <c r="AH34" i="10"/>
  <c r="AH38" i="10" s="1"/>
  <c r="AI34" i="10"/>
  <c r="AI38" i="10" s="1"/>
  <c r="AJ34" i="10"/>
  <c r="AJ38" i="10" s="1"/>
  <c r="AK34" i="10"/>
  <c r="AK38" i="10" s="1"/>
  <c r="AL34" i="10"/>
  <c r="AL38" i="10" s="1"/>
  <c r="AM34" i="10"/>
  <c r="AM38" i="10" s="1"/>
  <c r="AN34" i="10"/>
  <c r="AN38" i="10" s="1"/>
  <c r="AO34" i="10"/>
  <c r="AO38" i="10" s="1"/>
  <c r="AP34" i="10"/>
  <c r="AP38" i="10" s="1"/>
  <c r="AQ34" i="10"/>
  <c r="AQ38" i="10" s="1"/>
  <c r="AR34" i="10"/>
  <c r="AR38" i="10" s="1"/>
  <c r="AS34" i="10"/>
  <c r="AS38" i="10" s="1"/>
  <c r="AT34" i="10"/>
  <c r="AT38" i="10" s="1"/>
  <c r="AU34" i="10"/>
  <c r="AU38" i="10" s="1"/>
  <c r="AV34" i="10"/>
  <c r="AV38" i="10" s="1"/>
  <c r="AW34" i="10"/>
  <c r="AW38" i="10" s="1"/>
  <c r="AX34" i="10"/>
  <c r="AX38" i="10" s="1"/>
  <c r="AY34" i="10"/>
  <c r="AY38" i="10" s="1"/>
  <c r="AZ34" i="10"/>
  <c r="AZ38" i="10" s="1"/>
  <c r="BA34" i="10"/>
  <c r="BA38" i="10" s="1"/>
  <c r="BB34" i="10"/>
  <c r="BB38" i="10" s="1"/>
  <c r="BC34" i="10"/>
  <c r="BC38" i="10" s="1"/>
  <c r="BD34" i="10"/>
  <c r="BD38" i="10" s="1"/>
  <c r="BE34" i="10"/>
  <c r="BE38" i="10" s="1"/>
  <c r="BF34" i="10"/>
  <c r="BF38" i="10" s="1"/>
  <c r="BG34" i="10"/>
  <c r="BG38" i="10" s="1"/>
  <c r="BH34" i="10"/>
  <c r="BH38" i="10" s="1"/>
  <c r="BI34" i="10"/>
  <c r="BI38" i="10" s="1"/>
  <c r="BJ34" i="10"/>
  <c r="BJ38" i="10" s="1"/>
  <c r="BL34" i="10"/>
  <c r="BL38" i="10" s="1"/>
  <c r="I35" i="10"/>
  <c r="I39" i="10" s="1"/>
  <c r="J35" i="10"/>
  <c r="J39" i="10" s="1"/>
  <c r="L35" i="10"/>
  <c r="L39" i="10" s="1"/>
  <c r="N35" i="10"/>
  <c r="N39" i="10" s="1"/>
  <c r="O35" i="10"/>
  <c r="O39" i="10" s="1"/>
  <c r="Q35" i="10"/>
  <c r="Q39" i="10" s="1"/>
  <c r="R35" i="10"/>
  <c r="R39" i="10" s="1"/>
  <c r="S35" i="10"/>
  <c r="S39" i="10" s="1"/>
  <c r="T35" i="10"/>
  <c r="T39" i="10" s="1"/>
  <c r="U35" i="10"/>
  <c r="U39" i="10" s="1"/>
  <c r="V35" i="10"/>
  <c r="V39" i="10" s="1"/>
  <c r="W35" i="10"/>
  <c r="W39" i="10" s="1"/>
  <c r="X35" i="10"/>
  <c r="X39" i="10" s="1"/>
  <c r="Y35" i="10"/>
  <c r="Y39" i="10" s="1"/>
  <c r="Z35" i="10"/>
  <c r="Z39" i="10" s="1"/>
  <c r="AA35" i="10"/>
  <c r="AA39" i="10" s="1"/>
  <c r="AB35" i="10"/>
  <c r="AB39" i="10" s="1"/>
  <c r="AC35" i="10"/>
  <c r="AC39" i="10" s="1"/>
  <c r="AD35" i="10"/>
  <c r="AD39" i="10" s="1"/>
  <c r="AE35" i="10"/>
  <c r="AE39" i="10" s="1"/>
  <c r="AF35" i="10"/>
  <c r="AF39" i="10" s="1"/>
  <c r="AG35" i="10"/>
  <c r="AG39" i="10" s="1"/>
  <c r="AH35" i="10"/>
  <c r="AH39" i="10" s="1"/>
  <c r="AI35" i="10"/>
  <c r="AI39" i="10" s="1"/>
  <c r="AJ35" i="10"/>
  <c r="AJ39" i="10" s="1"/>
  <c r="AK35" i="10"/>
  <c r="AK39" i="10" s="1"/>
  <c r="AL35" i="10"/>
  <c r="AL39" i="10" s="1"/>
  <c r="AM35" i="10"/>
  <c r="AM39" i="10" s="1"/>
  <c r="AN35" i="10"/>
  <c r="AN39" i="10" s="1"/>
  <c r="AO35" i="10"/>
  <c r="AO39" i="10" s="1"/>
  <c r="AP35" i="10"/>
  <c r="AP39" i="10" s="1"/>
  <c r="AQ35" i="10"/>
  <c r="AQ39" i="10" s="1"/>
  <c r="AR35" i="10"/>
  <c r="AR39" i="10" s="1"/>
  <c r="AS35" i="10"/>
  <c r="AS39" i="10" s="1"/>
  <c r="AT35" i="10"/>
  <c r="AT39" i="10" s="1"/>
  <c r="AU35" i="10"/>
  <c r="AU39" i="10" s="1"/>
  <c r="AV35" i="10"/>
  <c r="AV39" i="10" s="1"/>
  <c r="AW35" i="10"/>
  <c r="AW39" i="10" s="1"/>
  <c r="AX35" i="10"/>
  <c r="AX39" i="10" s="1"/>
  <c r="AY35" i="10"/>
  <c r="AY39" i="10" s="1"/>
  <c r="AZ35" i="10"/>
  <c r="AZ39" i="10" s="1"/>
  <c r="BA35" i="10"/>
  <c r="BA39" i="10" s="1"/>
  <c r="BB35" i="10"/>
  <c r="BB39" i="10" s="1"/>
  <c r="BC35" i="10"/>
  <c r="BC39" i="10" s="1"/>
  <c r="BD35" i="10"/>
  <c r="BD39" i="10" s="1"/>
  <c r="BE35" i="10"/>
  <c r="BE39" i="10" s="1"/>
  <c r="BF35" i="10"/>
  <c r="BF39" i="10" s="1"/>
  <c r="BG35" i="10"/>
  <c r="BG39" i="10" s="1"/>
  <c r="BH35" i="10"/>
  <c r="BH39" i="10" s="1"/>
  <c r="BI35" i="10"/>
  <c r="BI39" i="10" s="1"/>
  <c r="BJ35" i="10"/>
  <c r="BJ39" i="10" s="1"/>
  <c r="BL35" i="10"/>
  <c r="BL39" i="10" s="1"/>
  <c r="J36" i="10"/>
  <c r="E36" i="10"/>
  <c r="K33" i="10"/>
  <c r="Z63" i="2" l="1"/>
  <c r="X63" i="2" s="1"/>
  <c r="BG41" i="10"/>
  <c r="AY41" i="10"/>
  <c r="AQ41" i="10"/>
  <c r="AI41" i="10"/>
  <c r="AA41" i="10"/>
  <c r="S41" i="10"/>
  <c r="AP41" i="10"/>
  <c r="BD41" i="10"/>
  <c r="AV41" i="10"/>
  <c r="AN41" i="10"/>
  <c r="AF41" i="10"/>
  <c r="X41" i="10"/>
  <c r="BE41" i="10"/>
  <c r="AX41" i="10"/>
  <c r="AM41" i="10"/>
  <c r="AE41" i="10"/>
  <c r="W41" i="10"/>
  <c r="O41" i="10"/>
  <c r="AW41" i="10"/>
  <c r="R41" i="10"/>
  <c r="BB41" i="10"/>
  <c r="AT41" i="10"/>
  <c r="AL41" i="10"/>
  <c r="AD41" i="10"/>
  <c r="V41" i="10"/>
  <c r="N41" i="10"/>
  <c r="AO41" i="10"/>
  <c r="BF41" i="10"/>
  <c r="AH41" i="10"/>
  <c r="BC41" i="10"/>
  <c r="BJ41" i="10"/>
  <c r="BI41" i="10"/>
  <c r="BA41" i="10"/>
  <c r="AS41" i="10"/>
  <c r="AK41" i="10"/>
  <c r="AC41" i="10"/>
  <c r="U41" i="10"/>
  <c r="AG41" i="10"/>
  <c r="I41" i="10"/>
  <c r="BL41" i="10"/>
  <c r="AU41" i="10"/>
  <c r="BH41" i="10"/>
  <c r="AZ41" i="10"/>
  <c r="AR41" i="10"/>
  <c r="AJ41" i="10"/>
  <c r="AB41" i="10"/>
  <c r="T41" i="10"/>
  <c r="L41" i="10"/>
  <c r="Y41" i="10"/>
  <c r="Z41" i="10"/>
  <c r="J41" i="10"/>
  <c r="Q41" i="10"/>
  <c r="G34" i="10"/>
  <c r="G38" i="10" s="1"/>
  <c r="G33" i="10"/>
  <c r="G35" i="10" s="1"/>
  <c r="G39" i="10" s="1"/>
  <c r="K32" i="10"/>
  <c r="K35" i="10"/>
  <c r="K39" i="10" s="1"/>
  <c r="K34" i="10"/>
  <c r="K38" i="10" s="1"/>
  <c r="AD53" i="2"/>
  <c r="AC62" i="2"/>
  <c r="R52" i="2"/>
  <c r="Q52" i="2"/>
  <c r="Q55" i="2"/>
  <c r="Q56" i="2" s="1"/>
  <c r="Q57" i="2"/>
  <c r="Q58" i="2"/>
  <c r="Q59" i="2"/>
  <c r="Q60" i="2"/>
  <c r="Q61" i="2"/>
  <c r="K41" i="10" l="1"/>
  <c r="G41" i="10"/>
  <c r="AB53" i="2"/>
  <c r="AC53" i="2"/>
  <c r="Y53" i="2"/>
  <c r="X53" i="2" s="1"/>
  <c r="Z53" i="2"/>
  <c r="AA53" i="2"/>
  <c r="O47" i="4" l="1"/>
  <c r="J18" i="5" l="1"/>
  <c r="K18" i="5"/>
  <c r="J19" i="5"/>
  <c r="J20" i="5"/>
  <c r="N84" i="4"/>
  <c r="M84" i="4"/>
  <c r="L84" i="4"/>
  <c r="K84" i="4"/>
  <c r="J84" i="4"/>
  <c r="I84" i="4"/>
  <c r="H84" i="4"/>
  <c r="G84" i="4"/>
  <c r="F84" i="4"/>
  <c r="E84" i="4"/>
  <c r="D84" i="4"/>
  <c r="C84" i="4"/>
  <c r="N83" i="4"/>
  <c r="N85" i="4" s="1"/>
  <c r="M83" i="4"/>
  <c r="L83" i="4"/>
  <c r="K83" i="4"/>
  <c r="J83" i="4"/>
  <c r="I83" i="4"/>
  <c r="H83" i="4"/>
  <c r="G83" i="4"/>
  <c r="F83" i="4"/>
  <c r="F85" i="4" s="1"/>
  <c r="E83" i="4"/>
  <c r="D83" i="4"/>
  <c r="C83" i="4"/>
  <c r="N73" i="4"/>
  <c r="M73" i="4"/>
  <c r="L73" i="4"/>
  <c r="K73" i="4"/>
  <c r="J73" i="4"/>
  <c r="I73" i="4"/>
  <c r="H73" i="4"/>
  <c r="G73" i="4"/>
  <c r="F73" i="4"/>
  <c r="E73" i="4"/>
  <c r="D73" i="4"/>
  <c r="C73" i="4"/>
  <c r="N72" i="4"/>
  <c r="N74" i="4" s="1"/>
  <c r="M72" i="4"/>
  <c r="L72" i="4"/>
  <c r="K72" i="4"/>
  <c r="J72" i="4"/>
  <c r="I72" i="4"/>
  <c r="H72" i="4"/>
  <c r="G72" i="4"/>
  <c r="F72" i="4"/>
  <c r="F74" i="4" s="1"/>
  <c r="E72" i="4"/>
  <c r="D72" i="4"/>
  <c r="C72" i="4"/>
  <c r="N62" i="4"/>
  <c r="M62" i="4"/>
  <c r="L62" i="4"/>
  <c r="K62" i="4"/>
  <c r="J62" i="4"/>
  <c r="I62" i="4"/>
  <c r="H62" i="4"/>
  <c r="G62" i="4"/>
  <c r="F62" i="4"/>
  <c r="E62" i="4"/>
  <c r="D62" i="4"/>
  <c r="C62" i="4"/>
  <c r="N61" i="4"/>
  <c r="N63" i="4" s="1"/>
  <c r="M61" i="4"/>
  <c r="L61" i="4"/>
  <c r="K61" i="4"/>
  <c r="J61" i="4"/>
  <c r="I61" i="4"/>
  <c r="H61" i="4"/>
  <c r="G61" i="4"/>
  <c r="F61" i="4"/>
  <c r="F63" i="4" s="1"/>
  <c r="E61" i="4"/>
  <c r="D61" i="4"/>
  <c r="C61" i="4"/>
  <c r="N51" i="4"/>
  <c r="M51" i="4"/>
  <c r="L51" i="4"/>
  <c r="K51" i="4"/>
  <c r="J51" i="4"/>
  <c r="I51" i="4"/>
  <c r="H51" i="4"/>
  <c r="G51" i="4"/>
  <c r="F51" i="4"/>
  <c r="E51" i="4"/>
  <c r="D51" i="4"/>
  <c r="C51" i="4"/>
  <c r="N50" i="4"/>
  <c r="M50" i="4"/>
  <c r="L50" i="4"/>
  <c r="K50" i="4"/>
  <c r="J50" i="4"/>
  <c r="I50" i="4"/>
  <c r="H50" i="4"/>
  <c r="G50" i="4"/>
  <c r="F50" i="4"/>
  <c r="E50" i="4"/>
  <c r="D50" i="4"/>
  <c r="C50" i="4"/>
  <c r="C39" i="4"/>
  <c r="N40" i="4"/>
  <c r="M40" i="4"/>
  <c r="L40" i="4"/>
  <c r="K40" i="4"/>
  <c r="J40" i="4"/>
  <c r="I40" i="4"/>
  <c r="H40" i="4"/>
  <c r="G40" i="4"/>
  <c r="F40" i="4"/>
  <c r="E40" i="4"/>
  <c r="D40" i="4"/>
  <c r="C40" i="4"/>
  <c r="N39" i="4"/>
  <c r="M39" i="4"/>
  <c r="L39" i="4"/>
  <c r="K39" i="4"/>
  <c r="J39" i="4"/>
  <c r="I39" i="4"/>
  <c r="H39" i="4"/>
  <c r="G39" i="4"/>
  <c r="F39" i="4"/>
  <c r="E39" i="4"/>
  <c r="D39" i="4"/>
  <c r="D74" i="4" l="1"/>
  <c r="E74" i="4"/>
  <c r="M74" i="4"/>
  <c r="K85" i="4"/>
  <c r="D85" i="4"/>
  <c r="F52" i="4"/>
  <c r="I63" i="4"/>
  <c r="I52" i="4"/>
  <c r="J41" i="4"/>
  <c r="D41" i="4"/>
  <c r="L85" i="4"/>
  <c r="L74" i="4"/>
  <c r="J85" i="4"/>
  <c r="G63" i="4"/>
  <c r="L41" i="4"/>
  <c r="C52" i="4"/>
  <c r="K52" i="4"/>
  <c r="S62" i="4"/>
  <c r="K74" i="4"/>
  <c r="G85" i="4"/>
  <c r="H52" i="4"/>
  <c r="D52" i="4"/>
  <c r="L52" i="4"/>
  <c r="H63" i="4"/>
  <c r="H74" i="4"/>
  <c r="E63" i="4"/>
  <c r="I74" i="4"/>
  <c r="J52" i="4"/>
  <c r="J63" i="4"/>
  <c r="S51" i="4"/>
  <c r="H85" i="4"/>
  <c r="M63" i="4"/>
  <c r="R84" i="4"/>
  <c r="G52" i="4"/>
  <c r="C63" i="4"/>
  <c r="K63" i="4"/>
  <c r="J74" i="4"/>
  <c r="I85" i="4"/>
  <c r="S73" i="4"/>
  <c r="F41" i="4"/>
  <c r="N41" i="4"/>
  <c r="E52" i="4"/>
  <c r="M52" i="4"/>
  <c r="D63" i="4"/>
  <c r="L63" i="4"/>
  <c r="S72" i="4"/>
  <c r="E85" i="4"/>
  <c r="M85" i="4"/>
  <c r="N52" i="4"/>
  <c r="G74" i="4"/>
  <c r="R83" i="4"/>
  <c r="S84" i="4"/>
  <c r="C85" i="4"/>
  <c r="S83" i="4"/>
  <c r="Q83" i="4"/>
  <c r="Q84" i="4"/>
  <c r="C74" i="4"/>
  <c r="Q72" i="4"/>
  <c r="Q73" i="4"/>
  <c r="R72" i="4"/>
  <c r="R73" i="4"/>
  <c r="Q61" i="4"/>
  <c r="Q62" i="4"/>
  <c r="R61" i="4"/>
  <c r="R62" i="4"/>
  <c r="S61" i="4"/>
  <c r="Q50" i="4"/>
  <c r="Q51" i="4"/>
  <c r="R50" i="4"/>
  <c r="R51" i="4"/>
  <c r="S50" i="4"/>
  <c r="K41" i="4"/>
  <c r="Q39" i="4"/>
  <c r="R40" i="4"/>
  <c r="R39" i="4"/>
  <c r="G41" i="4"/>
  <c r="I41" i="4"/>
  <c r="S39" i="4"/>
  <c r="E41" i="4"/>
  <c r="M41" i="4"/>
  <c r="Q40" i="4"/>
  <c r="S40" i="4"/>
  <c r="C41" i="4"/>
  <c r="H41" i="4"/>
  <c r="C28" i="4"/>
  <c r="M27" i="4"/>
  <c r="D28" i="4"/>
  <c r="E28" i="4"/>
  <c r="F28" i="4"/>
  <c r="G28" i="4"/>
  <c r="H28" i="4"/>
  <c r="I28" i="4"/>
  <c r="J28" i="4"/>
  <c r="K28" i="4"/>
  <c r="L28" i="4"/>
  <c r="M28" i="4"/>
  <c r="N28" i="4"/>
  <c r="D27" i="4"/>
  <c r="E27" i="4"/>
  <c r="F27" i="4"/>
  <c r="G27" i="4"/>
  <c r="H27" i="4"/>
  <c r="I27" i="4"/>
  <c r="J27" i="4"/>
  <c r="K27" i="4"/>
  <c r="L27" i="4"/>
  <c r="N27" i="4"/>
  <c r="C27" i="4"/>
  <c r="O137" i="2"/>
  <c r="O136" i="2"/>
  <c r="O134" i="2"/>
  <c r="O133" i="2"/>
  <c r="D157" i="2"/>
  <c r="E157" i="2"/>
  <c r="F157" i="2"/>
  <c r="G157" i="2"/>
  <c r="H157" i="2"/>
  <c r="I157" i="2"/>
  <c r="J157" i="2"/>
  <c r="K157" i="2"/>
  <c r="L157" i="2"/>
  <c r="M157" i="2"/>
  <c r="N157" i="2"/>
  <c r="P157" i="2"/>
  <c r="Q157" i="2"/>
  <c r="R157" i="2"/>
  <c r="S157" i="2"/>
  <c r="T157" i="2"/>
  <c r="U157" i="2"/>
  <c r="V157" i="2"/>
  <c r="W157" i="2"/>
  <c r="O157" i="2"/>
  <c r="D136" i="2"/>
  <c r="E136" i="2"/>
  <c r="F136" i="2"/>
  <c r="G136" i="2"/>
  <c r="H136" i="2"/>
  <c r="I136" i="2"/>
  <c r="J136" i="2"/>
  <c r="K136" i="2"/>
  <c r="L136" i="2"/>
  <c r="M136" i="2"/>
  <c r="N136" i="2"/>
  <c r="P136" i="2"/>
  <c r="Q136" i="2"/>
  <c r="R136" i="2"/>
  <c r="S136" i="2"/>
  <c r="T136" i="2"/>
  <c r="U136" i="2"/>
  <c r="V136" i="2"/>
  <c r="W136" i="2"/>
  <c r="AE158" i="2"/>
  <c r="O158" i="2"/>
  <c r="B114" i="2"/>
  <c r="Y157" i="2" l="1"/>
  <c r="Z136" i="2"/>
  <c r="I29" i="4"/>
  <c r="O62" i="4"/>
  <c r="O51" i="4"/>
  <c r="F29" i="4"/>
  <c r="L29" i="4"/>
  <c r="D29" i="4"/>
  <c r="G29" i="4"/>
  <c r="O50" i="4"/>
  <c r="O72" i="4"/>
  <c r="S52" i="4"/>
  <c r="S63" i="4"/>
  <c r="O61" i="4"/>
  <c r="H29" i="4"/>
  <c r="M29" i="4"/>
  <c r="O73" i="4"/>
  <c r="C29" i="4"/>
  <c r="K29" i="4"/>
  <c r="Q52" i="4"/>
  <c r="Q63" i="4"/>
  <c r="O84" i="4"/>
  <c r="J29" i="4"/>
  <c r="R52" i="4"/>
  <c r="R63" i="4"/>
  <c r="O83" i="4"/>
  <c r="Q85" i="4"/>
  <c r="S85" i="4"/>
  <c r="R85" i="4"/>
  <c r="R74" i="4"/>
  <c r="Q74" i="4"/>
  <c r="S74" i="4"/>
  <c r="O40" i="4"/>
  <c r="Q27" i="4"/>
  <c r="R27" i="4"/>
  <c r="E29" i="4"/>
  <c r="O39" i="4"/>
  <c r="Q41" i="4"/>
  <c r="R41" i="4"/>
  <c r="S41" i="4"/>
  <c r="N29" i="4"/>
  <c r="Q28" i="4"/>
  <c r="R28" i="4"/>
  <c r="S27" i="4"/>
  <c r="S28" i="4"/>
  <c r="AA157" i="2"/>
  <c r="Z157" i="2"/>
  <c r="AA136" i="2"/>
  <c r="Y136" i="2"/>
  <c r="O135" i="2"/>
  <c r="X157" i="2" l="1"/>
  <c r="O85" i="4"/>
  <c r="P85" i="4" s="1"/>
  <c r="O52" i="4"/>
  <c r="P52" i="4" s="1"/>
  <c r="O74" i="4"/>
  <c r="P74" i="4" s="1"/>
  <c r="O63" i="4"/>
  <c r="P63" i="4" s="1"/>
  <c r="O27" i="4"/>
  <c r="O41" i="4"/>
  <c r="P41" i="4" s="1"/>
  <c r="S29" i="4"/>
  <c r="R29" i="4"/>
  <c r="Q29" i="4"/>
  <c r="O28" i="4"/>
  <c r="AE137" i="2"/>
  <c r="X136" i="2" s="1"/>
  <c r="O29" i="4" l="1"/>
  <c r="P29" i="4" s="1"/>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E57" i="2"/>
  <c r="F57" i="2"/>
  <c r="G57" i="2"/>
  <c r="H57" i="2"/>
  <c r="I57" i="2"/>
  <c r="J57" i="2"/>
  <c r="K57" i="2"/>
  <c r="L57" i="2"/>
  <c r="M57" i="2"/>
  <c r="N57" i="2"/>
  <c r="O57" i="2"/>
  <c r="P57" i="2"/>
  <c r="R57" i="2"/>
  <c r="S57" i="2"/>
  <c r="T57" i="2"/>
  <c r="U57" i="2"/>
  <c r="V57" i="2"/>
  <c r="W57" i="2"/>
  <c r="D57" i="2"/>
  <c r="P35" i="10" l="1"/>
  <c r="P39" i="10" s="1"/>
  <c r="P32" i="10"/>
  <c r="P34" i="10"/>
  <c r="P38" i="10" s="1"/>
  <c r="P33" i="10"/>
  <c r="M33" i="10"/>
  <c r="M32" i="10"/>
  <c r="M34" i="10"/>
  <c r="M38" i="10" s="1"/>
  <c r="BK34" i="10"/>
  <c r="BK38" i="10" s="1"/>
  <c r="BK33" i="10"/>
  <c r="BK32" i="10"/>
  <c r="H32" i="10"/>
  <c r="H33" i="10"/>
  <c r="H35" i="10"/>
  <c r="H39" i="10" s="1"/>
  <c r="H34" i="10"/>
  <c r="H38" i="10" s="1"/>
  <c r="E34" i="10"/>
  <c r="E38" i="10" s="1"/>
  <c r="E33" i="10"/>
  <c r="E32" i="10"/>
  <c r="F33" i="10"/>
  <c r="E42" i="10"/>
  <c r="I42" i="10" s="1"/>
  <c r="F32" i="10"/>
  <c r="F34" i="10"/>
  <c r="F38" i="10" s="1"/>
  <c r="E35" i="10" l="1"/>
  <c r="E39" i="10" s="1"/>
  <c r="E41" i="10" s="1"/>
  <c r="I21" i="10" s="1"/>
  <c r="BK35" i="10"/>
  <c r="BK39" i="10" s="1"/>
  <c r="BK41" i="10" s="1"/>
  <c r="P41" i="10"/>
  <c r="M35" i="10"/>
  <c r="M39" i="10" s="1"/>
  <c r="M41" i="10" s="1"/>
  <c r="H41" i="10"/>
  <c r="F35" i="10"/>
  <c r="F39" i="10" s="1"/>
  <c r="F41" i="10" s="1"/>
  <c r="O82" i="4" l="1"/>
  <c r="O80" i="4"/>
  <c r="O71" i="4"/>
  <c r="O69" i="4"/>
  <c r="O60" i="4"/>
  <c r="O58" i="4"/>
  <c r="O49" i="4"/>
  <c r="O38" i="4"/>
  <c r="P26" i="4"/>
  <c r="O36" i="4"/>
  <c r="K36" i="10"/>
  <c r="L36" i="10"/>
  <c r="M36" i="10"/>
  <c r="N36" i="10"/>
  <c r="O36" i="10"/>
  <c r="P36" i="10"/>
  <c r="Q36" i="10"/>
  <c r="R36" i="10"/>
  <c r="S36" i="10"/>
  <c r="T36" i="10"/>
  <c r="U36" i="10"/>
  <c r="V36" i="10"/>
  <c r="W36" i="10"/>
  <c r="K6" i="5" l="1"/>
  <c r="K17" i="5"/>
  <c r="J17" i="5"/>
  <c r="P38" i="4"/>
  <c r="P39" i="4" s="1"/>
  <c r="L7" i="5"/>
  <c r="J10" i="5"/>
  <c r="J7" i="5"/>
  <c r="J9" i="5"/>
  <c r="P82" i="4"/>
  <c r="J45" i="5"/>
  <c r="P71" i="4"/>
  <c r="P60" i="4"/>
  <c r="P49" i="4"/>
  <c r="P50" i="4" s="1"/>
  <c r="P27" i="4"/>
  <c r="W75" i="5"/>
  <c r="V75" i="5"/>
  <c r="W74" i="5"/>
  <c r="V74" i="5"/>
  <c r="W73" i="5"/>
  <c r="V73" i="5"/>
  <c r="W72" i="5"/>
  <c r="V72" i="5"/>
  <c r="W71" i="5"/>
  <c r="V71" i="5"/>
  <c r="W70" i="5"/>
  <c r="V70" i="5"/>
  <c r="W69" i="5"/>
  <c r="V69" i="5"/>
  <c r="W68" i="5"/>
  <c r="V68" i="5"/>
  <c r="W67" i="5"/>
  <c r="V67" i="5"/>
  <c r="W66" i="5"/>
  <c r="V66" i="5"/>
  <c r="W56" i="5"/>
  <c r="V56" i="5"/>
  <c r="W50" i="5"/>
  <c r="V50" i="5"/>
  <c r="W49" i="5"/>
  <c r="V49" i="5"/>
  <c r="W48" i="5"/>
  <c r="V48" i="5"/>
  <c r="W47" i="5"/>
  <c r="V47" i="5"/>
  <c r="W46" i="5"/>
  <c r="V46" i="5"/>
  <c r="W45" i="5"/>
  <c r="V45" i="5"/>
  <c r="W44" i="5"/>
  <c r="V44" i="5"/>
  <c r="W43" i="5"/>
  <c r="V43" i="5"/>
  <c r="W42" i="5"/>
  <c r="V42" i="5"/>
  <c r="W41" i="5"/>
  <c r="V41" i="5"/>
  <c r="O50" i="5"/>
  <c r="O49" i="5"/>
  <c r="O48" i="5"/>
  <c r="O47" i="5"/>
  <c r="O46" i="5"/>
  <c r="O45" i="5"/>
  <c r="O44" i="5"/>
  <c r="O43" i="5"/>
  <c r="O42" i="5"/>
  <c r="O41" i="5"/>
  <c r="O75" i="5"/>
  <c r="O74" i="5"/>
  <c r="O73" i="5"/>
  <c r="O72" i="5"/>
  <c r="O71" i="5"/>
  <c r="O70" i="5"/>
  <c r="O69" i="5"/>
  <c r="O68" i="5"/>
  <c r="O67" i="5"/>
  <c r="O66" i="5"/>
  <c r="O65" i="5"/>
  <c r="P47" i="4" l="1"/>
  <c r="P83" i="4"/>
  <c r="P36" i="4"/>
  <c r="P24" i="4"/>
  <c r="P61" i="4"/>
  <c r="P72" i="4"/>
  <c r="X47" i="5"/>
  <c r="P66" i="5"/>
  <c r="P65" i="5"/>
  <c r="AC75" i="5"/>
  <c r="AB75" i="5"/>
  <c r="Z75" i="5"/>
  <c r="Y75" i="5"/>
  <c r="T75" i="5"/>
  <c r="S75" i="5"/>
  <c r="Q75" i="5"/>
  <c r="P75" i="5"/>
  <c r="AC50" i="5"/>
  <c r="AB50" i="5"/>
  <c r="Z50" i="5"/>
  <c r="Y50" i="5"/>
  <c r="T50" i="5"/>
  <c r="S50" i="5"/>
  <c r="Q50" i="5"/>
  <c r="P50" i="5"/>
  <c r="AC49" i="5"/>
  <c r="AB49" i="5"/>
  <c r="Z49" i="5"/>
  <c r="Y49" i="5"/>
  <c r="T49" i="5"/>
  <c r="S49" i="5"/>
  <c r="Q49" i="5"/>
  <c r="P49" i="5"/>
  <c r="AC74" i="5"/>
  <c r="AB74" i="5"/>
  <c r="Z74" i="5"/>
  <c r="Y74" i="5"/>
  <c r="T74" i="5"/>
  <c r="S74" i="5"/>
  <c r="Q74" i="5"/>
  <c r="P74" i="5"/>
  <c r="AC73" i="5"/>
  <c r="AB73" i="5"/>
  <c r="Z73" i="5"/>
  <c r="Y73" i="5"/>
  <c r="T73" i="5"/>
  <c r="S73" i="5"/>
  <c r="Q73" i="5"/>
  <c r="P73" i="5"/>
  <c r="AC48" i="5"/>
  <c r="AB48" i="5"/>
  <c r="Z48" i="5"/>
  <c r="Y48" i="5"/>
  <c r="T48" i="5"/>
  <c r="S48" i="5"/>
  <c r="Q48" i="5"/>
  <c r="P48" i="5"/>
  <c r="AC47" i="5"/>
  <c r="AB47" i="5"/>
  <c r="Z47" i="5"/>
  <c r="Y47" i="5"/>
  <c r="T47" i="5"/>
  <c r="S47" i="5"/>
  <c r="Q47" i="5"/>
  <c r="P47" i="5"/>
  <c r="AC72" i="5"/>
  <c r="AB72" i="5"/>
  <c r="Z72" i="5"/>
  <c r="Y72" i="5"/>
  <c r="T72" i="5"/>
  <c r="S72" i="5"/>
  <c r="Q72" i="5"/>
  <c r="P72" i="5"/>
  <c r="AC71" i="5"/>
  <c r="AB71" i="5"/>
  <c r="Z71" i="5"/>
  <c r="Y71" i="5"/>
  <c r="T71" i="5"/>
  <c r="S71" i="5"/>
  <c r="Q71" i="5"/>
  <c r="P71" i="5"/>
  <c r="AC46" i="5"/>
  <c r="AB46" i="5"/>
  <c r="Z46" i="5"/>
  <c r="Y46" i="5"/>
  <c r="T46" i="5"/>
  <c r="S46" i="5"/>
  <c r="Q46" i="5"/>
  <c r="P46" i="5"/>
  <c r="AC45" i="5"/>
  <c r="AB45" i="5"/>
  <c r="Z45" i="5"/>
  <c r="Y45" i="5"/>
  <c r="T45" i="5"/>
  <c r="S45" i="5"/>
  <c r="Q45" i="5"/>
  <c r="P45" i="5"/>
  <c r="AC70" i="5"/>
  <c r="AB70" i="5"/>
  <c r="Z70" i="5"/>
  <c r="Y70" i="5"/>
  <c r="T70" i="5"/>
  <c r="S70" i="5"/>
  <c r="Q70" i="5"/>
  <c r="P70" i="5"/>
  <c r="AC69" i="5"/>
  <c r="AB69" i="5"/>
  <c r="Z69" i="5"/>
  <c r="Y69" i="5"/>
  <c r="T69" i="5"/>
  <c r="S69" i="5"/>
  <c r="Q69" i="5"/>
  <c r="P69" i="5"/>
  <c r="AC44" i="5"/>
  <c r="AB44" i="5"/>
  <c r="Z44" i="5"/>
  <c r="Y44" i="5"/>
  <c r="T44" i="5"/>
  <c r="S44" i="5"/>
  <c r="Q44" i="5"/>
  <c r="P44" i="5"/>
  <c r="AC43" i="5"/>
  <c r="AB43" i="5"/>
  <c r="Z43" i="5"/>
  <c r="Y43" i="5"/>
  <c r="T43" i="5"/>
  <c r="S43" i="5"/>
  <c r="Q43" i="5"/>
  <c r="P43" i="5"/>
  <c r="AC68" i="5"/>
  <c r="AB68" i="5"/>
  <c r="Z68" i="5"/>
  <c r="Y68" i="5"/>
  <c r="T68" i="5"/>
  <c r="S68" i="5"/>
  <c r="Q68" i="5"/>
  <c r="P68" i="5"/>
  <c r="AC67" i="5"/>
  <c r="AB67" i="5"/>
  <c r="Z67" i="5"/>
  <c r="Y67" i="5"/>
  <c r="T67" i="5"/>
  <c r="S67" i="5"/>
  <c r="Q67" i="5"/>
  <c r="P67" i="5"/>
  <c r="AC42" i="5"/>
  <c r="AB42" i="5"/>
  <c r="Z42" i="5"/>
  <c r="Y42" i="5"/>
  <c r="T42" i="5"/>
  <c r="S42" i="5"/>
  <c r="Q42" i="5"/>
  <c r="P42" i="5"/>
  <c r="AC41" i="5"/>
  <c r="AB41" i="5"/>
  <c r="Z41" i="5"/>
  <c r="Y41" i="5"/>
  <c r="T41" i="5"/>
  <c r="S41" i="5"/>
  <c r="Q41" i="5"/>
  <c r="P41" i="5"/>
  <c r="AC66" i="5"/>
  <c r="AB66" i="5"/>
  <c r="Z66" i="5"/>
  <c r="Y66" i="5"/>
  <c r="T66" i="5"/>
  <c r="S66" i="5"/>
  <c r="Q66" i="5"/>
  <c r="X142" i="2"/>
  <c r="W154" i="2"/>
  <c r="N154" i="2"/>
  <c r="O154" i="2"/>
  <c r="P154" i="2"/>
  <c r="Q154" i="2"/>
  <c r="R154" i="2"/>
  <c r="S154" i="2"/>
  <c r="T154" i="2"/>
  <c r="U154" i="2"/>
  <c r="V154" i="2"/>
  <c r="N155" i="2"/>
  <c r="O155" i="2"/>
  <c r="P155" i="2"/>
  <c r="Q155" i="2"/>
  <c r="R155" i="2"/>
  <c r="S155" i="2"/>
  <c r="T155" i="2"/>
  <c r="U155" i="2"/>
  <c r="V155" i="2"/>
  <c r="W155" i="2"/>
  <c r="N158" i="2"/>
  <c r="P158" i="2"/>
  <c r="Q158" i="2"/>
  <c r="R158" i="2"/>
  <c r="S158" i="2"/>
  <c r="T158" i="2"/>
  <c r="U158" i="2"/>
  <c r="V158" i="2"/>
  <c r="W158" i="2"/>
  <c r="X121" i="2"/>
  <c r="N133" i="2"/>
  <c r="P133" i="2"/>
  <c r="Q133" i="2"/>
  <c r="R133" i="2"/>
  <c r="S133" i="2"/>
  <c r="T133" i="2"/>
  <c r="U133" i="2"/>
  <c r="V133" i="2"/>
  <c r="W133" i="2"/>
  <c r="W135" i="2" s="1"/>
  <c r="N134" i="2"/>
  <c r="P134" i="2"/>
  <c r="Q134" i="2"/>
  <c r="R134" i="2"/>
  <c r="S134" i="2"/>
  <c r="T134" i="2"/>
  <c r="U134" i="2"/>
  <c r="V134" i="2"/>
  <c r="W134" i="2"/>
  <c r="N137" i="2"/>
  <c r="P137" i="2"/>
  <c r="Q137" i="2"/>
  <c r="R137" i="2"/>
  <c r="S137" i="2"/>
  <c r="T137" i="2"/>
  <c r="U137" i="2"/>
  <c r="V137" i="2"/>
  <c r="W137" i="2"/>
  <c r="AC60" i="2"/>
  <c r="AC58" i="2"/>
  <c r="AC57" i="2"/>
  <c r="AC55" i="2"/>
  <c r="AC54" i="2"/>
  <c r="AC52" i="2"/>
  <c r="AB61" i="2"/>
  <c r="AB60" i="2"/>
  <c r="AB57" i="2"/>
  <c r="N47" i="2"/>
  <c r="N54" i="2" s="1"/>
  <c r="O47" i="2"/>
  <c r="O54" i="2" s="1"/>
  <c r="P47" i="2"/>
  <c r="P54" i="2" s="1"/>
  <c r="Q47" i="2"/>
  <c r="Q54" i="2" s="1"/>
  <c r="R47" i="2"/>
  <c r="R54" i="2" s="1"/>
  <c r="S47" i="2"/>
  <c r="S54" i="2" s="1"/>
  <c r="T47" i="2"/>
  <c r="T54" i="2" s="1"/>
  <c r="U47" i="2"/>
  <c r="U54" i="2" s="1"/>
  <c r="V47" i="2"/>
  <c r="V54" i="2" s="1"/>
  <c r="W47" i="2"/>
  <c r="W54" i="2" s="1"/>
  <c r="N52" i="2"/>
  <c r="O52" i="2"/>
  <c r="P52" i="2"/>
  <c r="S52" i="2"/>
  <c r="T52" i="2"/>
  <c r="U52" i="2"/>
  <c r="V52" i="2"/>
  <c r="W52" i="2"/>
  <c r="N55" i="2"/>
  <c r="N56" i="2" s="1"/>
  <c r="O55" i="2"/>
  <c r="O56" i="2" s="1"/>
  <c r="P55" i="2"/>
  <c r="P56" i="2" s="1"/>
  <c r="R55" i="2"/>
  <c r="R56" i="2" s="1"/>
  <c r="S55" i="2"/>
  <c r="S56" i="2" s="1"/>
  <c r="T55" i="2"/>
  <c r="T56" i="2" s="1"/>
  <c r="U55" i="2"/>
  <c r="U56" i="2" s="1"/>
  <c r="V55" i="2"/>
  <c r="V56" i="2" s="1"/>
  <c r="W55" i="2"/>
  <c r="W56" i="2" s="1"/>
  <c r="N58" i="2"/>
  <c r="O58" i="2"/>
  <c r="P58" i="2"/>
  <c r="R58" i="2"/>
  <c r="S58" i="2"/>
  <c r="T58" i="2"/>
  <c r="U58" i="2"/>
  <c r="V58" i="2"/>
  <c r="W58" i="2"/>
  <c r="N59" i="2"/>
  <c r="O59" i="2"/>
  <c r="P59" i="2"/>
  <c r="R59" i="2"/>
  <c r="S59" i="2"/>
  <c r="T59" i="2"/>
  <c r="U59" i="2"/>
  <c r="V59" i="2"/>
  <c r="W59" i="2"/>
  <c r="N60" i="2"/>
  <c r="O60" i="2"/>
  <c r="P60" i="2"/>
  <c r="R60" i="2"/>
  <c r="S60" i="2"/>
  <c r="T60" i="2"/>
  <c r="U60" i="2"/>
  <c r="W60" i="2"/>
  <c r="N61" i="2"/>
  <c r="O61" i="2"/>
  <c r="P61" i="2"/>
  <c r="R61" i="2"/>
  <c r="S61" i="2"/>
  <c r="T61" i="2"/>
  <c r="U61" i="2"/>
  <c r="W61" i="2"/>
  <c r="F36" i="10"/>
  <c r="G36" i="10"/>
  <c r="H36" i="10"/>
  <c r="I36" i="10"/>
  <c r="AA73" i="5" l="1"/>
  <c r="Q156" i="2"/>
  <c r="R74" i="5"/>
  <c r="R156" i="2"/>
  <c r="U72" i="5"/>
  <c r="X75" i="5"/>
  <c r="U75" i="5"/>
  <c r="AD68" i="5"/>
  <c r="AA42" i="5"/>
  <c r="AD43" i="5"/>
  <c r="AD45" i="5"/>
  <c r="V135" i="2"/>
  <c r="P135" i="2"/>
  <c r="T156" i="2"/>
  <c r="P156" i="2"/>
  <c r="U156" i="2"/>
  <c r="V156" i="2"/>
  <c r="N156" i="2"/>
  <c r="AA74" i="5"/>
  <c r="Q135" i="2"/>
  <c r="AD44" i="5"/>
  <c r="AD46" i="5"/>
  <c r="N135" i="2"/>
  <c r="U135" i="2"/>
  <c r="X46" i="5"/>
  <c r="S135" i="2"/>
  <c r="X73" i="5"/>
  <c r="R73" i="5"/>
  <c r="AA66" i="5"/>
  <c r="U67" i="5"/>
  <c r="AD70" i="5"/>
  <c r="X48" i="5"/>
  <c r="R41" i="5"/>
  <c r="R45" i="5"/>
  <c r="AD49" i="5"/>
  <c r="R50" i="5"/>
  <c r="X49" i="5"/>
  <c r="AA75" i="5"/>
  <c r="R75" i="5"/>
  <c r="X50" i="5"/>
  <c r="U50" i="5"/>
  <c r="AA49" i="5"/>
  <c r="AD73" i="5"/>
  <c r="AD48" i="5"/>
  <c r="AA48" i="5"/>
  <c r="U48" i="5"/>
  <c r="AD47" i="5"/>
  <c r="AA47" i="5"/>
  <c r="R47" i="5"/>
  <c r="AD72" i="5"/>
  <c r="R72" i="5"/>
  <c r="U71" i="5"/>
  <c r="AA46" i="5"/>
  <c r="AA45" i="5"/>
  <c r="X45" i="5"/>
  <c r="U45" i="5"/>
  <c r="AA70" i="5"/>
  <c r="X70" i="5"/>
  <c r="U70" i="5"/>
  <c r="X69" i="5"/>
  <c r="R44" i="5"/>
  <c r="AA43" i="5"/>
  <c r="X43" i="5"/>
  <c r="U43" i="5"/>
  <c r="R43" i="5"/>
  <c r="AD67" i="5"/>
  <c r="R67" i="5"/>
  <c r="U42" i="5"/>
  <c r="R42" i="5"/>
  <c r="AD41" i="5"/>
  <c r="X41" i="5"/>
  <c r="X66" i="5"/>
  <c r="U66" i="5"/>
  <c r="R66" i="5"/>
  <c r="X72" i="5"/>
  <c r="AD71" i="5"/>
  <c r="R71" i="5"/>
  <c r="X74" i="5"/>
  <c r="X71" i="5"/>
  <c r="X68" i="5"/>
  <c r="AA67" i="5"/>
  <c r="AD66" i="5"/>
  <c r="AD69" i="5"/>
  <c r="R69" i="5"/>
  <c r="U68" i="5"/>
  <c r="X67" i="5"/>
  <c r="S156" i="2"/>
  <c r="AD75" i="5"/>
  <c r="AA72" i="5"/>
  <c r="R70" i="5"/>
  <c r="R68" i="5"/>
  <c r="U73" i="5"/>
  <c r="U69" i="5"/>
  <c r="AA68" i="5"/>
  <c r="O156" i="2"/>
  <c r="U74" i="5"/>
  <c r="AD74" i="5"/>
  <c r="AA71" i="5"/>
  <c r="AA69" i="5"/>
  <c r="W156" i="2"/>
  <c r="T135" i="2"/>
  <c r="R46" i="5"/>
  <c r="AA50" i="5"/>
  <c r="U49" i="5"/>
  <c r="R48" i="5"/>
  <c r="U47" i="5"/>
  <c r="AA44" i="5"/>
  <c r="X42" i="5"/>
  <c r="U41" i="5"/>
  <c r="X44" i="5"/>
  <c r="R49" i="5"/>
  <c r="U44" i="5"/>
  <c r="AA41" i="5"/>
  <c r="AD50" i="5"/>
  <c r="U46" i="5"/>
  <c r="AD42" i="5"/>
  <c r="R135" i="2"/>
  <c r="D133" i="2"/>
  <c r="D154" i="2"/>
  <c r="E154" i="2"/>
  <c r="F154" i="2"/>
  <c r="G154" i="2"/>
  <c r="H154" i="2"/>
  <c r="I154" i="2"/>
  <c r="K154" i="2"/>
  <c r="L154" i="2"/>
  <c r="M154" i="2"/>
  <c r="J154" i="2"/>
  <c r="E134" i="2"/>
  <c r="F134" i="2"/>
  <c r="G134" i="2"/>
  <c r="H134" i="2"/>
  <c r="I134" i="2"/>
  <c r="J134" i="2"/>
  <c r="K134" i="2"/>
  <c r="L134" i="2"/>
  <c r="M134" i="2"/>
  <c r="D134" i="2"/>
  <c r="E133" i="2"/>
  <c r="F133" i="2"/>
  <c r="G133" i="2"/>
  <c r="H133" i="2"/>
  <c r="I133" i="2"/>
  <c r="J133" i="2"/>
  <c r="K133" i="2"/>
  <c r="L133" i="2"/>
  <c r="M133" i="2"/>
  <c r="E155" i="2"/>
  <c r="F155" i="2"/>
  <c r="G155" i="2"/>
  <c r="H155" i="2"/>
  <c r="I155" i="2"/>
  <c r="J155" i="2"/>
  <c r="K155" i="2"/>
  <c r="L155" i="2"/>
  <c r="M155" i="2"/>
  <c r="D155" i="2"/>
  <c r="M137" i="2"/>
  <c r="AB31" i="5"/>
  <c r="V32" i="5"/>
  <c r="S31" i="5"/>
  <c r="P31" i="5"/>
  <c r="O31" i="5"/>
  <c r="P32" i="5"/>
  <c r="D158" i="2"/>
  <c r="M158" i="2"/>
  <c r="L158" i="2"/>
  <c r="K158" i="2"/>
  <c r="J158" i="2"/>
  <c r="I158" i="2"/>
  <c r="H158" i="2"/>
  <c r="G158" i="2"/>
  <c r="F158" i="2"/>
  <c r="E158" i="2"/>
  <c r="F137" i="2"/>
  <c r="G137" i="2"/>
  <c r="H137" i="2"/>
  <c r="I137" i="2"/>
  <c r="J137" i="2"/>
  <c r="K137" i="2"/>
  <c r="L137" i="2"/>
  <c r="D137" i="2"/>
  <c r="E137" i="2"/>
  <c r="AA154" i="2" l="1"/>
  <c r="AB155" i="2"/>
  <c r="AD154" i="2"/>
  <c r="AC134" i="2"/>
  <c r="Y134" i="2"/>
  <c r="Z134" i="2"/>
  <c r="AA134" i="2"/>
  <c r="AB134" i="2"/>
  <c r="AD134" i="2"/>
  <c r="AC155" i="2"/>
  <c r="Y155" i="2"/>
  <c r="AC154" i="2"/>
  <c r="AD155" i="2"/>
  <c r="Y154" i="2"/>
  <c r="Z155" i="2"/>
  <c r="Y133" i="2"/>
  <c r="AB133" i="2"/>
  <c r="Z133" i="2"/>
  <c r="AC133" i="2"/>
  <c r="AD133" i="2"/>
  <c r="AA133" i="2"/>
  <c r="AB154" i="2"/>
  <c r="AA155" i="2"/>
  <c r="AA137" i="2"/>
  <c r="Z154" i="2"/>
  <c r="Z137" i="2"/>
  <c r="Y137" i="2"/>
  <c r="Z158" i="2"/>
  <c r="Y158" i="2"/>
  <c r="AA158" i="2"/>
  <c r="G135" i="2"/>
  <c r="U150" i="2"/>
  <c r="R129" i="2"/>
  <c r="R130" i="2" s="1"/>
  <c r="W150" i="2"/>
  <c r="V150" i="2"/>
  <c r="T150" i="2"/>
  <c r="S150" i="2"/>
  <c r="R150" i="2"/>
  <c r="P150" i="2"/>
  <c r="O150" i="2"/>
  <c r="N150" i="2"/>
  <c r="S129" i="2"/>
  <c r="S130" i="2" s="1"/>
  <c r="T129" i="2"/>
  <c r="T130" i="2" s="1"/>
  <c r="O129" i="2"/>
  <c r="O130" i="2" s="1"/>
  <c r="Q150" i="2"/>
  <c r="P129" i="2"/>
  <c r="P130" i="2" s="1"/>
  <c r="N129" i="2"/>
  <c r="N130" i="2" s="1"/>
  <c r="Q129" i="2"/>
  <c r="Q130" i="2" s="1"/>
  <c r="U129" i="2"/>
  <c r="U130" i="2" s="1"/>
  <c r="W129" i="2"/>
  <c r="W130" i="2" s="1"/>
  <c r="V129" i="2"/>
  <c r="V130" i="2" s="1"/>
  <c r="AA62" i="2"/>
  <c r="Z62" i="2"/>
  <c r="Y62" i="2"/>
  <c r="AA57" i="2"/>
  <c r="Z57" i="2"/>
  <c r="Y57" i="2"/>
  <c r="X57" i="2" s="1"/>
  <c r="K135" i="2"/>
  <c r="J135" i="2"/>
  <c r="F156" i="2"/>
  <c r="I135" i="2"/>
  <c r="M135" i="2"/>
  <c r="E135" i="2"/>
  <c r="H156" i="2"/>
  <c r="J156" i="2"/>
  <c r="E156" i="2"/>
  <c r="H135" i="2"/>
  <c r="D135" i="2"/>
  <c r="I156" i="2"/>
  <c r="G156" i="2"/>
  <c r="M156" i="2"/>
  <c r="F135" i="2"/>
  <c r="L135" i="2"/>
  <c r="D156" i="2"/>
  <c r="K156" i="2"/>
  <c r="L156" i="2"/>
  <c r="G60" i="2"/>
  <c r="G58" i="2"/>
  <c r="X62" i="2" l="1"/>
  <c r="X137" i="2"/>
  <c r="X158" i="2"/>
  <c r="Y156" i="2"/>
  <c r="Z156" i="2"/>
  <c r="X156" i="2" s="1"/>
  <c r="AA156" i="2"/>
  <c r="Y135" i="2"/>
  <c r="AA135" i="2"/>
  <c r="Z135" i="2"/>
  <c r="D52" i="2"/>
  <c r="X135" i="2" l="1"/>
  <c r="Z36" i="2"/>
  <c r="X36" i="2" s="1"/>
  <c r="AA36" i="2"/>
  <c r="P40" i="5"/>
  <c r="P39" i="5"/>
  <c r="P38" i="5"/>
  <c r="P37" i="5"/>
  <c r="P36" i="5"/>
  <c r="P35" i="5"/>
  <c r="P33" i="5"/>
  <c r="AC65" i="5"/>
  <c r="AB65" i="5"/>
  <c r="Z65" i="5"/>
  <c r="Y65" i="5"/>
  <c r="W65" i="5"/>
  <c r="V65" i="5"/>
  <c r="T65" i="5"/>
  <c r="S65" i="5"/>
  <c r="Q65" i="5"/>
  <c r="AC64" i="5"/>
  <c r="AB64" i="5"/>
  <c r="Z64" i="5"/>
  <c r="Y64" i="5"/>
  <c r="W64" i="5"/>
  <c r="V64" i="5"/>
  <c r="T64" i="5"/>
  <c r="S64" i="5"/>
  <c r="Q64" i="5"/>
  <c r="P64" i="5"/>
  <c r="AC63" i="5"/>
  <c r="AB63" i="5"/>
  <c r="Z63" i="5"/>
  <c r="Y63" i="5"/>
  <c r="W63" i="5"/>
  <c r="V63" i="5"/>
  <c r="T63" i="5"/>
  <c r="S63" i="5"/>
  <c r="Q63" i="5"/>
  <c r="P63" i="5"/>
  <c r="AC62" i="5"/>
  <c r="AB62" i="5"/>
  <c r="Z62" i="5"/>
  <c r="Y62" i="5"/>
  <c r="W62" i="5"/>
  <c r="V62" i="5"/>
  <c r="T62" i="5"/>
  <c r="S62" i="5"/>
  <c r="Q62" i="5"/>
  <c r="P62" i="5"/>
  <c r="AC61" i="5"/>
  <c r="AB61" i="5"/>
  <c r="Z61" i="5"/>
  <c r="Y61" i="5"/>
  <c r="W61" i="5"/>
  <c r="V61" i="5"/>
  <c r="T61" i="5"/>
  <c r="S61" i="5"/>
  <c r="Q61" i="5"/>
  <c r="P61" i="5"/>
  <c r="AC60" i="5"/>
  <c r="AB60" i="5"/>
  <c r="Z60" i="5"/>
  <c r="Y60" i="5"/>
  <c r="W60" i="5"/>
  <c r="V60" i="5"/>
  <c r="T60" i="5"/>
  <c r="S60" i="5"/>
  <c r="Q60" i="5"/>
  <c r="P60" i="5"/>
  <c r="AC59" i="5"/>
  <c r="AB59" i="5"/>
  <c r="Z59" i="5"/>
  <c r="Y59" i="5"/>
  <c r="W59" i="5"/>
  <c r="V59" i="5"/>
  <c r="T59" i="5"/>
  <c r="S59" i="5"/>
  <c r="Q59" i="5"/>
  <c r="P59" i="5"/>
  <c r="AC58" i="5"/>
  <c r="AB58" i="5"/>
  <c r="Z58" i="5"/>
  <c r="Y58" i="5"/>
  <c r="W58" i="5"/>
  <c r="V58" i="5"/>
  <c r="T58" i="5"/>
  <c r="S58" i="5"/>
  <c r="Q58" i="5"/>
  <c r="P58" i="5"/>
  <c r="AC57" i="5"/>
  <c r="AB57" i="5"/>
  <c r="Z57" i="5"/>
  <c r="Y57" i="5"/>
  <c r="W57" i="5"/>
  <c r="V57" i="5"/>
  <c r="T57" i="5"/>
  <c r="S57" i="5"/>
  <c r="Q57" i="5"/>
  <c r="P57" i="5"/>
  <c r="AC56" i="5"/>
  <c r="AB56" i="5"/>
  <c r="Z56" i="5"/>
  <c r="Y56" i="5"/>
  <c r="T56" i="5"/>
  <c r="S56" i="5"/>
  <c r="AC40" i="5"/>
  <c r="AB40" i="5"/>
  <c r="Z40" i="5"/>
  <c r="Y40" i="5"/>
  <c r="W40" i="5"/>
  <c r="V40" i="5"/>
  <c r="T40" i="5"/>
  <c r="S40" i="5"/>
  <c r="Q40" i="5"/>
  <c r="AC39" i="5"/>
  <c r="AB39" i="5"/>
  <c r="Z39" i="5"/>
  <c r="Y39" i="5"/>
  <c r="W39" i="5"/>
  <c r="V39" i="5"/>
  <c r="T39" i="5"/>
  <c r="S39" i="5"/>
  <c r="Q39" i="5"/>
  <c r="AC38" i="5"/>
  <c r="AB38" i="5"/>
  <c r="Z38" i="5"/>
  <c r="Y38" i="5"/>
  <c r="W38" i="5"/>
  <c r="V38" i="5"/>
  <c r="T38" i="5"/>
  <c r="S38" i="5"/>
  <c r="Q38" i="5"/>
  <c r="AC37" i="5"/>
  <c r="AB37" i="5"/>
  <c r="Z37" i="5"/>
  <c r="Y37" i="5"/>
  <c r="W37" i="5"/>
  <c r="V37" i="5"/>
  <c r="T37" i="5"/>
  <c r="S37" i="5"/>
  <c r="Q37" i="5"/>
  <c r="AC36" i="5"/>
  <c r="AB36" i="5"/>
  <c r="Z36" i="5"/>
  <c r="Y36" i="5"/>
  <c r="W36" i="5"/>
  <c r="V36" i="5"/>
  <c r="T36" i="5"/>
  <c r="S36" i="5"/>
  <c r="Q36" i="5"/>
  <c r="AC35" i="5"/>
  <c r="AB35" i="5"/>
  <c r="Z35" i="5"/>
  <c r="Y35" i="5"/>
  <c r="W35" i="5"/>
  <c r="V35" i="5"/>
  <c r="T35" i="5"/>
  <c r="S35" i="5"/>
  <c r="Q35" i="5"/>
  <c r="AC34" i="5"/>
  <c r="AB34" i="5"/>
  <c r="Z34" i="5"/>
  <c r="Y34" i="5"/>
  <c r="W34" i="5"/>
  <c r="V34" i="5"/>
  <c r="T34" i="5"/>
  <c r="S34" i="5"/>
  <c r="Q34" i="5"/>
  <c r="P34" i="5"/>
  <c r="AC33" i="5"/>
  <c r="AB33" i="5"/>
  <c r="Z33" i="5"/>
  <c r="Y33" i="5"/>
  <c r="W33" i="5"/>
  <c r="V33" i="5"/>
  <c r="T33" i="5"/>
  <c r="S33" i="5"/>
  <c r="Q33" i="5"/>
  <c r="AC32" i="5"/>
  <c r="AB32" i="5"/>
  <c r="Z32" i="5"/>
  <c r="Y32" i="5"/>
  <c r="W32" i="5"/>
  <c r="T32" i="5"/>
  <c r="S32" i="5"/>
  <c r="Q32" i="5"/>
  <c r="AC31" i="5"/>
  <c r="Z31" i="5"/>
  <c r="Y31" i="5"/>
  <c r="W31" i="5"/>
  <c r="V31" i="5"/>
  <c r="T31" i="5"/>
  <c r="Q31" i="5"/>
  <c r="E52" i="2"/>
  <c r="F52" i="2"/>
  <c r="G52" i="2"/>
  <c r="H52" i="2"/>
  <c r="J52" i="2"/>
  <c r="K52" i="2"/>
  <c r="L52" i="2"/>
  <c r="M52" i="2"/>
  <c r="I52" i="2"/>
  <c r="F60" i="2"/>
  <c r="E58" i="2"/>
  <c r="F58" i="2"/>
  <c r="H58" i="2"/>
  <c r="I58" i="2"/>
  <c r="J58" i="2"/>
  <c r="K58" i="2"/>
  <c r="L58" i="2"/>
  <c r="M58" i="2"/>
  <c r="E59" i="2"/>
  <c r="F59" i="2"/>
  <c r="G59" i="2"/>
  <c r="H59" i="2"/>
  <c r="I59" i="2"/>
  <c r="J59" i="2"/>
  <c r="K59" i="2"/>
  <c r="L59" i="2"/>
  <c r="M59" i="2"/>
  <c r="D59" i="2"/>
  <c r="D58" i="2"/>
  <c r="E60" i="2"/>
  <c r="H60" i="2"/>
  <c r="I60" i="2"/>
  <c r="J60" i="2"/>
  <c r="K60" i="2"/>
  <c r="L60" i="2"/>
  <c r="M60" i="2"/>
  <c r="E61" i="2"/>
  <c r="F61" i="2"/>
  <c r="G61" i="2"/>
  <c r="H61" i="2"/>
  <c r="I61" i="2"/>
  <c r="J61" i="2"/>
  <c r="K61" i="2"/>
  <c r="L61" i="2"/>
  <c r="M61" i="2"/>
  <c r="D61" i="2"/>
  <c r="D60" i="2"/>
  <c r="AA52" i="2" l="1"/>
  <c r="Y52" i="2"/>
  <c r="X52" i="2" s="1"/>
  <c r="Z52" i="2"/>
  <c r="AA61" i="2"/>
  <c r="Z61" i="2"/>
  <c r="Y61" i="2"/>
  <c r="Z58" i="2"/>
  <c r="AA58" i="2"/>
  <c r="Y58" i="2"/>
  <c r="Y59" i="2"/>
  <c r="AA59" i="2"/>
  <c r="Z59" i="2"/>
  <c r="Z60" i="2"/>
  <c r="AA60" i="2"/>
  <c r="Y60" i="2"/>
  <c r="X59" i="2" l="1"/>
  <c r="X61" i="2"/>
  <c r="E55" i="2"/>
  <c r="E56" i="2" s="1"/>
  <c r="F55" i="2"/>
  <c r="F56" i="2" s="1"/>
  <c r="G55" i="2"/>
  <c r="G56" i="2" s="1"/>
  <c r="H55" i="2"/>
  <c r="H56" i="2" s="1"/>
  <c r="I55" i="2"/>
  <c r="I56" i="2" s="1"/>
  <c r="J55" i="2"/>
  <c r="J56" i="2" s="1"/>
  <c r="K55" i="2"/>
  <c r="K56" i="2" s="1"/>
  <c r="L55" i="2"/>
  <c r="L56" i="2" s="1"/>
  <c r="M55" i="2"/>
  <c r="M56" i="2" s="1"/>
  <c r="AA55" i="2" l="1"/>
  <c r="Y55" i="2"/>
  <c r="X55" i="2" s="1"/>
  <c r="Z55" i="2"/>
  <c r="B37" i="4" l="1"/>
  <c r="H54" i="2" l="1"/>
  <c r="E54" i="2"/>
  <c r="O40" i="5" l="1"/>
  <c r="O39" i="5"/>
  <c r="O38" i="5"/>
  <c r="O37" i="5"/>
  <c r="O36" i="5"/>
  <c r="O35" i="5"/>
  <c r="O34" i="5"/>
  <c r="O33" i="5"/>
  <c r="O32" i="5"/>
  <c r="O64" i="5" l="1"/>
  <c r="O63" i="5"/>
  <c r="O62" i="5"/>
  <c r="O61" i="5"/>
  <c r="O60" i="5"/>
  <c r="O59" i="5"/>
  <c r="O58" i="5"/>
  <c r="O57" i="5"/>
  <c r="O56" i="5"/>
  <c r="R65" i="5" l="1"/>
  <c r="X32" i="5"/>
  <c r="AD32" i="5"/>
  <c r="X34" i="5"/>
  <c r="AD34" i="5"/>
  <c r="X38" i="5"/>
  <c r="AD38" i="5"/>
  <c r="X40" i="5"/>
  <c r="AD40" i="5"/>
  <c r="AA34" i="5"/>
  <c r="AD59" i="5"/>
  <c r="R63" i="5"/>
  <c r="AD63" i="5"/>
  <c r="R58" i="5"/>
  <c r="AD58" i="5"/>
  <c r="R62" i="5"/>
  <c r="AD62" i="5"/>
  <c r="R56" i="5"/>
  <c r="AD56" i="5"/>
  <c r="R60" i="5"/>
  <c r="AD60" i="5"/>
  <c r="AA63" i="5"/>
  <c r="R59" i="5"/>
  <c r="AA59" i="5"/>
  <c r="U35" i="5"/>
  <c r="X65" i="5"/>
  <c r="AD65" i="5"/>
  <c r="R64" i="5"/>
  <c r="AD64" i="5"/>
  <c r="AA58" i="5"/>
  <c r="AA62" i="5"/>
  <c r="AA65" i="5"/>
  <c r="AA57" i="5"/>
  <c r="AA61" i="5"/>
  <c r="AA56" i="5"/>
  <c r="R57" i="5"/>
  <c r="AD57" i="5"/>
  <c r="AA60" i="5"/>
  <c r="R61" i="5"/>
  <c r="AD61" i="5"/>
  <c r="AA64" i="5"/>
  <c r="U39" i="5"/>
  <c r="AA40" i="5"/>
  <c r="AA38" i="5"/>
  <c r="AA32" i="5"/>
  <c r="X36" i="5"/>
  <c r="AD36" i="5"/>
  <c r="AA36" i="5"/>
  <c r="R32" i="5"/>
  <c r="U37" i="5"/>
  <c r="U33" i="5"/>
  <c r="U31" i="5"/>
  <c r="X56" i="5"/>
  <c r="X57" i="5"/>
  <c r="X58" i="5"/>
  <c r="X59" i="5"/>
  <c r="X60" i="5"/>
  <c r="X61" i="5"/>
  <c r="X62" i="5"/>
  <c r="X63" i="5"/>
  <c r="X64" i="5"/>
  <c r="U56" i="5"/>
  <c r="U57" i="5"/>
  <c r="U58" i="5"/>
  <c r="U59" i="5"/>
  <c r="U60" i="5"/>
  <c r="U61" i="5"/>
  <c r="U62" i="5"/>
  <c r="U63" i="5"/>
  <c r="U64" i="5"/>
  <c r="U65" i="5"/>
  <c r="AA31" i="5"/>
  <c r="U32" i="5"/>
  <c r="X33" i="5"/>
  <c r="AD33" i="5"/>
  <c r="AA35" i="5"/>
  <c r="U36" i="5"/>
  <c r="X37" i="5"/>
  <c r="AD37" i="5"/>
  <c r="AA39" i="5"/>
  <c r="R31" i="5"/>
  <c r="X31" i="5"/>
  <c r="AD31" i="5"/>
  <c r="AA33" i="5"/>
  <c r="U34" i="5"/>
  <c r="X35" i="5"/>
  <c r="AD35" i="5"/>
  <c r="AA37" i="5"/>
  <c r="U38" i="5"/>
  <c r="X39" i="5"/>
  <c r="AD39" i="5"/>
  <c r="R33" i="5"/>
  <c r="R34" i="5"/>
  <c r="R35" i="5"/>
  <c r="R36" i="5"/>
  <c r="R37" i="5"/>
  <c r="R38" i="5"/>
  <c r="R39" i="5"/>
  <c r="R40" i="5"/>
  <c r="U40" i="5"/>
  <c r="D150" i="21" l="1"/>
  <c r="D129" i="21"/>
  <c r="D129" i="20"/>
  <c r="P151" i="2"/>
  <c r="N151" i="2"/>
  <c r="U151" i="2"/>
  <c r="Q151" i="2"/>
  <c r="W151" i="2"/>
  <c r="R151" i="2"/>
  <c r="S151" i="2"/>
  <c r="T151" i="2"/>
  <c r="O151" i="2"/>
  <c r="V151" i="2"/>
  <c r="J129" i="2"/>
  <c r="J130" i="2" s="1"/>
  <c r="H129" i="2"/>
  <c r="H130" i="2" s="1"/>
  <c r="I129" i="2"/>
  <c r="I130" i="2" s="1"/>
  <c r="E129" i="2"/>
  <c r="E130" i="2" s="1"/>
  <c r="G129" i="2"/>
  <c r="G130" i="2" s="1"/>
  <c r="F129" i="2"/>
  <c r="F130" i="2" s="1"/>
  <c r="K129" i="2"/>
  <c r="K130" i="2" s="1"/>
  <c r="M129" i="2"/>
  <c r="M130" i="2" s="1"/>
  <c r="L129" i="2"/>
  <c r="L130" i="2" s="1"/>
  <c r="D129" i="2"/>
  <c r="E150" i="2"/>
  <c r="D151" i="21" l="1"/>
  <c r="X151" i="21" s="1"/>
  <c r="X150" i="21"/>
  <c r="X151" i="20"/>
  <c r="X150" i="20"/>
  <c r="D130" i="21"/>
  <c r="X130" i="21" s="1"/>
  <c r="X129" i="21"/>
  <c r="D130" i="20"/>
  <c r="X130" i="20" s="1"/>
  <c r="X129" i="20"/>
  <c r="X129" i="2"/>
  <c r="D130" i="2"/>
  <c r="X130" i="2" s="1"/>
  <c r="G150" i="2"/>
  <c r="F150" i="2"/>
  <c r="F54" i="2" l="1"/>
  <c r="G54" i="2"/>
  <c r="I47" i="2"/>
  <c r="I54" i="2" s="1"/>
  <c r="J47" i="2"/>
  <c r="J54" i="2" s="1"/>
  <c r="K47" i="2"/>
  <c r="K54" i="2" s="1"/>
  <c r="L47" i="2"/>
  <c r="L54" i="2" s="1"/>
  <c r="M47" i="2"/>
  <c r="M54" i="2" s="1"/>
  <c r="AB54" i="2" l="1"/>
  <c r="D54" i="2"/>
  <c r="AA54" i="2" s="1"/>
  <c r="B81" i="4"/>
  <c r="B70" i="4"/>
  <c r="B59" i="4"/>
  <c r="Z54" i="2" l="1"/>
  <c r="Y54" i="2"/>
  <c r="X54" i="2" s="1"/>
  <c r="H25" i="2" s="1"/>
  <c r="J27" i="5"/>
  <c r="J30" i="5"/>
  <c r="J51" i="5"/>
  <c r="J47" i="5"/>
  <c r="J48" i="5"/>
  <c r="K47" i="5"/>
  <c r="J50" i="5"/>
  <c r="J46" i="5"/>
  <c r="K45" i="5"/>
  <c r="K46" i="5"/>
  <c r="J49" i="5"/>
  <c r="P80" i="4" s="1"/>
  <c r="K37" i="5"/>
  <c r="J40" i="5"/>
  <c r="P69" i="4" s="1"/>
  <c r="J36" i="5"/>
  <c r="J41" i="5"/>
  <c r="K36" i="5"/>
  <c r="J39" i="5"/>
  <c r="K38" i="5"/>
  <c r="J42" i="5"/>
  <c r="J38" i="5"/>
  <c r="J37" i="5"/>
  <c r="J33" i="5"/>
  <c r="J29" i="5"/>
  <c r="J31" i="5"/>
  <c r="P58" i="4" s="1"/>
  <c r="K29" i="5"/>
  <c r="J32" i="5"/>
  <c r="J28" i="5"/>
  <c r="K28" i="5"/>
  <c r="K27" i="5"/>
  <c r="G12" i="5"/>
  <c r="G19" i="4" l="1"/>
  <c r="J21" i="5"/>
  <c r="J23" i="5"/>
  <c r="K19" i="5"/>
  <c r="J22" i="5"/>
  <c r="J24" i="5"/>
  <c r="E7" i="5" l="1"/>
  <c r="C24" i="5"/>
  <c r="C25" i="5"/>
  <c r="C26" i="5"/>
  <c r="C27" i="5"/>
  <c r="C31" i="5"/>
  <c r="C32" i="5"/>
  <c r="C33" i="5"/>
  <c r="K51" i="5" l="1"/>
  <c r="K49" i="5"/>
  <c r="K39" i="5"/>
  <c r="K41" i="5"/>
  <c r="K32" i="5"/>
  <c r="K48" i="5"/>
  <c r="K31" i="5"/>
  <c r="K50" i="5"/>
  <c r="K42" i="5"/>
  <c r="K33" i="5"/>
  <c r="K30" i="5"/>
  <c r="K40" i="5"/>
  <c r="K7" i="5"/>
  <c r="K24" i="5"/>
  <c r="K10" i="5"/>
  <c r="K21" i="5"/>
  <c r="K23" i="5"/>
  <c r="K9" i="5"/>
  <c r="K22" i="5"/>
  <c r="K20" i="5"/>
  <c r="E33" i="5"/>
  <c r="E28" i="5"/>
  <c r="C28" i="5" s="1"/>
  <c r="E27" i="5"/>
  <c r="J8" i="5" l="1"/>
  <c r="K8" i="5"/>
  <c r="J150" i="2"/>
  <c r="J151" i="2" s="1"/>
  <c r="E151" i="2"/>
  <c r="G151" i="2"/>
  <c r="I150" i="2"/>
  <c r="I151" i="2" s="1"/>
  <c r="L150" i="2"/>
  <c r="L151" i="2" s="1"/>
  <c r="K150" i="2"/>
  <c r="K151" i="2" s="1"/>
  <c r="M150" i="2"/>
  <c r="M151" i="2" s="1"/>
  <c r="H150" i="2"/>
  <c r="F151" i="2"/>
  <c r="H151" i="2" l="1"/>
  <c r="X151" i="2" s="1"/>
  <c r="H116" i="2" s="1"/>
  <c r="X150" i="2"/>
</calcChain>
</file>

<file path=xl/comments1.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2.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3.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4.xml><?xml version="1.0" encoding="utf-8"?>
<comments xmlns="http://schemas.openxmlformats.org/spreadsheetml/2006/main">
  <authors>
    <author>鈴木 行雄</author>
    <author>CN</author>
  </authors>
  <commentList>
    <comment ref="F25" authorId="0" shapeId="0">
      <text>
        <r>
          <rPr>
            <sz val="16"/>
            <color indexed="10"/>
            <rFont val="メイリオ"/>
            <family val="3"/>
            <charset val="128"/>
          </rPr>
          <t>　※既設・更新を含め設置された又は設置する
　【全ての換気設備】を記入してください。</t>
        </r>
      </text>
    </comment>
    <comment ref="C68"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68"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0"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H116"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2" authorId="1" shapeId="0">
      <text>
        <r>
          <rPr>
            <sz val="12"/>
            <color indexed="81"/>
            <rFont val="メイリオ"/>
            <family val="3"/>
            <charset val="128"/>
          </rPr>
          <t>　（　）内に室外機の型番を記入すること。</t>
        </r>
      </text>
    </comment>
    <comment ref="C18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4" authorId="1" shapeId="0">
      <text>
        <r>
          <rPr>
            <sz val="12"/>
            <color indexed="81"/>
            <rFont val="メイリオ"/>
            <family val="3"/>
            <charset val="128"/>
          </rPr>
          <t>　（　）内に室外機の型番を記入すること。</t>
        </r>
      </text>
    </comment>
  </commentList>
</comments>
</file>

<file path=xl/comments5.xml><?xml version="1.0" encoding="utf-8"?>
<comments xmlns="http://schemas.openxmlformats.org/spreadsheetml/2006/main">
  <authors>
    <author>鈴木 行雄</author>
    <author>CN</author>
  </authors>
  <commentList>
    <comment ref="F25" authorId="0" shapeId="0">
      <text>
        <r>
          <rPr>
            <sz val="16"/>
            <color indexed="10"/>
            <rFont val="メイリオ"/>
            <family val="3"/>
            <charset val="128"/>
          </rPr>
          <t>　※既設・更新を含め設置された又は設置する
　【全ての換気設備】を記入してください。</t>
        </r>
      </text>
    </comment>
    <comment ref="C68"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68"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0"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H116"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2" authorId="1" shapeId="0">
      <text>
        <r>
          <rPr>
            <sz val="12"/>
            <color indexed="81"/>
            <rFont val="メイリオ"/>
            <family val="3"/>
            <charset val="128"/>
          </rPr>
          <t>　（　）内に室外機の型番を記入すること。</t>
        </r>
      </text>
    </comment>
    <comment ref="C18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4" authorId="1" shapeId="0">
      <text>
        <r>
          <rPr>
            <sz val="12"/>
            <color indexed="81"/>
            <rFont val="メイリオ"/>
            <family val="3"/>
            <charset val="128"/>
          </rPr>
          <t>　（　）内に室外機の型番を記入すること。</t>
        </r>
      </text>
    </comment>
  </commentList>
</comments>
</file>

<file path=xl/comments6.xml><?xml version="1.0" encoding="utf-8"?>
<comments xmlns="http://schemas.openxmlformats.org/spreadsheetml/2006/main">
  <authors>
    <author>鈴木 行雄</author>
    <author>CN</author>
  </authors>
  <commentList>
    <comment ref="F25" authorId="0" shapeId="0">
      <text>
        <r>
          <rPr>
            <sz val="16"/>
            <color indexed="10"/>
            <rFont val="メイリオ"/>
            <family val="3"/>
            <charset val="128"/>
          </rPr>
          <t>　※既設・更新を含め設置された又は設置する
　【全ての換気設備】を記入してください。</t>
        </r>
      </text>
    </comment>
    <comment ref="C68"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68"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0"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H116"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2" authorId="1" shapeId="0">
      <text>
        <r>
          <rPr>
            <sz val="12"/>
            <color indexed="81"/>
            <rFont val="メイリオ"/>
            <family val="3"/>
            <charset val="128"/>
          </rPr>
          <t>　（　）内に室外機の型番を記入すること。</t>
        </r>
      </text>
    </comment>
    <comment ref="C18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4" authorId="1" shapeId="0">
      <text>
        <r>
          <rPr>
            <sz val="12"/>
            <color indexed="81"/>
            <rFont val="メイリオ"/>
            <family val="3"/>
            <charset val="128"/>
          </rPr>
          <t>　（　）内に室外機の型番を記入すること。</t>
        </r>
      </text>
    </comment>
  </commentList>
</comments>
</file>

<file path=xl/comments7.xml><?xml version="1.0" encoding="utf-8"?>
<comments xmlns="http://schemas.openxmlformats.org/spreadsheetml/2006/main">
  <authors>
    <author>鈴木 行雄</author>
  </authors>
  <commentList>
    <comment ref="B22" authorId="0" shapeId="0">
      <text>
        <r>
          <rPr>
            <sz val="12"/>
            <color indexed="10"/>
            <rFont val="メイリオ"/>
            <family val="3"/>
            <charset val="128"/>
          </rPr>
          <t>年度</t>
        </r>
        <r>
          <rPr>
            <sz val="12"/>
            <color indexed="81"/>
            <rFont val="メイリオ"/>
            <family val="3"/>
            <charset val="128"/>
          </rPr>
          <t>をプルダウンメニューより選択</t>
        </r>
      </text>
    </comment>
    <comment ref="E33"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3"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4" authorId="0" shapeId="0">
      <text>
        <r>
          <rPr>
            <sz val="12"/>
            <color indexed="10"/>
            <rFont val="メイリオ"/>
            <family val="3"/>
            <charset val="128"/>
          </rPr>
          <t>年度</t>
        </r>
        <r>
          <rPr>
            <sz val="12"/>
            <color indexed="81"/>
            <rFont val="メイリオ"/>
            <family val="3"/>
            <charset val="128"/>
          </rPr>
          <t>をプルダウンメニューより選択</t>
        </r>
      </text>
    </comment>
    <comment ref="E4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5" authorId="0" shapeId="0">
      <text>
        <r>
          <rPr>
            <sz val="12"/>
            <color indexed="10"/>
            <rFont val="メイリオ"/>
            <family val="3"/>
            <charset val="128"/>
          </rPr>
          <t>年度</t>
        </r>
        <r>
          <rPr>
            <sz val="12"/>
            <color indexed="81"/>
            <rFont val="メイリオ"/>
            <family val="3"/>
            <charset val="128"/>
          </rPr>
          <t>をプルダウンメニューより選択</t>
        </r>
      </text>
    </comment>
    <comment ref="E5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6" authorId="0" shapeId="0">
      <text>
        <r>
          <rPr>
            <sz val="12"/>
            <color indexed="10"/>
            <rFont val="メイリオ"/>
            <family val="3"/>
            <charset val="128"/>
          </rPr>
          <t>年度</t>
        </r>
        <r>
          <rPr>
            <sz val="12"/>
            <color indexed="81"/>
            <rFont val="メイリオ"/>
            <family val="3"/>
            <charset val="128"/>
          </rPr>
          <t>をプルダウンメニューより選択</t>
        </r>
      </text>
    </comment>
    <comment ref="E6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7" authorId="0" shapeId="0">
      <text>
        <r>
          <rPr>
            <sz val="12"/>
            <color indexed="10"/>
            <rFont val="メイリオ"/>
            <family val="3"/>
            <charset val="128"/>
          </rPr>
          <t>年度</t>
        </r>
        <r>
          <rPr>
            <sz val="12"/>
            <color indexed="81"/>
            <rFont val="メイリオ"/>
            <family val="3"/>
            <charset val="128"/>
          </rPr>
          <t>をプルダウンメニューより選択</t>
        </r>
      </text>
    </comment>
    <comment ref="E77"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8"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comments8.xml><?xml version="1.0" encoding="utf-8"?>
<comments xmlns="http://schemas.openxmlformats.org/spreadsheetml/2006/main">
  <authors>
    <author>鈴木 行雄</author>
  </authors>
  <commentList>
    <comment ref="B22" authorId="0" shapeId="0">
      <text>
        <r>
          <rPr>
            <sz val="12"/>
            <color indexed="10"/>
            <rFont val="メイリオ"/>
            <family val="3"/>
            <charset val="128"/>
          </rPr>
          <t>年度</t>
        </r>
        <r>
          <rPr>
            <sz val="12"/>
            <color indexed="81"/>
            <rFont val="メイリオ"/>
            <family val="3"/>
            <charset val="128"/>
          </rPr>
          <t>をプルダウンメニューより選択</t>
        </r>
      </text>
    </comment>
    <comment ref="E33"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3"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4" authorId="0" shapeId="0">
      <text>
        <r>
          <rPr>
            <sz val="12"/>
            <color indexed="10"/>
            <rFont val="メイリオ"/>
            <family val="3"/>
            <charset val="128"/>
          </rPr>
          <t>年度</t>
        </r>
        <r>
          <rPr>
            <sz val="12"/>
            <color indexed="81"/>
            <rFont val="メイリオ"/>
            <family val="3"/>
            <charset val="128"/>
          </rPr>
          <t>をプルダウンメニューより選択</t>
        </r>
      </text>
    </comment>
    <comment ref="E4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5" authorId="0" shapeId="0">
      <text>
        <r>
          <rPr>
            <sz val="12"/>
            <color indexed="10"/>
            <rFont val="メイリオ"/>
            <family val="3"/>
            <charset val="128"/>
          </rPr>
          <t>年度</t>
        </r>
        <r>
          <rPr>
            <sz val="12"/>
            <color indexed="81"/>
            <rFont val="メイリオ"/>
            <family val="3"/>
            <charset val="128"/>
          </rPr>
          <t>をプルダウンメニューより選択</t>
        </r>
      </text>
    </comment>
    <comment ref="E5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6" authorId="0" shapeId="0">
      <text>
        <r>
          <rPr>
            <sz val="12"/>
            <color indexed="10"/>
            <rFont val="メイリオ"/>
            <family val="3"/>
            <charset val="128"/>
          </rPr>
          <t>年度</t>
        </r>
        <r>
          <rPr>
            <sz val="12"/>
            <color indexed="81"/>
            <rFont val="メイリオ"/>
            <family val="3"/>
            <charset val="128"/>
          </rPr>
          <t>をプルダウンメニューより選択</t>
        </r>
      </text>
    </comment>
    <comment ref="E6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7" authorId="0" shapeId="0">
      <text>
        <r>
          <rPr>
            <sz val="12"/>
            <color indexed="10"/>
            <rFont val="メイリオ"/>
            <family val="3"/>
            <charset val="128"/>
          </rPr>
          <t>年度</t>
        </r>
        <r>
          <rPr>
            <sz val="12"/>
            <color indexed="81"/>
            <rFont val="メイリオ"/>
            <family val="3"/>
            <charset val="128"/>
          </rPr>
          <t>をプルダウンメニューより選択</t>
        </r>
      </text>
    </comment>
    <comment ref="E77"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8"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comments9.xml><?xml version="1.0" encoding="utf-8"?>
<comments xmlns="http://schemas.openxmlformats.org/spreadsheetml/2006/main">
  <authors>
    <author>鈴木 行雄</author>
  </authors>
  <commentList>
    <comment ref="B22" authorId="0" shapeId="0">
      <text>
        <r>
          <rPr>
            <sz val="12"/>
            <color indexed="10"/>
            <rFont val="メイリオ"/>
            <family val="3"/>
            <charset val="128"/>
          </rPr>
          <t>年度</t>
        </r>
        <r>
          <rPr>
            <sz val="12"/>
            <color indexed="81"/>
            <rFont val="メイリオ"/>
            <family val="3"/>
            <charset val="128"/>
          </rPr>
          <t>をプルダウンメニューより選択</t>
        </r>
      </text>
    </comment>
    <comment ref="E33"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3"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4" authorId="0" shapeId="0">
      <text>
        <r>
          <rPr>
            <sz val="12"/>
            <color indexed="10"/>
            <rFont val="メイリオ"/>
            <family val="3"/>
            <charset val="128"/>
          </rPr>
          <t>年度</t>
        </r>
        <r>
          <rPr>
            <sz val="12"/>
            <color indexed="81"/>
            <rFont val="メイリオ"/>
            <family val="3"/>
            <charset val="128"/>
          </rPr>
          <t>をプルダウンメニューより選択</t>
        </r>
      </text>
    </comment>
    <comment ref="E4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5" authorId="0" shapeId="0">
      <text>
        <r>
          <rPr>
            <sz val="12"/>
            <color indexed="10"/>
            <rFont val="メイリオ"/>
            <family val="3"/>
            <charset val="128"/>
          </rPr>
          <t>年度</t>
        </r>
        <r>
          <rPr>
            <sz val="12"/>
            <color indexed="81"/>
            <rFont val="メイリオ"/>
            <family val="3"/>
            <charset val="128"/>
          </rPr>
          <t>をプルダウンメニューより選択</t>
        </r>
      </text>
    </comment>
    <comment ref="E5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6" authorId="0" shapeId="0">
      <text>
        <r>
          <rPr>
            <sz val="12"/>
            <color indexed="10"/>
            <rFont val="メイリオ"/>
            <family val="3"/>
            <charset val="128"/>
          </rPr>
          <t>年度</t>
        </r>
        <r>
          <rPr>
            <sz val="12"/>
            <color indexed="81"/>
            <rFont val="メイリオ"/>
            <family val="3"/>
            <charset val="128"/>
          </rPr>
          <t>をプルダウンメニューより選択</t>
        </r>
      </text>
    </comment>
    <comment ref="E6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7" authorId="0" shapeId="0">
      <text>
        <r>
          <rPr>
            <sz val="12"/>
            <color indexed="10"/>
            <rFont val="メイリオ"/>
            <family val="3"/>
            <charset val="128"/>
          </rPr>
          <t>年度</t>
        </r>
        <r>
          <rPr>
            <sz val="12"/>
            <color indexed="81"/>
            <rFont val="メイリオ"/>
            <family val="3"/>
            <charset val="128"/>
          </rPr>
          <t>をプルダウンメニューより選択</t>
        </r>
      </text>
    </comment>
    <comment ref="E77"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8"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sharedStrings.xml><?xml version="1.0" encoding="utf-8"?>
<sst xmlns="http://schemas.openxmlformats.org/spreadsheetml/2006/main" count="2845" uniqueCount="569">
  <si>
    <t>計</t>
    <rPh sb="0" eb="1">
      <t>ケイ</t>
    </rPh>
    <phoneticPr fontId="2"/>
  </si>
  <si>
    <t>換気設備の種類</t>
    <rPh sb="0" eb="2">
      <t>カンキ</t>
    </rPh>
    <rPh sb="2" eb="4">
      <t>セツビ</t>
    </rPh>
    <rPh sb="5" eb="7">
      <t>シュルイ</t>
    </rPh>
    <phoneticPr fontId="2"/>
  </si>
  <si>
    <t>型番</t>
    <rPh sb="0" eb="2">
      <t>カタバン</t>
    </rPh>
    <phoneticPr fontId="2"/>
  </si>
  <si>
    <t>台数</t>
    <rPh sb="0" eb="2">
      <t>ダイスウ</t>
    </rPh>
    <phoneticPr fontId="2"/>
  </si>
  <si>
    <t>換気量[㎥/h]</t>
    <rPh sb="0" eb="2">
      <t>カンキ</t>
    </rPh>
    <rPh sb="2" eb="3">
      <t>リョウ</t>
    </rPh>
    <phoneticPr fontId="2"/>
  </si>
  <si>
    <t>消費電力[W]</t>
    <rPh sb="0" eb="2">
      <t>ショウヒ</t>
    </rPh>
    <rPh sb="2" eb="4">
      <t>デンリョク</t>
    </rPh>
    <phoneticPr fontId="2"/>
  </si>
  <si>
    <t>顕熱交換器</t>
  </si>
  <si>
    <t>冷房</t>
    <phoneticPr fontId="2"/>
  </si>
  <si>
    <t>暖房</t>
    <phoneticPr fontId="2"/>
  </si>
  <si>
    <t>導入の区分</t>
    <rPh sb="0" eb="2">
      <t>ドウニュウ</t>
    </rPh>
    <rPh sb="3" eb="5">
      <t>クブン</t>
    </rPh>
    <phoneticPr fontId="2"/>
  </si>
  <si>
    <t>---</t>
    <phoneticPr fontId="2"/>
  </si>
  <si>
    <t>その他</t>
    <rPh sb="2" eb="3">
      <t>タ</t>
    </rPh>
    <phoneticPr fontId="2"/>
  </si>
  <si>
    <t>[%]　</t>
    <phoneticPr fontId="2"/>
  </si>
  <si>
    <t>比消費電力[W/(㎥/h)]</t>
    <rPh sb="0" eb="1">
      <t>ヒ</t>
    </rPh>
    <rPh sb="1" eb="3">
      <t>ショウヒ</t>
    </rPh>
    <rPh sb="3" eb="5">
      <t>デンリョク</t>
    </rPh>
    <phoneticPr fontId="2"/>
  </si>
  <si>
    <t>電気式パッケージ形空調機</t>
  </si>
  <si>
    <t>ガスヒートポンプ式空調機</t>
    <phoneticPr fontId="2"/>
  </si>
  <si>
    <t>エネルギー種別</t>
    <rPh sb="5" eb="7">
      <t>シュベツ</t>
    </rPh>
    <phoneticPr fontId="2"/>
  </si>
  <si>
    <t>ルームエアコン</t>
  </si>
  <si>
    <t>使用量</t>
    <rPh sb="0" eb="3">
      <t>シヨウリョウ</t>
    </rPh>
    <phoneticPr fontId="2"/>
  </si>
  <si>
    <t>CO2換算</t>
    <phoneticPr fontId="12"/>
  </si>
  <si>
    <t>原油換算</t>
    <phoneticPr fontId="12"/>
  </si>
  <si>
    <t>3月</t>
  </si>
  <si>
    <t>2月</t>
  </si>
  <si>
    <t>1月</t>
    <phoneticPr fontId="2"/>
  </si>
  <si>
    <t>12月</t>
  </si>
  <si>
    <t>11月</t>
  </si>
  <si>
    <t>10月</t>
  </si>
  <si>
    <t>9月</t>
  </si>
  <si>
    <t>8月</t>
  </si>
  <si>
    <t>7月</t>
  </si>
  <si>
    <t>6月</t>
    <rPh sb="1" eb="2">
      <t>ガツ</t>
    </rPh>
    <phoneticPr fontId="2"/>
  </si>
  <si>
    <t>5月</t>
    <rPh sb="1" eb="2">
      <t>ガツ</t>
    </rPh>
    <phoneticPr fontId="2"/>
  </si>
  <si>
    <t>4月</t>
    <phoneticPr fontId="2"/>
  </si>
  <si>
    <t>ガス使用量</t>
    <rPh sb="2" eb="5">
      <t>シヨウリョウ</t>
    </rPh>
    <phoneticPr fontId="2"/>
  </si>
  <si>
    <t>●ガス使用量・ガス料金</t>
    <rPh sb="3" eb="6">
      <t>シヨウリョウ</t>
    </rPh>
    <rPh sb="9" eb="11">
      <t>リョウキン</t>
    </rPh>
    <phoneticPr fontId="2"/>
  </si>
  <si>
    <t>※電灯と動力がある場合、合算して記入してください。</t>
    <rPh sb="1" eb="3">
      <t>デントウ</t>
    </rPh>
    <rPh sb="4" eb="6">
      <t>ドウリョク</t>
    </rPh>
    <rPh sb="9" eb="11">
      <t>バアイ</t>
    </rPh>
    <rPh sb="12" eb="14">
      <t xml:space="preserve">ガッサンシテ </t>
    </rPh>
    <rPh sb="16" eb="18">
      <t>キニュウ</t>
    </rPh>
    <phoneticPr fontId="2"/>
  </si>
  <si>
    <t>［kWh］</t>
  </si>
  <si>
    <t>電気使用量</t>
    <rPh sb="0" eb="2">
      <t>デンキ</t>
    </rPh>
    <rPh sb="2" eb="5">
      <t>シヨウリョウ</t>
    </rPh>
    <phoneticPr fontId="2"/>
  </si>
  <si>
    <t>●電気使用量・電気料金</t>
    <rPh sb="1" eb="3">
      <t>デンキ</t>
    </rPh>
    <rPh sb="3" eb="6">
      <t>シヨウリョウ</t>
    </rPh>
    <rPh sb="7" eb="9">
      <t>デンキ</t>
    </rPh>
    <rPh sb="9" eb="11">
      <t>リョウキン</t>
    </rPh>
    <phoneticPr fontId="2"/>
  </si>
  <si>
    <t>倍</t>
    <rPh sb="0" eb="1">
      <t>バイ</t>
    </rPh>
    <phoneticPr fontId="12"/>
  </si>
  <si>
    <t>m3</t>
    <phoneticPr fontId="12"/>
  </si>
  <si>
    <t>トン</t>
  </si>
  <si>
    <t>東京ガスＨＰ出典：LNG14万7千m3≒LNG6.7万トン≒天然ガス81百万m3</t>
    <rPh sb="0" eb="2">
      <t>トウキョウ</t>
    </rPh>
    <rPh sb="6" eb="8">
      <t>シュッテン</t>
    </rPh>
    <phoneticPr fontId="12"/>
  </si>
  <si>
    <t>LNG</t>
    <phoneticPr fontId="12"/>
  </si>
  <si>
    <t>天然ガス</t>
    <phoneticPr fontId="12"/>
  </si>
  <si>
    <t>プロパン・ブタンの混合</t>
  </si>
  <si>
    <t>ブタン</t>
  </si>
  <si>
    <t>プロパン</t>
  </si>
  <si>
    <t>1立方メートル当たりのトンへの換算係数</t>
  </si>
  <si>
    <t>LPGの種類</t>
  </si>
  <si>
    <t>t-C/GJ</t>
  </si>
  <si>
    <t>GJ/ kL</t>
  </si>
  <si>
    <t>B・Ｃ重油［L］：</t>
    <rPh sb="3" eb="5">
      <t>ジュウユ</t>
    </rPh>
    <phoneticPr fontId="15"/>
  </si>
  <si>
    <t>A重油［L］：</t>
    <rPh sb="1" eb="3">
      <t>ジュウユ</t>
    </rPh>
    <phoneticPr fontId="15"/>
  </si>
  <si>
    <t>軽油［L］：</t>
    <rPh sb="0" eb="2">
      <t>ケイユ</t>
    </rPh>
    <phoneticPr fontId="15"/>
  </si>
  <si>
    <t>灯油［L］：</t>
    <rPh sb="0" eb="2">
      <t>トウユ</t>
    </rPh>
    <phoneticPr fontId="15"/>
  </si>
  <si>
    <t>t-C/GJ</t>
    <phoneticPr fontId="12"/>
  </si>
  <si>
    <t>GJ/ kL</t>
    <phoneticPr fontId="12"/>
  </si>
  <si>
    <t>原油［L］：</t>
    <rPh sb="0" eb="2">
      <t>ゲンユ</t>
    </rPh>
    <phoneticPr fontId="12"/>
  </si>
  <si>
    <t>GJ/千m3</t>
  </si>
  <si>
    <t>その他天然ガス［Nm3］：</t>
    <rPh sb="2" eb="3">
      <t>タ</t>
    </rPh>
    <rPh sb="3" eb="5">
      <t>テンネン</t>
    </rPh>
    <phoneticPr fontId="12"/>
  </si>
  <si>
    <t>石油系炭化水素ガス［Nm3］：</t>
    <phoneticPr fontId="12"/>
  </si>
  <si>
    <t>GJ/ｔ</t>
    <phoneticPr fontId="12"/>
  </si>
  <si>
    <t>ＬＮＧ［m3］：</t>
    <phoneticPr fontId="12"/>
  </si>
  <si>
    <t>B・Ｃ重油</t>
    <phoneticPr fontId="12"/>
  </si>
  <si>
    <t>m3/t</t>
    <phoneticPr fontId="12"/>
  </si>
  <si>
    <t>ＬＰＧ［m3］：</t>
    <phoneticPr fontId="12"/>
  </si>
  <si>
    <t>A重油</t>
    <phoneticPr fontId="12"/>
  </si>
  <si>
    <t>都市ガス［Nm3］：</t>
    <rPh sb="0" eb="2">
      <t>トシ</t>
    </rPh>
    <phoneticPr fontId="12"/>
  </si>
  <si>
    <t>軽油</t>
    <phoneticPr fontId="12"/>
  </si>
  <si>
    <t>単位発熱量</t>
    <rPh sb="0" eb="2">
      <t>タンイ</t>
    </rPh>
    <rPh sb="2" eb="4">
      <t>ハツネツ</t>
    </rPh>
    <rPh sb="4" eb="5">
      <t>リョウ</t>
    </rPh>
    <phoneticPr fontId="12"/>
  </si>
  <si>
    <t>灯油</t>
    <phoneticPr fontId="12"/>
  </si>
  <si>
    <t>水素ガス</t>
    <phoneticPr fontId="12"/>
  </si>
  <si>
    <t>CO2分子量</t>
    <rPh sb="3" eb="6">
      <t>ブンシリョウ</t>
    </rPh>
    <phoneticPr fontId="12"/>
  </si>
  <si>
    <t>kL/GJ</t>
  </si>
  <si>
    <t>原油換算［kL］：</t>
    <rPh sb="0" eb="2">
      <t>ゲンユ</t>
    </rPh>
    <rPh sb="2" eb="4">
      <t>カンサン</t>
    </rPh>
    <phoneticPr fontId="12"/>
  </si>
  <si>
    <t>産業用蒸気</t>
    <phoneticPr fontId="12"/>
  </si>
  <si>
    <t>LPG</t>
    <phoneticPr fontId="12"/>
  </si>
  <si>
    <t>t-CO2/GJ</t>
  </si>
  <si>
    <t>GJ/GJ</t>
  </si>
  <si>
    <t>温水・冷水</t>
    <phoneticPr fontId="12"/>
  </si>
  <si>
    <t>都市ガス</t>
    <phoneticPr fontId="12"/>
  </si>
  <si>
    <t>t-CO2/GJ</t>
    <phoneticPr fontId="12"/>
  </si>
  <si>
    <t>GJ/GJ</t>
    <phoneticPr fontId="15"/>
  </si>
  <si>
    <t>種別を選択</t>
    <phoneticPr fontId="12"/>
  </si>
  <si>
    <t>t-CO2/千kWh</t>
    <rPh sb="6" eb="7">
      <t>セン</t>
    </rPh>
    <phoneticPr fontId="15"/>
  </si>
  <si>
    <t>GJ/千kWh</t>
    <rPh sb="3" eb="4">
      <t>セン</t>
    </rPh>
    <phoneticPr fontId="15"/>
  </si>
  <si>
    <t>電気：</t>
    <rPh sb="0" eb="2">
      <t>デンキ</t>
    </rPh>
    <phoneticPr fontId="12"/>
  </si>
  <si>
    <t>プルダウンリスト</t>
    <phoneticPr fontId="12"/>
  </si>
  <si>
    <t>1次エネルギー換算係数</t>
    <rPh sb="1" eb="2">
      <t>ジ</t>
    </rPh>
    <rPh sb="7" eb="9">
      <t>カンサン</t>
    </rPh>
    <rPh sb="9" eb="11">
      <t>ケイスウ</t>
    </rPh>
    <phoneticPr fontId="12"/>
  </si>
  <si>
    <t>【省エネ法換算係数】</t>
    <phoneticPr fontId="12"/>
  </si>
  <si>
    <t>新設</t>
    <rPh sb="0" eb="2">
      <t>シンセツ</t>
    </rPh>
    <phoneticPr fontId="2"/>
  </si>
  <si>
    <t>増設</t>
    <rPh sb="0" eb="2">
      <t>ゾウセツ</t>
    </rPh>
    <phoneticPr fontId="2"/>
  </si>
  <si>
    <t>更新</t>
    <rPh sb="0" eb="2">
      <t>コウシン</t>
    </rPh>
    <phoneticPr fontId="2"/>
  </si>
  <si>
    <t>継続</t>
    <rPh sb="0" eb="2">
      <t>ケイゾク</t>
    </rPh>
    <phoneticPr fontId="2"/>
  </si>
  <si>
    <r>
      <t>熱交換率</t>
    </r>
    <r>
      <rPr>
        <vertAlign val="superscript"/>
        <sz val="12"/>
        <color theme="1"/>
        <rFont val="メイリオ"/>
        <family val="3"/>
        <charset val="128"/>
      </rPr>
      <t>※</t>
    </r>
    <rPh sb="0" eb="1">
      <t>ネツ</t>
    </rPh>
    <rPh sb="1" eb="3">
      <t>コウカン</t>
    </rPh>
    <rPh sb="3" eb="4">
      <t>リツ</t>
    </rPh>
    <phoneticPr fontId="2"/>
  </si>
  <si>
    <t>単位</t>
    <rPh sb="0" eb="2">
      <t>タンイ</t>
    </rPh>
    <phoneticPr fontId="2"/>
  </si>
  <si>
    <t>電気</t>
    <rPh sb="0" eb="2">
      <t>デンキ</t>
    </rPh>
    <phoneticPr fontId="2"/>
  </si>
  <si>
    <t>事務所</t>
    <rPh sb="0" eb="3">
      <t>ジムショ</t>
    </rPh>
    <phoneticPr fontId="12"/>
  </si>
  <si>
    <t>年間</t>
    <rPh sb="0" eb="2">
      <t>ネンカン</t>
    </rPh>
    <phoneticPr fontId="12"/>
  </si>
  <si>
    <t>暖房</t>
    <rPh sb="0" eb="2">
      <t>ダンボウ</t>
    </rPh>
    <phoneticPr fontId="12"/>
  </si>
  <si>
    <t>冷房</t>
    <rPh sb="0" eb="2">
      <t>レイボウ</t>
    </rPh>
    <phoneticPr fontId="12"/>
  </si>
  <si>
    <t>㎏/h</t>
    <phoneticPr fontId="2"/>
  </si>
  <si>
    <t>その他</t>
    <rPh sb="2" eb="3">
      <t>タ</t>
    </rPh>
    <phoneticPr fontId="12"/>
  </si>
  <si>
    <t>文化・娯楽施設</t>
    <rPh sb="0" eb="2">
      <t>ブンカ</t>
    </rPh>
    <rPh sb="3" eb="7">
      <t>ゴラクシセツ</t>
    </rPh>
    <phoneticPr fontId="12"/>
  </si>
  <si>
    <t>医療施設</t>
    <rPh sb="0" eb="4">
      <t>イリョウシセツ</t>
    </rPh>
    <phoneticPr fontId="12"/>
  </si>
  <si>
    <t>教育施設</t>
    <rPh sb="0" eb="4">
      <t>キョウイクシセツ</t>
    </rPh>
    <phoneticPr fontId="12"/>
  </si>
  <si>
    <t>宿泊施設</t>
    <rPh sb="0" eb="4">
      <t>シュクハクシセツ</t>
    </rPh>
    <phoneticPr fontId="12"/>
  </si>
  <si>
    <t>商業施設（飲食）</t>
    <rPh sb="0" eb="4">
      <t>ショウギョウシセツ</t>
    </rPh>
    <rPh sb="5" eb="7">
      <t>インショク</t>
    </rPh>
    <phoneticPr fontId="12"/>
  </si>
  <si>
    <t>商業施設（物販）</t>
    <rPh sb="0" eb="4">
      <t>ショウギョウシセツ</t>
    </rPh>
    <rPh sb="5" eb="7">
      <t>ブッパン</t>
    </rPh>
    <phoneticPr fontId="12"/>
  </si>
  <si>
    <t>全負荷相当時間（h/年）</t>
    <rPh sb="0" eb="1">
      <t>ゼン</t>
    </rPh>
    <rPh sb="1" eb="3">
      <t>フカ</t>
    </rPh>
    <rPh sb="3" eb="5">
      <t>ソウトウ</t>
    </rPh>
    <rPh sb="5" eb="7">
      <t>ジカン</t>
    </rPh>
    <rPh sb="10" eb="11">
      <t>ネン</t>
    </rPh>
    <phoneticPr fontId="12"/>
  </si>
  <si>
    <t>中小クレジット算定ガイドライン</t>
    <rPh sb="0" eb="2">
      <t>チュウショウ</t>
    </rPh>
    <rPh sb="7" eb="9">
      <t>サンテイ</t>
    </rPh>
    <phoneticPr fontId="12"/>
  </si>
  <si>
    <t>設備を選択</t>
    <rPh sb="0" eb="2">
      <t>セツビ</t>
    </rPh>
    <rPh sb="3" eb="5">
      <t>センタク</t>
    </rPh>
    <phoneticPr fontId="2"/>
  </si>
  <si>
    <t>区分を選択</t>
    <rPh sb="0" eb="2">
      <t>クブン</t>
    </rPh>
    <rPh sb="3" eb="5">
      <t>センタク</t>
    </rPh>
    <phoneticPr fontId="2"/>
  </si>
  <si>
    <t>単位を選択</t>
    <rPh sb="0" eb="2">
      <t>タンイ</t>
    </rPh>
    <rPh sb="3" eb="5">
      <t>センタク</t>
    </rPh>
    <phoneticPr fontId="12"/>
  </si>
  <si>
    <t>室用途を選択</t>
    <rPh sb="0" eb="3">
      <t>シツヨウト</t>
    </rPh>
    <rPh sb="4" eb="6">
      <t>センタク</t>
    </rPh>
    <phoneticPr fontId="12"/>
  </si>
  <si>
    <t>室用途</t>
    <rPh sb="0" eb="1">
      <t>シツ</t>
    </rPh>
    <rPh sb="1" eb="3">
      <t>ヨウト</t>
    </rPh>
    <phoneticPr fontId="2"/>
  </si>
  <si>
    <t>3（GHP・都市ガス・ｍ3N/h）</t>
    <rPh sb="6" eb="8">
      <t>トシ</t>
    </rPh>
    <phoneticPr fontId="2"/>
  </si>
  <si>
    <t>４（GHP・LPG・㎾）</t>
    <phoneticPr fontId="2"/>
  </si>
  <si>
    <t>５（GHP・LPG・㎏/h）</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</si>
  <si>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</si>
  <si>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</si>
  <si>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</si>
  <si>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</si>
  <si>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</si>
  <si>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</si>
  <si>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</si>
  <si>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</si>
  <si>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</si>
  <si>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新設備</t>
    <phoneticPr fontId="2"/>
  </si>
  <si>
    <t>旧設備</t>
    <phoneticPr fontId="2"/>
  </si>
  <si>
    <t>換気範囲の室</t>
    <rPh sb="0" eb="2">
      <t>カンキ</t>
    </rPh>
    <rPh sb="2" eb="4">
      <t>ハンイ</t>
    </rPh>
    <rPh sb="5" eb="6">
      <t>シツ</t>
    </rPh>
    <phoneticPr fontId="2"/>
  </si>
  <si>
    <t>平面図記載記号</t>
    <rPh sb="0" eb="3">
      <t>ヘイメンズ</t>
    </rPh>
    <rPh sb="3" eb="5">
      <t>キサイ</t>
    </rPh>
    <rPh sb="5" eb="7">
      <t>キゴウ</t>
    </rPh>
    <phoneticPr fontId="2"/>
  </si>
  <si>
    <t>産業用以外の蒸気</t>
    <phoneticPr fontId="12"/>
  </si>
  <si>
    <t>セルに必要事項を入力してください。</t>
    <rPh sb="3" eb="5">
      <t>ヒツヨウ</t>
    </rPh>
    <rPh sb="5" eb="7">
      <t>ジコウ</t>
    </rPh>
    <rPh sb="8" eb="10">
      <t>ニュウリョク</t>
    </rPh>
    <phoneticPr fontId="2"/>
  </si>
  <si>
    <t>数式により自動計算します。入力できません。</t>
    <rPh sb="0" eb="2">
      <t>スウシキ</t>
    </rPh>
    <rPh sb="5" eb="7">
      <t>ジドウ</t>
    </rPh>
    <rPh sb="7" eb="9">
      <t>ケイサン</t>
    </rPh>
    <rPh sb="13" eb="15">
      <t>ニュウリョク</t>
    </rPh>
    <phoneticPr fontId="2"/>
  </si>
  <si>
    <t>室</t>
    <rPh sb="0" eb="1">
      <t>シツ</t>
    </rPh>
    <phoneticPr fontId="12"/>
  </si>
  <si>
    <t>室用途</t>
    <rPh sb="0" eb="1">
      <t>シツ</t>
    </rPh>
    <rPh sb="1" eb="3">
      <t>ヨウト</t>
    </rPh>
    <phoneticPr fontId="12"/>
  </si>
  <si>
    <t>その他
（工場、倉庫等）</t>
    <rPh sb="2" eb="3">
      <t>タ</t>
    </rPh>
    <rPh sb="5" eb="7">
      <t>コウジョウ</t>
    </rPh>
    <rPh sb="8" eb="10">
      <t>ソウコ</t>
    </rPh>
    <rPh sb="10" eb="11">
      <t>トウ</t>
    </rPh>
    <phoneticPr fontId="12"/>
  </si>
  <si>
    <t>事務所</t>
    <phoneticPr fontId="12"/>
  </si>
  <si>
    <t>機械換気</t>
    <rPh sb="0" eb="4">
      <t>キカイカンキ</t>
    </rPh>
    <phoneticPr fontId="12"/>
  </si>
  <si>
    <t>床面積
（㎡）</t>
    <rPh sb="0" eb="1">
      <t>ユカ</t>
    </rPh>
    <rPh sb="1" eb="3">
      <t>メンセキ</t>
    </rPh>
    <phoneticPr fontId="12"/>
  </si>
  <si>
    <t>商業施設
（物販）</t>
    <phoneticPr fontId="12"/>
  </si>
  <si>
    <t>自然換気</t>
    <rPh sb="0" eb="4">
      <t>シゼンカンキ</t>
    </rPh>
    <phoneticPr fontId="12"/>
  </si>
  <si>
    <t>高さ
（m）</t>
    <rPh sb="0" eb="1">
      <t>タカ</t>
    </rPh>
    <phoneticPr fontId="12"/>
  </si>
  <si>
    <t>商業施設
（飲食）</t>
    <rPh sb="6" eb="8">
      <t>インショク</t>
    </rPh>
    <phoneticPr fontId="12"/>
  </si>
  <si>
    <t>宿泊施設</t>
    <phoneticPr fontId="12"/>
  </si>
  <si>
    <t>現況</t>
    <rPh sb="0" eb="2">
      <t>ゲンキョウ</t>
    </rPh>
    <phoneticPr fontId="12"/>
  </si>
  <si>
    <t>教育施設</t>
    <phoneticPr fontId="12"/>
  </si>
  <si>
    <t>医療施設</t>
    <phoneticPr fontId="12"/>
  </si>
  <si>
    <t>文化・
娯楽施設</t>
    <phoneticPr fontId="12"/>
  </si>
  <si>
    <t>１人あたり
換気量
（㎥/h・人）</t>
    <phoneticPr fontId="12"/>
  </si>
  <si>
    <t>D</t>
    <phoneticPr fontId="2"/>
  </si>
  <si>
    <t>A_1</t>
    <phoneticPr fontId="2"/>
  </si>
  <si>
    <t>A_2</t>
  </si>
  <si>
    <t>A_3</t>
  </si>
  <si>
    <t>A_4</t>
  </si>
  <si>
    <t>A_5</t>
  </si>
  <si>
    <t>A_6</t>
  </si>
  <si>
    <t>A_7</t>
  </si>
  <si>
    <t>A_8</t>
  </si>
  <si>
    <t>A_9</t>
  </si>
  <si>
    <t>A_10</t>
  </si>
  <si>
    <t>A_12</t>
  </si>
  <si>
    <t>A_13</t>
  </si>
  <si>
    <t>A_14</t>
  </si>
  <si>
    <t>A_15</t>
  </si>
  <si>
    <t>A_16</t>
  </si>
  <si>
    <t>A_17</t>
  </si>
  <si>
    <t>A_18</t>
  </si>
  <si>
    <t>A_19</t>
  </si>
  <si>
    <t>A_20</t>
  </si>
  <si>
    <t>エネルギー使用量</t>
    <rPh sb="5" eb="8">
      <t>シヨウリョウ</t>
    </rPh>
    <phoneticPr fontId="2"/>
  </si>
  <si>
    <t>一次エネルギー消費量（GJ/年）</t>
    <rPh sb="0" eb="2">
      <t>イチジ</t>
    </rPh>
    <rPh sb="7" eb="10">
      <t>ショウヒリョウ</t>
    </rPh>
    <rPh sb="14" eb="15">
      <t>ネン</t>
    </rPh>
    <phoneticPr fontId="12"/>
  </si>
  <si>
    <t>kW</t>
    <phoneticPr fontId="2"/>
  </si>
  <si>
    <t>2（GHP・都市ガス・㎾）</t>
    <rPh sb="6" eb="8">
      <t>トシ</t>
    </rPh>
    <phoneticPr fontId="2"/>
  </si>
  <si>
    <t>1（EHP・電力・㎾）</t>
    <rPh sb="6" eb="8">
      <t>デンリョク</t>
    </rPh>
    <phoneticPr fontId="2"/>
  </si>
  <si>
    <t>＜入力時の注意事項＞</t>
    <rPh sb="1" eb="3">
      <t>ニュウリョク</t>
    </rPh>
    <rPh sb="3" eb="4">
      <t>ジ</t>
    </rPh>
    <rPh sb="5" eb="7">
      <t>チュウイ</t>
    </rPh>
    <rPh sb="7" eb="9">
      <t>ジコウ</t>
    </rPh>
    <phoneticPr fontId="2"/>
  </si>
  <si>
    <t>＜セルの説明＞</t>
    <rPh sb="4" eb="6">
      <t>セツメイ</t>
    </rPh>
    <phoneticPr fontId="2"/>
  </si>
  <si>
    <t>換気設備
導入後</t>
    <rPh sb="0" eb="4">
      <t>カンキセツビ</t>
    </rPh>
    <rPh sb="5" eb="8">
      <t>ドウニュウゴ</t>
    </rPh>
    <phoneticPr fontId="12"/>
  </si>
  <si>
    <t>J=W*S(3600)</t>
    <phoneticPr fontId="2"/>
  </si>
  <si>
    <t>kJ=W*3.6</t>
    <phoneticPr fontId="2"/>
  </si>
  <si>
    <r>
      <t>ｍ</t>
    </r>
    <r>
      <rPr>
        <vertAlign val="superscript"/>
        <sz val="11"/>
        <color theme="1"/>
        <rFont val="メイリオ"/>
        <family val="3"/>
        <charset val="128"/>
      </rPr>
      <t>3</t>
    </r>
    <r>
      <rPr>
        <sz val="11"/>
        <color theme="1"/>
        <rFont val="メイリオ"/>
        <family val="3"/>
        <charset val="128"/>
      </rPr>
      <t>N/h</t>
    </r>
    <phoneticPr fontId="2"/>
  </si>
  <si>
    <t>↓中小クレジット算定ガイドラインの換気</t>
    <rPh sb="1" eb="3">
      <t>チュウショウ</t>
    </rPh>
    <rPh sb="8" eb="10">
      <t>サンテイ</t>
    </rPh>
    <rPh sb="17" eb="19">
      <t>カンキ</t>
    </rPh>
    <phoneticPr fontId="12"/>
  </si>
  <si>
    <t>現状の
換気方法</t>
    <phoneticPr fontId="12"/>
  </si>
  <si>
    <t>有効換気量
（㎥/h)</t>
    <rPh sb="0" eb="2">
      <t>ユウコウ</t>
    </rPh>
    <phoneticPr fontId="12"/>
  </si>
  <si>
    <t>［m3］</t>
    <phoneticPr fontId="2"/>
  </si>
  <si>
    <t>［kg］</t>
    <phoneticPr fontId="2"/>
  </si>
  <si>
    <t>単位を選択</t>
    <rPh sb="0" eb="2">
      <t>タンイ</t>
    </rPh>
    <phoneticPr fontId="12"/>
  </si>
  <si>
    <t>型番</t>
    <rPh sb="0" eb="2">
      <t>カタバン</t>
    </rPh>
    <phoneticPr fontId="2"/>
  </si>
  <si>
    <t>メーカー名</t>
    <rPh sb="4" eb="5">
      <t>ナ</t>
    </rPh>
    <phoneticPr fontId="2"/>
  </si>
  <si>
    <t>旧設備</t>
    <rPh sb="0" eb="1">
      <t>キュウ</t>
    </rPh>
    <rPh sb="1" eb="3">
      <t>セツビ</t>
    </rPh>
    <phoneticPr fontId="2"/>
  </si>
  <si>
    <t>新設備</t>
    <rPh sb="0" eb="3">
      <t>シンセツビ</t>
    </rPh>
    <phoneticPr fontId="2"/>
  </si>
  <si>
    <t>灯油</t>
    <rPh sb="0" eb="2">
      <t>トウユ</t>
    </rPh>
    <phoneticPr fontId="15"/>
  </si>
  <si>
    <t>軽油</t>
    <rPh sb="0" eb="2">
      <t>ケイユ</t>
    </rPh>
    <phoneticPr fontId="15"/>
  </si>
  <si>
    <t>A重油</t>
    <rPh sb="1" eb="3">
      <t>ジュウユ</t>
    </rPh>
    <phoneticPr fontId="15"/>
  </si>
  <si>
    <t>B・Ｃ重油</t>
    <rPh sb="3" eb="5">
      <t>ジュウユ</t>
    </rPh>
    <phoneticPr fontId="15"/>
  </si>
  <si>
    <t>温水・冷水</t>
    <rPh sb="0" eb="2">
      <t>オンスイ</t>
    </rPh>
    <rPh sb="3" eb="5">
      <t>レイスイ</t>
    </rPh>
    <phoneticPr fontId="12"/>
  </si>
  <si>
    <t>産業用蒸気</t>
    <rPh sb="0" eb="3">
      <t>サンギョウヨウ</t>
    </rPh>
    <rPh sb="3" eb="5">
      <t>ジョウキ</t>
    </rPh>
    <phoneticPr fontId="15"/>
  </si>
  <si>
    <t>産業用以外の蒸気</t>
    <rPh sb="0" eb="3">
      <t>サンギョウヨウ</t>
    </rPh>
    <rPh sb="3" eb="5">
      <t>イガイ</t>
    </rPh>
    <rPh sb="6" eb="8">
      <t>ジョウキ</t>
    </rPh>
    <phoneticPr fontId="15"/>
  </si>
  <si>
    <t>●その他のエネルギー１使用量・料金</t>
    <rPh sb="3" eb="4">
      <t>タ</t>
    </rPh>
    <rPh sb="11" eb="14">
      <t>シヨウリョウ</t>
    </rPh>
    <rPh sb="15" eb="17">
      <t>リョウキン</t>
    </rPh>
    <phoneticPr fontId="2"/>
  </si>
  <si>
    <t>●その他のエネルギー２使用量・料金</t>
    <rPh sb="3" eb="4">
      <t>タ</t>
    </rPh>
    <rPh sb="11" eb="14">
      <t>シヨウリョウ</t>
    </rPh>
    <rPh sb="15" eb="17">
      <t>リョウキン</t>
    </rPh>
    <phoneticPr fontId="2"/>
  </si>
  <si>
    <t>●その他のエネルギー３使用量・料金</t>
    <rPh sb="3" eb="4">
      <t>タ</t>
    </rPh>
    <rPh sb="11" eb="14">
      <t>シヨウリョウ</t>
    </rPh>
    <rPh sb="15" eb="17">
      <t>リョウキン</t>
    </rPh>
    <phoneticPr fontId="2"/>
  </si>
  <si>
    <t>●その他のエネルギー４使用量・料金</t>
    <rPh sb="3" eb="4">
      <t>タ</t>
    </rPh>
    <rPh sb="11" eb="14">
      <t>シヨウリョウ</t>
    </rPh>
    <rPh sb="15" eb="17">
      <t>リョウキン</t>
    </rPh>
    <phoneticPr fontId="2"/>
  </si>
  <si>
    <t>【１．換気設備導入前後の比較表】</t>
    <rPh sb="3" eb="5">
      <t>カンキ</t>
    </rPh>
    <rPh sb="5" eb="7">
      <t>セツビ</t>
    </rPh>
    <rPh sb="7" eb="9">
      <t>ドウニュウ</t>
    </rPh>
    <rPh sb="9" eb="11">
      <t>ゼンゴ</t>
    </rPh>
    <rPh sb="12" eb="14">
      <t>ヒカク</t>
    </rPh>
    <rPh sb="14" eb="15">
      <t>ヒョウ</t>
    </rPh>
    <phoneticPr fontId="12"/>
  </si>
  <si>
    <t>【２．換気設備の新旧仕様入力表】</t>
    <rPh sb="3" eb="5">
      <t>カンキ</t>
    </rPh>
    <rPh sb="5" eb="7">
      <t>セツビ</t>
    </rPh>
    <rPh sb="8" eb="10">
      <t>シンキュウ</t>
    </rPh>
    <rPh sb="10" eb="12">
      <t>シヨウ</t>
    </rPh>
    <rPh sb="12" eb="14">
      <t>ニュウリョク</t>
    </rPh>
    <rPh sb="14" eb="15">
      <t>ヒョウ</t>
    </rPh>
    <phoneticPr fontId="2"/>
  </si>
  <si>
    <t>【４．年間エネルギー使用量】</t>
    <rPh sb="3" eb="5">
      <t>ネンカン</t>
    </rPh>
    <rPh sb="10" eb="12">
      <t>シヨウ</t>
    </rPh>
    <rPh sb="12" eb="13">
      <t>リョウ</t>
    </rPh>
    <phoneticPr fontId="2"/>
  </si>
  <si>
    <t>機械換気（換気扇等）</t>
    <phoneticPr fontId="2"/>
  </si>
  <si>
    <t>高効率換気設備</t>
    <rPh sb="0" eb="3">
      <t>コウコウリツ</t>
    </rPh>
    <rPh sb="3" eb="5">
      <t>カンキ</t>
    </rPh>
    <rPh sb="5" eb="7">
      <t>セツビ</t>
    </rPh>
    <phoneticPr fontId="2"/>
  </si>
  <si>
    <t>熱交換型換気設備</t>
    <rPh sb="3" eb="4">
      <t>カタ</t>
    </rPh>
    <rPh sb="4" eb="6">
      <t>カンキ</t>
    </rPh>
    <rPh sb="6" eb="8">
      <t>セツビ</t>
    </rPh>
    <phoneticPr fontId="2"/>
  </si>
  <si>
    <t>換気・空調一体型設備</t>
    <rPh sb="0" eb="2">
      <t>カンキ</t>
    </rPh>
    <rPh sb="3" eb="5">
      <t>クウチョウ</t>
    </rPh>
    <rPh sb="5" eb="7">
      <t>イッタイ</t>
    </rPh>
    <rPh sb="7" eb="8">
      <t>カタ</t>
    </rPh>
    <rPh sb="8" eb="10">
      <t>セツビ</t>
    </rPh>
    <phoneticPr fontId="2"/>
  </si>
  <si>
    <t>【３．空調設備の新旧仕様入力表】</t>
    <rPh sb="3" eb="5">
      <t>クウチョウ</t>
    </rPh>
    <rPh sb="5" eb="7">
      <t>セツビ</t>
    </rPh>
    <rPh sb="8" eb="10">
      <t>シンキュウ</t>
    </rPh>
    <rPh sb="10" eb="12">
      <t>シヨウ</t>
    </rPh>
    <rPh sb="12" eb="14">
      <t>ニュウリョク</t>
    </rPh>
    <rPh sb="14" eb="15">
      <t>ヒョウ</t>
    </rPh>
    <phoneticPr fontId="2"/>
  </si>
  <si>
    <t>設備要件</t>
    <rPh sb="0" eb="2">
      <t>セツビ</t>
    </rPh>
    <rPh sb="2" eb="4">
      <t>ヨウケン</t>
    </rPh>
    <phoneticPr fontId="2"/>
  </si>
  <si>
    <t>APF</t>
    <phoneticPr fontId="2"/>
  </si>
  <si>
    <t>COP</t>
    <phoneticPr fontId="2"/>
  </si>
  <si>
    <t>エネルギー
消費効率</t>
    <phoneticPr fontId="2"/>
  </si>
  <si>
    <t>能力［[kW］</t>
    <rPh sb="0" eb="2">
      <t>ノウリョク</t>
    </rPh>
    <phoneticPr fontId="2"/>
  </si>
  <si>
    <r>
      <t>エネルギー消費量</t>
    </r>
    <r>
      <rPr>
        <sz val="11"/>
        <color theme="1"/>
        <rFont val="メイリオ"/>
        <family val="3"/>
        <charset val="128"/>
      </rPr>
      <t>（単位時間当り）</t>
    </r>
    <rPh sb="5" eb="8">
      <t>ショウヒリョウ</t>
    </rPh>
    <rPh sb="9" eb="11">
      <t>タンイ</t>
    </rPh>
    <rPh sb="11" eb="13">
      <t>ジカン</t>
    </rPh>
    <rPh sb="13" eb="14">
      <t>アタ</t>
    </rPh>
    <phoneticPr fontId="2"/>
  </si>
  <si>
    <t>エネルギー消費量（単位時間当り）</t>
    <rPh sb="5" eb="8">
      <t>ショウヒリョウ</t>
    </rPh>
    <rPh sb="9" eb="11">
      <t>タンイ</t>
    </rPh>
    <rPh sb="11" eb="13">
      <t>ジカン</t>
    </rPh>
    <rPh sb="13" eb="14">
      <t>アタ</t>
    </rPh>
    <phoneticPr fontId="2"/>
  </si>
  <si>
    <t>一次エネルギー
（年換算）［GJ］</t>
    <rPh sb="0" eb="2">
      <t>イチジ</t>
    </rPh>
    <rPh sb="9" eb="10">
      <t>ネン</t>
    </rPh>
    <rPh sb="10" eb="12">
      <t>カンサン</t>
    </rPh>
    <phoneticPr fontId="2"/>
  </si>
  <si>
    <t>原油換算［KL］</t>
    <rPh sb="0" eb="2">
      <t>ゲンユ</t>
    </rPh>
    <rPh sb="2" eb="4">
      <t>カンサン</t>
    </rPh>
    <phoneticPr fontId="2"/>
  </si>
  <si>
    <t>換気量の新旧増減</t>
    <rPh sb="0" eb="3">
      <t>カンキリョウ</t>
    </rPh>
    <rPh sb="4" eb="6">
      <t>シンキュウ</t>
    </rPh>
    <rPh sb="6" eb="8">
      <t>ゾウゲン</t>
    </rPh>
    <phoneticPr fontId="12"/>
  </si>
  <si>
    <t>１人あたりの必要換気量
（30㎥/h・人）</t>
    <rPh sb="1" eb="2">
      <t>ニン</t>
    </rPh>
    <rPh sb="6" eb="8">
      <t>ヒツヨウ</t>
    </rPh>
    <rPh sb="8" eb="11">
      <t>カンキリョウ</t>
    </rPh>
    <phoneticPr fontId="12"/>
  </si>
  <si>
    <t>OR(仕様入力!D$79="電気式パッケージ形空調機",仕様入力!D$79="ルームエアコン")</t>
    <phoneticPr fontId="2"/>
  </si>
  <si>
    <t>　　　①：導入推奨機器に指定されたもの。</t>
    <phoneticPr fontId="2"/>
  </si>
  <si>
    <t>　　　②：統一省エネルギーラベル４つ星以上であるもの。</t>
    <rPh sb="5" eb="7">
      <t>トウイツ</t>
    </rPh>
    <rPh sb="7" eb="8">
      <t>ショウ</t>
    </rPh>
    <rPh sb="18" eb="19">
      <t>ホシ</t>
    </rPh>
    <rPh sb="19" eb="21">
      <t>イジョウ</t>
    </rPh>
    <phoneticPr fontId="2"/>
  </si>
  <si>
    <t>　　　③：その他（導入推奨機器指定要綱の指定基準又はクレジット算定ガイドラインの認定基準を満たすもの）</t>
    <rPh sb="7" eb="8">
      <t>タ</t>
    </rPh>
    <rPh sb="9" eb="11">
      <t>ドウニュウ</t>
    </rPh>
    <rPh sb="11" eb="13">
      <t>スイショウ</t>
    </rPh>
    <rPh sb="13" eb="15">
      <t>キキ</t>
    </rPh>
    <rPh sb="15" eb="17">
      <t>シテイ</t>
    </rPh>
    <rPh sb="17" eb="19">
      <t>ヨウコウ</t>
    </rPh>
    <rPh sb="20" eb="22">
      <t>シテイ</t>
    </rPh>
    <rPh sb="22" eb="24">
      <t>キジュン</t>
    </rPh>
    <rPh sb="24" eb="25">
      <t>マタ</t>
    </rPh>
    <rPh sb="31" eb="33">
      <t>サンテイ</t>
    </rPh>
    <rPh sb="40" eb="42">
      <t>ニンテイ</t>
    </rPh>
    <rPh sb="42" eb="44">
      <t>キジュン</t>
    </rPh>
    <rPh sb="45" eb="46">
      <t>ミ</t>
    </rPh>
    <phoneticPr fontId="2"/>
  </si>
  <si>
    <t>要件を選択</t>
    <rPh sb="0" eb="2">
      <t>ヨウケン</t>
    </rPh>
    <rPh sb="3" eb="5">
      <t>センタク</t>
    </rPh>
    <phoneticPr fontId="2"/>
  </si>
  <si>
    <t>プルダウンリストから選択してください。</t>
    <rPh sb="10" eb="12">
      <t>センタク</t>
    </rPh>
    <phoneticPr fontId="2"/>
  </si>
  <si>
    <t>実施確認：空調設備の更新を行いますか。</t>
    <rPh sb="0" eb="2">
      <t>ジッシ</t>
    </rPh>
    <rPh sb="2" eb="4">
      <t>カクニン</t>
    </rPh>
    <rPh sb="5" eb="7">
      <t>クウチョウ</t>
    </rPh>
    <rPh sb="7" eb="9">
      <t>セツビ</t>
    </rPh>
    <rPh sb="10" eb="12">
      <t>コウシン</t>
    </rPh>
    <rPh sb="13" eb="14">
      <t>オコナ</t>
    </rPh>
    <phoneticPr fontId="12"/>
  </si>
  <si>
    <t>＜申請時の注意事項＞</t>
    <rPh sb="1" eb="3">
      <t>シンセイ</t>
    </rPh>
    <rPh sb="3" eb="4">
      <t>ジ</t>
    </rPh>
    <rPh sb="5" eb="7">
      <t>チュウイ</t>
    </rPh>
    <rPh sb="7" eb="9">
      <t>ジコウ</t>
    </rPh>
    <phoneticPr fontId="2"/>
  </si>
  <si>
    <t>１．申請の際は、本Excelファイルの電子データを公社へ提出してください。</t>
    <rPh sb="2" eb="4">
      <t>シンセイ</t>
    </rPh>
    <rPh sb="5" eb="6">
      <t>サイ</t>
    </rPh>
    <rPh sb="8" eb="9">
      <t>ホン</t>
    </rPh>
    <rPh sb="19" eb="21">
      <t>デンシ</t>
    </rPh>
    <rPh sb="25" eb="27">
      <t>コウシャ</t>
    </rPh>
    <rPh sb="28" eb="30">
      <t>テイシュツ</t>
    </rPh>
    <phoneticPr fontId="2"/>
  </si>
  <si>
    <t>区分を選択</t>
    <rPh sb="0" eb="2">
      <t>クブン</t>
    </rPh>
    <rPh sb="3" eb="5">
      <t>センタク</t>
    </rPh>
    <phoneticPr fontId="2"/>
  </si>
  <si>
    <t>事務所</t>
    <rPh sb="0" eb="2">
      <t>ジム</t>
    </rPh>
    <rPh sb="2" eb="3">
      <t>ショ</t>
    </rPh>
    <phoneticPr fontId="2"/>
  </si>
  <si>
    <t>飲食</t>
    <rPh sb="0" eb="2">
      <t>インショク</t>
    </rPh>
    <phoneticPr fontId="2"/>
  </si>
  <si>
    <t>小売（食品）</t>
    <rPh sb="0" eb="2">
      <t>コウ</t>
    </rPh>
    <rPh sb="3" eb="5">
      <t>ショクヒン</t>
    </rPh>
    <phoneticPr fontId="2"/>
  </si>
  <si>
    <t>その他小売</t>
    <rPh sb="2" eb="3">
      <t>タ</t>
    </rPh>
    <rPh sb="3" eb="5">
      <t>コウ</t>
    </rPh>
    <phoneticPr fontId="2"/>
  </si>
  <si>
    <t>区分の原単位</t>
    <rPh sb="0" eb="2">
      <t>クブン</t>
    </rPh>
    <rPh sb="3" eb="6">
      <t>ゲンタンイ</t>
    </rPh>
    <phoneticPr fontId="2"/>
  </si>
  <si>
    <t>①推奨機器</t>
    <rPh sb="1" eb="3">
      <t>スイショウ</t>
    </rPh>
    <rPh sb="3" eb="5">
      <t>キキ</t>
    </rPh>
    <phoneticPr fontId="2"/>
  </si>
  <si>
    <t>②４つ星</t>
    <rPh sb="3" eb="4">
      <t>ホシ</t>
    </rPh>
    <phoneticPr fontId="2"/>
  </si>
  <si>
    <t>③その他</t>
    <rPh sb="3" eb="4">
      <t>タ</t>
    </rPh>
    <phoneticPr fontId="2"/>
  </si>
  <si>
    <t>　※熱交換型換気設備または顕熱交換器を導入する場合のみ、熱交換率はエンタルピー交換効率を記入して下さい。</t>
    <rPh sb="2" eb="3">
      <t>ネツ</t>
    </rPh>
    <rPh sb="3" eb="5">
      <t>コウカン</t>
    </rPh>
    <rPh sb="5" eb="6">
      <t>カタ</t>
    </rPh>
    <rPh sb="6" eb="8">
      <t>カンキ</t>
    </rPh>
    <rPh sb="8" eb="10">
      <t>セツビ</t>
    </rPh>
    <rPh sb="13" eb="15">
      <t>ケンネツ</t>
    </rPh>
    <rPh sb="15" eb="18">
      <t>コウカンキ</t>
    </rPh>
    <rPh sb="19" eb="21">
      <t>ドウニュウ</t>
    </rPh>
    <rPh sb="23" eb="25">
      <t>バアイ</t>
    </rPh>
    <rPh sb="28" eb="31">
      <t>ネツコウカン</t>
    </rPh>
    <rPh sb="31" eb="32">
      <t>リツ</t>
    </rPh>
    <rPh sb="39" eb="41">
      <t>コウカン</t>
    </rPh>
    <rPh sb="41" eb="43">
      <t>コウリツ</t>
    </rPh>
    <rPh sb="44" eb="46">
      <t>キニュウ</t>
    </rPh>
    <rPh sb="48" eb="49">
      <t>クダ</t>
    </rPh>
    <phoneticPr fontId="2"/>
  </si>
  <si>
    <t>都市ガス［m3⇒Nm3］換算</t>
    <rPh sb="0" eb="2">
      <t>トシ</t>
    </rPh>
    <phoneticPr fontId="2"/>
  </si>
  <si>
    <t>熱交冷房入力</t>
    <rPh sb="0" eb="2">
      <t>ネツコウ</t>
    </rPh>
    <rPh sb="2" eb="4">
      <t>レイボウ</t>
    </rPh>
    <rPh sb="4" eb="6">
      <t>ニュウリョク</t>
    </rPh>
    <phoneticPr fontId="12"/>
  </si>
  <si>
    <t>熱交暖房入力</t>
    <rPh sb="0" eb="2">
      <t>ネツコウ</t>
    </rPh>
    <rPh sb="2" eb="4">
      <t>ダンボウ</t>
    </rPh>
    <rPh sb="4" eb="6">
      <t>ニュウリョク</t>
    </rPh>
    <phoneticPr fontId="12"/>
  </si>
  <si>
    <t>換気一体入力</t>
    <rPh sb="0" eb="2">
      <t>カンキ</t>
    </rPh>
    <rPh sb="2" eb="4">
      <t>イッタイ</t>
    </rPh>
    <rPh sb="4" eb="6">
      <t>ニュウリョク</t>
    </rPh>
    <phoneticPr fontId="12"/>
  </si>
  <si>
    <t>設備空欄チェック</t>
    <rPh sb="0" eb="2">
      <t>セツビ</t>
    </rPh>
    <rPh sb="2" eb="4">
      <t>クウラン</t>
    </rPh>
    <phoneticPr fontId="12"/>
  </si>
  <si>
    <t>顕熱冷房入力</t>
    <rPh sb="0" eb="2">
      <t>ケンネツ</t>
    </rPh>
    <rPh sb="2" eb="4">
      <t>レイボウ</t>
    </rPh>
    <rPh sb="4" eb="6">
      <t>ニュウリョク</t>
    </rPh>
    <phoneticPr fontId="12"/>
  </si>
  <si>
    <t>顕熱暖房入力</t>
    <rPh sb="0" eb="2">
      <t>ケンネツ</t>
    </rPh>
    <rPh sb="2" eb="4">
      <t>ダンボウ</t>
    </rPh>
    <rPh sb="4" eb="6">
      <t>ニュウリョク</t>
    </rPh>
    <phoneticPr fontId="12"/>
  </si>
  <si>
    <r>
      <rPr>
        <sz val="10"/>
        <color rgb="FFFF0000"/>
        <rFont val="メイリオ"/>
        <family val="3"/>
        <charset val="128"/>
      </rPr>
      <t>空調設備更新前後</t>
    </r>
    <r>
      <rPr>
        <sz val="10"/>
        <color theme="1"/>
        <rFont val="メイリオ"/>
        <family val="3"/>
        <charset val="128"/>
      </rPr>
      <t xml:space="preserve">
の省エネ判定</t>
    </r>
    <rPh sb="0" eb="2">
      <t>クウチョウ</t>
    </rPh>
    <rPh sb="2" eb="4">
      <t>セツビ</t>
    </rPh>
    <rPh sb="4" eb="6">
      <t>コウシン</t>
    </rPh>
    <rPh sb="6" eb="8">
      <t>ゼンゴ</t>
    </rPh>
    <rPh sb="10" eb="11">
      <t>ショウ</t>
    </rPh>
    <rPh sb="13" eb="15">
      <t>ハンテイ</t>
    </rPh>
    <phoneticPr fontId="12"/>
  </si>
  <si>
    <t>LPG:kg</t>
    <phoneticPr fontId="2"/>
  </si>
  <si>
    <r>
      <rPr>
        <sz val="12"/>
        <color rgb="FFFF0000"/>
        <rFont val="メイリオ"/>
        <family val="3"/>
        <charset val="128"/>
      </rPr>
      <t>必要換気量に係る</t>
    </r>
    <r>
      <rPr>
        <sz val="12"/>
        <color theme="1"/>
        <rFont val="メイリオ"/>
        <family val="3"/>
        <charset val="128"/>
      </rPr>
      <t xml:space="preserve">
要件判定</t>
    </r>
    <rPh sb="0" eb="2">
      <t>ヒツヨウ</t>
    </rPh>
    <rPh sb="2" eb="4">
      <t>カンキ</t>
    </rPh>
    <rPh sb="4" eb="5">
      <t>リョウ</t>
    </rPh>
    <rPh sb="6" eb="7">
      <t>カカ</t>
    </rPh>
    <rPh sb="9" eb="11">
      <t>ヨウケン</t>
    </rPh>
    <rPh sb="11" eb="13">
      <t>ハンテイ</t>
    </rPh>
    <phoneticPr fontId="2"/>
  </si>
  <si>
    <r>
      <rPr>
        <sz val="10"/>
        <color rgb="FFFF0000"/>
        <rFont val="メイリオ"/>
        <family val="3"/>
        <charset val="128"/>
      </rPr>
      <t>中小規模事業所</t>
    </r>
    <r>
      <rPr>
        <sz val="10"/>
        <color theme="1"/>
        <rFont val="メイリオ"/>
        <family val="3"/>
        <charset val="128"/>
      </rPr>
      <t xml:space="preserve">
の規模判定</t>
    </r>
    <rPh sb="0" eb="7">
      <t>チュウショウキボジギョウショ</t>
    </rPh>
    <rPh sb="9" eb="11">
      <t>キボ</t>
    </rPh>
    <rPh sb="11" eb="13">
      <t>ハンテイ</t>
    </rPh>
    <phoneticPr fontId="12"/>
  </si>
  <si>
    <t>年度を選択</t>
  </si>
  <si>
    <t>エネルギー種別を選択</t>
    <rPh sb="5" eb="7">
      <t>シュベツ</t>
    </rPh>
    <phoneticPr fontId="12"/>
  </si>
  <si>
    <t>【空調設備】</t>
    <rPh sb="1" eb="3">
      <t>クウチョウ</t>
    </rPh>
    <rPh sb="3" eb="5">
      <t>セツビ</t>
    </rPh>
    <phoneticPr fontId="2"/>
  </si>
  <si>
    <t>教育施設（私学以外）</t>
    <rPh sb="0" eb="4">
      <t>キョウイクシセツ</t>
    </rPh>
    <rPh sb="5" eb="7">
      <t>シガク</t>
    </rPh>
    <rPh sb="7" eb="9">
      <t>イガイ</t>
    </rPh>
    <phoneticPr fontId="12"/>
  </si>
  <si>
    <t>工場</t>
    <rPh sb="0" eb="2">
      <t>コウジョウ</t>
    </rPh>
    <phoneticPr fontId="2"/>
  </si>
  <si>
    <t>倉庫</t>
    <rPh sb="0" eb="2">
      <t>ソウコ</t>
    </rPh>
    <phoneticPr fontId="12"/>
  </si>
  <si>
    <t>私学学校</t>
    <rPh sb="0" eb="2">
      <t>シガク</t>
    </rPh>
    <rPh sb="2" eb="4">
      <t>ガッコウ</t>
    </rPh>
    <phoneticPr fontId="12"/>
  </si>
  <si>
    <t>高効率換気入力</t>
    <rPh sb="0" eb="1">
      <t>コウ</t>
    </rPh>
    <rPh sb="1" eb="3">
      <t>コウリツ</t>
    </rPh>
    <rPh sb="3" eb="5">
      <t>カンキ</t>
    </rPh>
    <rPh sb="5" eb="7">
      <t>ニュウリョク</t>
    </rPh>
    <phoneticPr fontId="12"/>
  </si>
  <si>
    <t>　　なお、既設の熱交換型換気設備等を継続して使用する場合、導入の区分は必ず＜継続＞を選択してください。</t>
    <rPh sb="5" eb="7">
      <t>キセツ</t>
    </rPh>
    <rPh sb="8" eb="11">
      <t>ネツコウカン</t>
    </rPh>
    <rPh sb="11" eb="12">
      <t>カタ</t>
    </rPh>
    <rPh sb="12" eb="14">
      <t>カンキ</t>
    </rPh>
    <rPh sb="14" eb="16">
      <t>セツビ</t>
    </rPh>
    <rPh sb="16" eb="17">
      <t>トウ</t>
    </rPh>
    <rPh sb="18" eb="20">
      <t>ケイゾク</t>
    </rPh>
    <rPh sb="22" eb="24">
      <t>シヨウ</t>
    </rPh>
    <rPh sb="26" eb="28">
      <t>バアイ</t>
    </rPh>
    <rPh sb="35" eb="36">
      <t>カナラ</t>
    </rPh>
    <rPh sb="42" eb="44">
      <t>センタク</t>
    </rPh>
    <phoneticPr fontId="2"/>
  </si>
  <si>
    <t>【室用途】</t>
    <rPh sb="1" eb="2">
      <t>シツ</t>
    </rPh>
    <rPh sb="2" eb="4">
      <t>ヨウト</t>
    </rPh>
    <phoneticPr fontId="2"/>
  </si>
  <si>
    <t>工場</t>
    <rPh sb="0" eb="2">
      <t>コウジョウ</t>
    </rPh>
    <phoneticPr fontId="12"/>
  </si>
  <si>
    <t>空調設備の種類</t>
    <rPh sb="0" eb="2">
      <t>クウチョウ</t>
    </rPh>
    <rPh sb="2" eb="4">
      <t>セツビ</t>
    </rPh>
    <rPh sb="5" eb="7">
      <t>シュルイ</t>
    </rPh>
    <phoneticPr fontId="2"/>
  </si>
  <si>
    <r>
      <t>＜換気設備の新旧機器リスト入力表＞</t>
    </r>
    <r>
      <rPr>
        <sz val="14"/>
        <color rgb="FFFF0000"/>
        <rFont val="メイリオ"/>
        <family val="3"/>
        <charset val="128"/>
      </rPr>
      <t>（機器型番ごとにまとめて記入すること）</t>
    </r>
    <rPh sb="1" eb="3">
      <t>カンキ</t>
    </rPh>
    <rPh sb="3" eb="5">
      <t>セツビ</t>
    </rPh>
    <rPh sb="6" eb="8">
      <t>シンキュウ</t>
    </rPh>
    <rPh sb="8" eb="10">
      <t>キキ</t>
    </rPh>
    <rPh sb="13" eb="15">
      <t>ニュウリョク</t>
    </rPh>
    <rPh sb="15" eb="16">
      <t>ヒョウ</t>
    </rPh>
    <rPh sb="29" eb="31">
      <t>キニュウ</t>
    </rPh>
    <phoneticPr fontId="2"/>
  </si>
  <si>
    <r>
      <t>＜空調設備の新旧機器リスト入力表＞</t>
    </r>
    <r>
      <rPr>
        <sz val="14"/>
        <color rgb="FFFF0000"/>
        <rFont val="メイリオ"/>
        <family val="3"/>
        <charset val="128"/>
      </rPr>
      <t>（機器型番ごとにまとめて記入すること）</t>
    </r>
    <rPh sb="1" eb="3">
      <t>クウチョウ</t>
    </rPh>
    <rPh sb="3" eb="5">
      <t>セツビ</t>
    </rPh>
    <rPh sb="6" eb="8">
      <t>シンキュウ</t>
    </rPh>
    <rPh sb="8" eb="10">
      <t>キキ</t>
    </rPh>
    <rPh sb="13" eb="15">
      <t>ニュウリョク</t>
    </rPh>
    <rPh sb="15" eb="16">
      <t>ヒョウ</t>
    </rPh>
    <rPh sb="29" eb="31">
      <t>キニュウ</t>
    </rPh>
    <phoneticPr fontId="2"/>
  </si>
  <si>
    <t>機械換気確認</t>
    <rPh sb="0" eb="2">
      <t>キカイ</t>
    </rPh>
    <rPh sb="2" eb="4">
      <t>カンキ</t>
    </rPh>
    <rPh sb="4" eb="6">
      <t>カクニン</t>
    </rPh>
    <phoneticPr fontId="12"/>
  </si>
  <si>
    <t>熱交要件</t>
    <rPh sb="0" eb="2">
      <t>ネツコウ</t>
    </rPh>
    <rPh sb="2" eb="4">
      <t>ヨウケン</t>
    </rPh>
    <phoneticPr fontId="12"/>
  </si>
  <si>
    <t>選択確認</t>
    <rPh sb="0" eb="2">
      <t>センタク</t>
    </rPh>
    <rPh sb="2" eb="4">
      <t>カクニン</t>
    </rPh>
    <phoneticPr fontId="12"/>
  </si>
  <si>
    <t>空調選択確認</t>
    <rPh sb="0" eb="2">
      <t>クウチョウ</t>
    </rPh>
    <rPh sb="2" eb="4">
      <t>センタク</t>
    </rPh>
    <rPh sb="4" eb="6">
      <t>カクニン</t>
    </rPh>
    <phoneticPr fontId="12"/>
  </si>
  <si>
    <t>エネ選択確認</t>
    <rPh sb="2" eb="4">
      <t>センタク</t>
    </rPh>
    <rPh sb="4" eb="6">
      <t>カクニン</t>
    </rPh>
    <phoneticPr fontId="12"/>
  </si>
  <si>
    <t>エネ確認</t>
    <rPh sb="2" eb="4">
      <t>カクニン</t>
    </rPh>
    <phoneticPr fontId="12"/>
  </si>
  <si>
    <t>空調確認</t>
    <rPh sb="0" eb="2">
      <t>クウチョウ</t>
    </rPh>
    <rPh sb="2" eb="4">
      <t>カクニン</t>
    </rPh>
    <phoneticPr fontId="12"/>
  </si>
  <si>
    <t>換気一体要件</t>
    <rPh sb="0" eb="2">
      <t>カンキ</t>
    </rPh>
    <rPh sb="2" eb="4">
      <t>イッタイ</t>
    </rPh>
    <rPh sb="4" eb="6">
      <t>ヨウケン</t>
    </rPh>
    <phoneticPr fontId="12"/>
  </si>
  <si>
    <t>構成型番（室外機）</t>
    <rPh sb="0" eb="2">
      <t>コウセイ</t>
    </rPh>
    <rPh sb="2" eb="4">
      <t>カタバン</t>
    </rPh>
    <rPh sb="5" eb="8">
      <t>シツガイキ</t>
    </rPh>
    <phoneticPr fontId="2"/>
  </si>
  <si>
    <t>B_1</t>
    <phoneticPr fontId="2"/>
  </si>
  <si>
    <t>B_2</t>
  </si>
  <si>
    <t>B_3</t>
  </si>
  <si>
    <t>B_4</t>
  </si>
  <si>
    <t>B_5</t>
  </si>
  <si>
    <t>B_6</t>
  </si>
  <si>
    <t>B_7</t>
  </si>
  <si>
    <t>B_8</t>
  </si>
  <si>
    <t>B_9</t>
  </si>
  <si>
    <t>B_10</t>
  </si>
  <si>
    <t>C_1</t>
    <phoneticPr fontId="2"/>
  </si>
  <si>
    <t>C_2</t>
  </si>
  <si>
    <t>C_3</t>
  </si>
  <si>
    <t>C_4</t>
  </si>
  <si>
    <t>C_5</t>
  </si>
  <si>
    <t>C_6</t>
  </si>
  <si>
    <t>C_7</t>
  </si>
  <si>
    <t>C_8</t>
  </si>
  <si>
    <t>C_9</t>
  </si>
  <si>
    <t>C_10</t>
  </si>
  <si>
    <t>D_1</t>
    <phoneticPr fontId="2"/>
  </si>
  <si>
    <t>D_2</t>
  </si>
  <si>
    <t>D_3</t>
  </si>
  <si>
    <t>D_4</t>
  </si>
  <si>
    <t>D_5</t>
  </si>
  <si>
    <t>D_6</t>
  </si>
  <si>
    <t>D_7</t>
  </si>
  <si>
    <t>D_8</t>
  </si>
  <si>
    <t>D_9</t>
  </si>
  <si>
    <t>D_10</t>
  </si>
  <si>
    <t>C_2</t>
    <phoneticPr fontId="12"/>
  </si>
  <si>
    <t>D_2</t>
    <phoneticPr fontId="1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</si>
  <si>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</si>
  <si>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</si>
  <si>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</si>
  <si>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</si>
  <si>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</si>
  <si>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</si>
  <si>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</si>
  <si>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</si>
  <si>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</si>
  <si>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</si>
  <si>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</si>
  <si>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</si>
  <si>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</si>
  <si>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</si>
  <si>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</si>
  <si>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</si>
  <si>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</si>
  <si>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</si>
  <si>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</si>
  <si>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</si>
  <si>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</si>
  <si>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</si>
  <si>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</si>
  <si>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</si>
  <si>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</si>
  <si>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</si>
  <si>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</si>
  <si>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</si>
  <si>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</si>
  <si>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</si>
  <si>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導入前後の換気量の要件を判定します。</t>
    <rPh sb="0" eb="2">
      <t>ドウニュウ</t>
    </rPh>
    <rPh sb="2" eb="4">
      <t>ゼンゴ</t>
    </rPh>
    <rPh sb="5" eb="7">
      <t>カンキ</t>
    </rPh>
    <rPh sb="7" eb="8">
      <t>リョウ</t>
    </rPh>
    <rPh sb="9" eb="11">
      <t>ヨウケン</t>
    </rPh>
    <rPh sb="12" eb="14">
      <t>ハンテイ</t>
    </rPh>
    <phoneticPr fontId="2"/>
  </si>
  <si>
    <r>
      <t xml:space="preserve">利用人数
（人/室）
</t>
    </r>
    <r>
      <rPr>
        <sz val="12"/>
        <color rgb="FFFF0000"/>
        <rFont val="メイリオ"/>
        <family val="3"/>
        <charset val="128"/>
      </rPr>
      <t>※入室する最大人数を記入すること</t>
    </r>
    <rPh sb="0" eb="2">
      <t>リヨウ</t>
    </rPh>
    <rPh sb="2" eb="4">
      <t>ニンズウ</t>
    </rPh>
    <rPh sb="6" eb="7">
      <t>ヒト</t>
    </rPh>
    <rPh sb="8" eb="9">
      <t>シツ</t>
    </rPh>
    <rPh sb="12" eb="14">
      <t>ニュウシツ</t>
    </rPh>
    <rPh sb="16" eb="18">
      <t>サイダイ</t>
    </rPh>
    <rPh sb="18" eb="20">
      <t>ニンズウ</t>
    </rPh>
    <rPh sb="21" eb="23">
      <t>キニュウ</t>
    </rPh>
    <phoneticPr fontId="12"/>
  </si>
  <si>
    <t>A_11</t>
  </si>
  <si>
    <t>B_11</t>
  </si>
  <si>
    <t>B_12</t>
  </si>
  <si>
    <t>B_13</t>
  </si>
  <si>
    <t>B_14</t>
  </si>
  <si>
    <t>B_15</t>
  </si>
  <si>
    <t>B_16</t>
  </si>
  <si>
    <t>B_17</t>
  </si>
  <si>
    <t>B_18</t>
  </si>
  <si>
    <t>B_19</t>
  </si>
  <si>
    <t>B_20</t>
  </si>
  <si>
    <t>C_11</t>
  </si>
  <si>
    <t>C_12</t>
  </si>
  <si>
    <t>C_13</t>
  </si>
  <si>
    <t>C_14</t>
  </si>
  <si>
    <t>C_15</t>
  </si>
  <si>
    <t>C_16</t>
  </si>
  <si>
    <t>C_17</t>
  </si>
  <si>
    <t>C_18</t>
  </si>
  <si>
    <t>C_19</t>
  </si>
  <si>
    <t>C_20</t>
  </si>
  <si>
    <t>D_11</t>
  </si>
  <si>
    <t>D_12</t>
  </si>
  <si>
    <t>D_13</t>
  </si>
  <si>
    <t>D_14</t>
  </si>
  <si>
    <t>D_15</t>
  </si>
  <si>
    <t>D_16</t>
  </si>
  <si>
    <t>D_17</t>
  </si>
  <si>
    <t>D_18</t>
  </si>
  <si>
    <t>D_19</t>
  </si>
  <si>
    <t>D_20</t>
  </si>
  <si>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</si>
  <si>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</si>
  <si>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</si>
  <si>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</si>
  <si>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</si>
  <si>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</si>
  <si>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</si>
  <si>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</si>
  <si>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</si>
  <si>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</si>
  <si>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31</t>
  </si>
  <si>
    <t>32</t>
  </si>
  <si>
    <t>33</t>
  </si>
  <si>
    <t>34</t>
  </si>
  <si>
    <t>35</t>
  </si>
  <si>
    <t>36</t>
  </si>
  <si>
    <t>37</t>
  </si>
  <si>
    <t>38</t>
  </si>
  <si>
    <t>39</t>
  </si>
  <si>
    <t>40</t>
  </si>
  <si>
    <t>41</t>
  </si>
  <si>
    <t>42</t>
  </si>
  <si>
    <t>43</t>
  </si>
  <si>
    <t>44</t>
  </si>
  <si>
    <t>45</t>
  </si>
  <si>
    <t>46</t>
  </si>
  <si>
    <t>47</t>
  </si>
  <si>
    <t>48</t>
  </si>
  <si>
    <t>49</t>
  </si>
  <si>
    <t>50</t>
  </si>
  <si>
    <r>
      <rPr>
        <sz val="12"/>
        <rFont val="メイリオ"/>
        <family val="3"/>
        <charset val="128"/>
      </rPr>
      <t>６．要件判定欄に</t>
    </r>
    <r>
      <rPr>
        <sz val="12"/>
        <color rgb="FFFF0000"/>
        <rFont val="メイリオ"/>
        <family val="3"/>
        <charset val="128"/>
      </rPr>
      <t>、"必要換気量に係る要件を満たしています。"</t>
    </r>
    <r>
      <rPr>
        <sz val="12"/>
        <rFont val="メイリオ"/>
        <family val="3"/>
        <charset val="128"/>
      </rPr>
      <t>　と表示される場合のみ、申請できます。</t>
    </r>
    <rPh sb="2" eb="4">
      <t>ヨウケン</t>
    </rPh>
    <rPh sb="4" eb="7">
      <t>ハンテイラン</t>
    </rPh>
    <rPh sb="32" eb="34">
      <t>ヒョウジ</t>
    </rPh>
    <rPh sb="37" eb="39">
      <t>バアイ</t>
    </rPh>
    <rPh sb="42" eb="44">
      <t>シンセイ</t>
    </rPh>
    <phoneticPr fontId="2"/>
  </si>
  <si>
    <t>２．１つの室に複数の換気設備がある場合は、その合計を記入してください。</t>
    <rPh sb="5" eb="6">
      <t>シツ</t>
    </rPh>
    <rPh sb="7" eb="9">
      <t>フクスウ</t>
    </rPh>
    <rPh sb="10" eb="12">
      <t>カンキ</t>
    </rPh>
    <rPh sb="12" eb="14">
      <t>セツビ</t>
    </rPh>
    <rPh sb="17" eb="19">
      <t>バアイ</t>
    </rPh>
    <rPh sb="23" eb="25">
      <t>ゴウケイ</t>
    </rPh>
    <rPh sb="26" eb="28">
      <t>キニュウ</t>
    </rPh>
    <phoneticPr fontId="2"/>
  </si>
  <si>
    <t>５．外気との給気または排気を伴わない送風設備等の風量は、換気量に含まれません。</t>
    <rPh sb="2" eb="4">
      <t>ガイキ</t>
    </rPh>
    <rPh sb="6" eb="8">
      <t>キュウキ</t>
    </rPh>
    <rPh sb="11" eb="13">
      <t>ハイキ</t>
    </rPh>
    <rPh sb="14" eb="15">
      <t>トモナ</t>
    </rPh>
    <rPh sb="18" eb="20">
      <t>ソウフウ</t>
    </rPh>
    <rPh sb="20" eb="22">
      <t>セツビ</t>
    </rPh>
    <rPh sb="22" eb="23">
      <t>トウ</t>
    </rPh>
    <rPh sb="24" eb="26">
      <t>フウリョウ</t>
    </rPh>
    <rPh sb="28" eb="30">
      <t>カンキ</t>
    </rPh>
    <rPh sb="30" eb="31">
      <t>リョウ</t>
    </rPh>
    <rPh sb="32" eb="33">
      <t>フク</t>
    </rPh>
    <phoneticPr fontId="2"/>
  </si>
  <si>
    <r>
      <t>４．自然換気の換気量は、</t>
    </r>
    <r>
      <rPr>
        <sz val="12"/>
        <color rgb="FFFF0000"/>
        <rFont val="メイリオ"/>
        <family val="3"/>
        <charset val="128"/>
      </rPr>
      <t>「０」</t>
    </r>
    <r>
      <rPr>
        <sz val="12"/>
        <rFont val="メイリオ"/>
        <family val="3"/>
        <charset val="128"/>
      </rPr>
      <t>を入力してください。</t>
    </r>
    <rPh sb="2" eb="4">
      <t>シゼン</t>
    </rPh>
    <rPh sb="4" eb="6">
      <t>カンキ</t>
    </rPh>
    <rPh sb="7" eb="9">
      <t>カンキ</t>
    </rPh>
    <rPh sb="9" eb="10">
      <t>リョウ</t>
    </rPh>
    <rPh sb="16" eb="18">
      <t>ニュウリョク</t>
    </rPh>
    <phoneticPr fontId="2"/>
  </si>
  <si>
    <r>
      <t>　　なお、１つの室に給気と排気の機械換気設備がある場合は</t>
    </r>
    <r>
      <rPr>
        <sz val="12"/>
        <color rgb="FFFF0000"/>
        <rFont val="メイリオ"/>
        <family val="3"/>
        <charset val="128"/>
      </rPr>
      <t>換気量の多い給気又は排気設備</t>
    </r>
    <r>
      <rPr>
        <sz val="12"/>
        <rFont val="メイリオ"/>
        <family val="3"/>
        <charset val="128"/>
      </rPr>
      <t>の有効換気量をご記入ください。</t>
    </r>
    <rPh sb="28" eb="31">
      <t>カンキリョウ</t>
    </rPh>
    <rPh sb="32" eb="33">
      <t>オオ</t>
    </rPh>
    <rPh sb="34" eb="36">
      <t>キュウキ</t>
    </rPh>
    <rPh sb="36" eb="37">
      <t>マタ</t>
    </rPh>
    <rPh sb="38" eb="40">
      <t>ハイキ</t>
    </rPh>
    <rPh sb="40" eb="42">
      <t>セツビ</t>
    </rPh>
    <rPh sb="43" eb="45">
      <t>ユウコウ</t>
    </rPh>
    <rPh sb="45" eb="48">
      <t>カンキリョウ</t>
    </rPh>
    <rPh sb="50" eb="52">
      <t>キニュウ</t>
    </rPh>
    <phoneticPr fontId="2"/>
  </si>
  <si>
    <r>
      <t>１．建屋内で</t>
    </r>
    <r>
      <rPr>
        <sz val="12"/>
        <color rgb="FFFF0000"/>
        <rFont val="メイリオ"/>
        <family val="3"/>
        <charset val="128"/>
      </rPr>
      <t>壁等で区切られた部屋</t>
    </r>
    <r>
      <rPr>
        <sz val="12"/>
        <rFont val="メイリオ"/>
        <family val="3"/>
        <charset val="128"/>
      </rPr>
      <t>を１つの室として記入してください。</t>
    </r>
    <rPh sb="6" eb="7">
      <t>カベ</t>
    </rPh>
    <rPh sb="7" eb="8">
      <t>トウ</t>
    </rPh>
    <phoneticPr fontId="2"/>
  </si>
  <si>
    <r>
      <t>　　該当する要件の確認資料として、</t>
    </r>
    <r>
      <rPr>
        <sz val="12"/>
        <color rgb="FFFF0000"/>
        <rFont val="メイリオ"/>
        <family val="3"/>
        <charset val="128"/>
      </rPr>
      <t>「導入推奨機器検索画面のコピー」</t>
    </r>
    <r>
      <rPr>
        <sz val="12"/>
        <rFont val="メイリオ"/>
        <family val="3"/>
        <charset val="128"/>
      </rPr>
      <t>等を提出してください。</t>
    </r>
    <rPh sb="2" eb="4">
      <t>ガイトウ</t>
    </rPh>
    <rPh sb="6" eb="8">
      <t>ヨウケン</t>
    </rPh>
    <rPh sb="9" eb="11">
      <t>カクニン</t>
    </rPh>
    <rPh sb="11" eb="13">
      <t>シリョウ</t>
    </rPh>
    <rPh sb="18" eb="20">
      <t>ドウニュウ</t>
    </rPh>
    <rPh sb="20" eb="22">
      <t>スイショウ</t>
    </rPh>
    <rPh sb="22" eb="24">
      <t>キキ</t>
    </rPh>
    <rPh sb="24" eb="26">
      <t>ケンサク</t>
    </rPh>
    <rPh sb="26" eb="28">
      <t>ガメン</t>
    </rPh>
    <rPh sb="33" eb="34">
      <t>トウ</t>
    </rPh>
    <rPh sb="35" eb="37">
      <t>テイシュツ</t>
    </rPh>
    <phoneticPr fontId="12"/>
  </si>
  <si>
    <t>　　なお、表中の「計」欄は、12か月すべてに入力が無い場合は、12か月分に補正した値が表示されます。</t>
    <rPh sb="5" eb="6">
      <t>ヒョウ</t>
    </rPh>
    <rPh sb="6" eb="7">
      <t>チュウ</t>
    </rPh>
    <rPh sb="9" eb="10">
      <t>ケイ</t>
    </rPh>
    <rPh sb="11" eb="12">
      <t>ラン</t>
    </rPh>
    <rPh sb="17" eb="18">
      <t>ゲツ</t>
    </rPh>
    <rPh sb="22" eb="24">
      <t>ニュウリョク</t>
    </rPh>
    <rPh sb="25" eb="26">
      <t>ナ</t>
    </rPh>
    <rPh sb="27" eb="29">
      <t>バアイ</t>
    </rPh>
    <rPh sb="34" eb="36">
      <t>ゲツブン</t>
    </rPh>
    <rPh sb="37" eb="39">
      <t>ホセイ</t>
    </rPh>
    <rPh sb="41" eb="42">
      <t>アタイ</t>
    </rPh>
    <rPh sb="43" eb="45">
      <t>ヒョウジ</t>
    </rPh>
    <phoneticPr fontId="2"/>
  </si>
  <si>
    <r>
      <t>２．</t>
    </r>
    <r>
      <rPr>
        <sz val="10"/>
        <color rgb="FFFF0000"/>
        <rFont val="メイリオ"/>
        <family val="3"/>
        <charset val="128"/>
      </rPr>
      <t>年度途中から営業開始等の場合</t>
    </r>
    <r>
      <rPr>
        <sz val="10"/>
        <rFont val="メイリオ"/>
        <family val="3"/>
        <charset val="128"/>
      </rPr>
      <t>は、直近までの実績値を入力してください。</t>
    </r>
    <rPh sb="2" eb="4">
      <t>ネンド</t>
    </rPh>
    <rPh sb="4" eb="6">
      <t>トチュウ</t>
    </rPh>
    <rPh sb="8" eb="10">
      <t>エイギョウ</t>
    </rPh>
    <rPh sb="10" eb="12">
      <t>カイシ</t>
    </rPh>
    <rPh sb="12" eb="13">
      <t>トウ</t>
    </rPh>
    <rPh sb="14" eb="16">
      <t>バアイ</t>
    </rPh>
    <rPh sb="18" eb="20">
      <t>チョッキン</t>
    </rPh>
    <rPh sb="23" eb="25">
      <t>ジッセキ</t>
    </rPh>
    <rPh sb="25" eb="26">
      <t>チ</t>
    </rPh>
    <rPh sb="27" eb="29">
      <t xml:space="preserve">ニュウリョクシテクダサイ </t>
    </rPh>
    <phoneticPr fontId="2"/>
  </si>
  <si>
    <r>
      <t>１．</t>
    </r>
    <r>
      <rPr>
        <sz val="10"/>
        <color rgb="FFFF0000"/>
        <rFont val="メイリオ"/>
        <family val="3"/>
        <charset val="128"/>
      </rPr>
      <t>令和３年度</t>
    </r>
    <r>
      <rPr>
        <sz val="10"/>
        <rFont val="メイリオ"/>
        <family val="3"/>
        <charset val="128"/>
      </rPr>
      <t>（2021年度）の電気、ガス及びその他のエネルギー使用量を下記表に入力してください。</t>
    </r>
    <rPh sb="2" eb="4">
      <t>レイワ</t>
    </rPh>
    <rPh sb="5" eb="7">
      <t>ネンド</t>
    </rPh>
    <rPh sb="12" eb="14">
      <t>ネンド</t>
    </rPh>
    <rPh sb="21" eb="22">
      <t>オヨ</t>
    </rPh>
    <rPh sb="25" eb="26">
      <t>タ</t>
    </rPh>
    <rPh sb="32" eb="34">
      <t>シヨウ</t>
    </rPh>
    <rPh sb="34" eb="35">
      <t>リョウ</t>
    </rPh>
    <rPh sb="36" eb="38">
      <t>カキ</t>
    </rPh>
    <rPh sb="38" eb="39">
      <t>ヒョウ</t>
    </rPh>
    <rPh sb="40" eb="42">
      <t>ニュウリョク</t>
    </rPh>
    <phoneticPr fontId="2"/>
  </si>
  <si>
    <r>
      <t xml:space="preserve">料金[円]
</t>
    </r>
    <r>
      <rPr>
        <sz val="10"/>
        <color theme="1"/>
        <rFont val="メイリオ"/>
        <family val="3"/>
        <charset val="128"/>
      </rPr>
      <t>（税込み）</t>
    </r>
    <rPh sb="0" eb="2">
      <t>リョウキン</t>
    </rPh>
    <rPh sb="3" eb="4">
      <t>エン</t>
    </rPh>
    <phoneticPr fontId="2"/>
  </si>
  <si>
    <r>
      <t xml:space="preserve">使用期間
</t>
    </r>
    <r>
      <rPr>
        <sz val="9"/>
        <color theme="1"/>
        <rFont val="メイリオ"/>
        <family val="3"/>
        <charset val="128"/>
      </rPr>
      <t>［ 月 日～ 月 日］</t>
    </r>
    <rPh sb="0" eb="2">
      <t>シヨウ</t>
    </rPh>
    <rPh sb="2" eb="4">
      <t>キカン</t>
    </rPh>
    <rPh sb="7" eb="8">
      <t>ガツ</t>
    </rPh>
    <rPh sb="9" eb="10">
      <t>ヒ</t>
    </rPh>
    <rPh sb="12" eb="13">
      <t>ツキ</t>
    </rPh>
    <rPh sb="14" eb="15">
      <t>ヒ</t>
    </rPh>
    <phoneticPr fontId="12"/>
  </si>
  <si>
    <t>原油換算
［kL］</t>
    <phoneticPr fontId="12"/>
  </si>
  <si>
    <t>合計</t>
    <rPh sb="0" eb="2">
      <t>ゴウケイ</t>
    </rPh>
    <phoneticPr fontId="2"/>
  </si>
  <si>
    <r>
      <rPr>
        <sz val="12"/>
        <color rgb="FFFF0000"/>
        <rFont val="メイリオ"/>
        <family val="3"/>
        <charset val="128"/>
      </rPr>
      <t>換気設備</t>
    </r>
    <r>
      <rPr>
        <sz val="12"/>
        <color theme="1"/>
        <rFont val="メイリオ"/>
        <family val="2"/>
        <charset val="128"/>
      </rPr>
      <t>の導入要件</t>
    </r>
    <phoneticPr fontId="12"/>
  </si>
  <si>
    <t>51</t>
  </si>
  <si>
    <t>52</t>
  </si>
  <si>
    <t>53</t>
  </si>
  <si>
    <t>54</t>
  </si>
  <si>
    <t>55</t>
  </si>
  <si>
    <t>56</t>
  </si>
  <si>
    <t>57</t>
  </si>
  <si>
    <t>58</t>
  </si>
  <si>
    <t>59</t>
  </si>
  <si>
    <t>60</t>
  </si>
  <si>
    <r>
      <t>　・料金は、</t>
    </r>
    <r>
      <rPr>
        <sz val="10"/>
        <color rgb="FFFF0000"/>
        <rFont val="メイリオ"/>
        <family val="3"/>
        <charset val="128"/>
      </rPr>
      <t>税込み金額</t>
    </r>
    <r>
      <rPr>
        <sz val="10"/>
        <rFont val="メイリオ"/>
        <family val="3"/>
        <charset val="128"/>
      </rPr>
      <t>を入力すること。</t>
    </r>
    <rPh sb="2" eb="4">
      <t>リョウキン</t>
    </rPh>
    <rPh sb="6" eb="8">
      <t>ゼイコ</t>
    </rPh>
    <rPh sb="9" eb="11">
      <t>キンガク</t>
    </rPh>
    <rPh sb="12" eb="14">
      <t>ニュウリョク</t>
    </rPh>
    <phoneticPr fontId="2"/>
  </si>
  <si>
    <t>　・電気、ガス以外のエネルギー使用がある場合は、「その他のエネルギー」欄に種別等を選択の上、入力すること。</t>
    <rPh sb="2" eb="4">
      <t>デンキ</t>
    </rPh>
    <rPh sb="7" eb="9">
      <t>イガイ</t>
    </rPh>
    <rPh sb="15" eb="17">
      <t>シヨウ</t>
    </rPh>
    <rPh sb="20" eb="22">
      <t>バアイ</t>
    </rPh>
    <rPh sb="27" eb="28">
      <t>タ</t>
    </rPh>
    <rPh sb="35" eb="36">
      <t>ラン</t>
    </rPh>
    <rPh sb="37" eb="39">
      <t>シュベツ</t>
    </rPh>
    <rPh sb="39" eb="40">
      <t>トウ</t>
    </rPh>
    <rPh sb="41" eb="43">
      <t>センタク</t>
    </rPh>
    <rPh sb="44" eb="45">
      <t>ウエ</t>
    </rPh>
    <rPh sb="46" eb="48">
      <t>ニュウリョク</t>
    </rPh>
    <phoneticPr fontId="2"/>
  </si>
  <si>
    <t>マイナス確認</t>
    <rPh sb="4" eb="6">
      <t>カクニン</t>
    </rPh>
    <phoneticPr fontId="12"/>
  </si>
  <si>
    <r>
      <t>更新後の室内機に接続される更新及び既設空調設備の室外機について入力してください。</t>
    </r>
    <r>
      <rPr>
        <sz val="14"/>
        <color rgb="FFFF0000"/>
        <rFont val="メイリオ"/>
        <family val="3"/>
        <charset val="128"/>
      </rPr>
      <t>（機器型番ごとにまとめること）</t>
    </r>
    <rPh sb="0" eb="2">
      <t>コウシン</t>
    </rPh>
    <rPh sb="2" eb="3">
      <t>ゴ</t>
    </rPh>
    <rPh sb="4" eb="7">
      <t>シツナイキ</t>
    </rPh>
    <rPh sb="8" eb="10">
      <t>セツゾク</t>
    </rPh>
    <rPh sb="13" eb="15">
      <t>コウシン</t>
    </rPh>
    <rPh sb="15" eb="16">
      <t>オヨ</t>
    </rPh>
    <rPh sb="17" eb="19">
      <t>キセツ</t>
    </rPh>
    <rPh sb="19" eb="21">
      <t>クウチョウ</t>
    </rPh>
    <rPh sb="21" eb="23">
      <t>セツビ</t>
    </rPh>
    <rPh sb="24" eb="27">
      <t>シツガイキ</t>
    </rPh>
    <phoneticPr fontId="2"/>
  </si>
  <si>
    <r>
      <t>更新する室内機に接続された既設空調設備の室外機について入力してください。</t>
    </r>
    <r>
      <rPr>
        <sz val="14"/>
        <color rgb="FFFF0000"/>
        <rFont val="メイリオ"/>
        <family val="3"/>
        <charset val="128"/>
      </rPr>
      <t>（機器型番ごとにまとめること）</t>
    </r>
    <rPh sb="0" eb="2">
      <t>コウシン</t>
    </rPh>
    <rPh sb="4" eb="7">
      <t>シツナイキ</t>
    </rPh>
    <rPh sb="8" eb="10">
      <t>セツゾク</t>
    </rPh>
    <rPh sb="13" eb="15">
      <t>キセツ</t>
    </rPh>
    <rPh sb="15" eb="17">
      <t>クウチョウ</t>
    </rPh>
    <rPh sb="17" eb="19">
      <t>セツビ</t>
    </rPh>
    <rPh sb="20" eb="23">
      <t>シツガイキ</t>
    </rPh>
    <phoneticPr fontId="2"/>
  </si>
  <si>
    <r>
      <t>事業範囲に設置されているすべての換気設備について入力してください。</t>
    </r>
    <r>
      <rPr>
        <sz val="14"/>
        <color rgb="FFFF0000"/>
        <rFont val="メイリオ"/>
        <family val="3"/>
        <charset val="128"/>
      </rPr>
      <t>（機器型番ごとにまとめて記入すること）</t>
    </r>
    <rPh sb="0" eb="2">
      <t>ジギョウ</t>
    </rPh>
    <rPh sb="2" eb="4">
      <t>ハンイ</t>
    </rPh>
    <rPh sb="5" eb="7">
      <t>セッチ</t>
    </rPh>
    <rPh sb="16" eb="18">
      <t>カンキ</t>
    </rPh>
    <rPh sb="34" eb="36">
      <t>キキ</t>
    </rPh>
    <rPh sb="36" eb="38">
      <t>カタバン</t>
    </rPh>
    <rPh sb="45" eb="47">
      <t>キニュウ</t>
    </rPh>
    <phoneticPr fontId="2"/>
  </si>
  <si>
    <r>
      <t>今回新たに新設、更新、増設する換気設備並びに、継続使用する換気設備について入力してください。</t>
    </r>
    <r>
      <rPr>
        <sz val="14"/>
        <color rgb="FFFF0000"/>
        <rFont val="メイリオ"/>
        <family val="3"/>
        <charset val="128"/>
      </rPr>
      <t>（機器型番ごとにまとめて記入すること）</t>
    </r>
    <rPh sb="5" eb="7">
      <t>シンセツ</t>
    </rPh>
    <rPh sb="15" eb="17">
      <t>カンキ</t>
    </rPh>
    <rPh sb="17" eb="19">
      <t>セツビ</t>
    </rPh>
    <rPh sb="29" eb="31">
      <t>カンキ</t>
    </rPh>
    <rPh sb="31" eb="33">
      <t>セツビ</t>
    </rPh>
    <rPh sb="58" eb="60">
      <t>キニュウ</t>
    </rPh>
    <phoneticPr fontId="2"/>
  </si>
  <si>
    <t>←記入事項に不備がある場合、セルが＜橙色＞になります。</t>
    <rPh sb="1" eb="3">
      <t>キニュウ</t>
    </rPh>
    <rPh sb="3" eb="5">
      <t>ジコウ</t>
    </rPh>
    <rPh sb="6" eb="8">
      <t>フビ</t>
    </rPh>
    <rPh sb="11" eb="13">
      <t>バアイ</t>
    </rPh>
    <rPh sb="18" eb="19">
      <t>ダイダイ</t>
    </rPh>
    <phoneticPr fontId="2"/>
  </si>
  <si>
    <t>←記入事項に不備がある場合、セルが＜黄色＞になります。</t>
    <rPh sb="1" eb="3">
      <t>キニュウ</t>
    </rPh>
    <rPh sb="3" eb="5">
      <t>ジコウ</t>
    </rPh>
    <rPh sb="6" eb="8">
      <t>フビ</t>
    </rPh>
    <rPh sb="11" eb="13">
      <t>バアイ</t>
    </rPh>
    <rPh sb="18" eb="20">
      <t>キイロ</t>
    </rPh>
    <phoneticPr fontId="2"/>
  </si>
  <si>
    <t>←プルダウンメニューより＜室用途＞選択してください。</t>
    <rPh sb="13" eb="14">
      <t>シツ</t>
    </rPh>
    <rPh sb="14" eb="16">
      <t>ヨウト</t>
    </rPh>
    <rPh sb="17" eb="19">
      <t>センタク</t>
    </rPh>
    <phoneticPr fontId="2"/>
  </si>
  <si>
    <t>←プルダウンメニューより＜空調設備の種類＞選択してください。</t>
    <rPh sb="13" eb="15">
      <t>クウチョウ</t>
    </rPh>
    <rPh sb="15" eb="17">
      <t>セツビ</t>
    </rPh>
    <rPh sb="18" eb="20">
      <t>シュルイ</t>
    </rPh>
    <rPh sb="21" eb="23">
      <t>センタク</t>
    </rPh>
    <phoneticPr fontId="2"/>
  </si>
  <si>
    <t>←プルダウンメニューより＜エネルギー種別＞選択してください。</t>
    <rPh sb="18" eb="20">
      <t>シュベツ</t>
    </rPh>
    <rPh sb="21" eb="23">
      <t>センタク</t>
    </rPh>
    <phoneticPr fontId="2"/>
  </si>
  <si>
    <t>←プルダウンメニューより＜単位＞選択してください。</t>
    <rPh sb="13" eb="15">
      <t>タンイ</t>
    </rPh>
    <rPh sb="16" eb="18">
      <t>センタク</t>
    </rPh>
    <phoneticPr fontId="2"/>
  </si>
  <si>
    <t>←省エネ化の要件を満たさない場合、セルが＜黄色＞、文字が＜朱色＞になります。</t>
    <rPh sb="1" eb="2">
      <t>ショウ</t>
    </rPh>
    <rPh sb="4" eb="5">
      <t>カ</t>
    </rPh>
    <rPh sb="6" eb="8">
      <t>ヨウケン</t>
    </rPh>
    <rPh sb="9" eb="10">
      <t>ミ</t>
    </rPh>
    <rPh sb="14" eb="16">
      <t>バアイ</t>
    </rPh>
    <rPh sb="21" eb="23">
      <t>キイロ</t>
    </rPh>
    <rPh sb="25" eb="27">
      <t>モジ</t>
    </rPh>
    <rPh sb="29" eb="31">
      <t>シュイロ</t>
    </rPh>
    <phoneticPr fontId="2"/>
  </si>
  <si>
    <t>記入値が要件を満たさない場合、セルが＜黄色＞、文字が＜朱色＞になります。</t>
    <rPh sb="0" eb="2">
      <t>キニュウ</t>
    </rPh>
    <rPh sb="2" eb="3">
      <t>チ</t>
    </rPh>
    <rPh sb="4" eb="6">
      <t>ヨウケン</t>
    </rPh>
    <rPh sb="7" eb="8">
      <t>ミ</t>
    </rPh>
    <rPh sb="12" eb="14">
      <t>バアイ</t>
    </rPh>
    <rPh sb="23" eb="25">
      <t>モジ</t>
    </rPh>
    <rPh sb="27" eb="29">
      <t>シュイロ</t>
    </rPh>
    <phoneticPr fontId="2"/>
  </si>
  <si>
    <t>都市ガス</t>
  </si>
  <si>
    <t>［m3］</t>
  </si>
  <si>
    <t>空欄チェック</t>
    <rPh sb="0" eb="2">
      <t>クウラン</t>
    </rPh>
    <phoneticPr fontId="12"/>
  </si>
  <si>
    <t>期間入力</t>
    <rPh sb="0" eb="2">
      <t>キカン</t>
    </rPh>
    <rPh sb="2" eb="4">
      <t>ニュウリョク</t>
    </rPh>
    <phoneticPr fontId="2"/>
  </si>
  <si>
    <t>数値入力</t>
    <rPh sb="0" eb="2">
      <t>スウチ</t>
    </rPh>
    <rPh sb="2" eb="4">
      <t>ニュウリョク</t>
    </rPh>
    <phoneticPr fontId="2"/>
  </si>
  <si>
    <t>入力チェック</t>
    <rPh sb="0" eb="2">
      <t>ニュウリョク</t>
    </rPh>
    <phoneticPr fontId="2"/>
  </si>
  <si>
    <t>使用量!P21</t>
    <phoneticPr fontId="2"/>
  </si>
  <si>
    <t>使用量!P33</t>
    <phoneticPr fontId="2"/>
  </si>
  <si>
    <t>電気</t>
    <rPh sb="0" eb="2">
      <t>デンキ</t>
    </rPh>
    <phoneticPr fontId="2"/>
  </si>
  <si>
    <t>LPG</t>
  </si>
  <si>
    <t>LPG</t>
    <phoneticPr fontId="2"/>
  </si>
  <si>
    <t>LNG</t>
    <phoneticPr fontId="2"/>
  </si>
  <si>
    <t>都市ガス</t>
    <phoneticPr fontId="2"/>
  </si>
  <si>
    <t>［Nm3］</t>
    <phoneticPr fontId="2"/>
  </si>
  <si>
    <t>水素</t>
    <rPh sb="0" eb="2">
      <t>スイソ</t>
    </rPh>
    <phoneticPr fontId="2"/>
  </si>
  <si>
    <t>天然ガス</t>
    <rPh sb="0" eb="2">
      <t>テンネン</t>
    </rPh>
    <phoneticPr fontId="2"/>
  </si>
  <si>
    <t>使用量!P44</t>
    <phoneticPr fontId="2"/>
  </si>
  <si>
    <t>使用量!P55</t>
    <phoneticPr fontId="2"/>
  </si>
  <si>
    <t>使用量!P66</t>
    <phoneticPr fontId="2"/>
  </si>
  <si>
    <t>使用量!P77</t>
    <phoneticPr fontId="2"/>
  </si>
  <si>
    <t>［kg］</t>
  </si>
  <si>
    <t>導入の区分</t>
  </si>
  <si>
    <r>
      <t>　・入力する値は、提出するエネルギー使用量の</t>
    </r>
    <r>
      <rPr>
        <sz val="10"/>
        <color rgb="FFFF0000"/>
        <rFont val="メイリオ"/>
        <family val="3"/>
        <charset val="128"/>
      </rPr>
      <t>証憑等</t>
    </r>
    <r>
      <rPr>
        <sz val="10"/>
        <rFont val="メイリオ"/>
        <family val="3"/>
        <charset val="128"/>
      </rPr>
      <t>と一致すること。</t>
    </r>
    <rPh sb="2" eb="4">
      <t>ニュウリョク</t>
    </rPh>
    <rPh sb="6" eb="7">
      <t>アタイ</t>
    </rPh>
    <rPh sb="9" eb="11">
      <t>テイシュツ</t>
    </rPh>
    <rPh sb="18" eb="21">
      <t>シヨウリョウ</t>
    </rPh>
    <rPh sb="22" eb="24">
      <t>ショウヒョウ</t>
    </rPh>
    <rPh sb="24" eb="25">
      <t>トウ</t>
    </rPh>
    <rPh sb="26" eb="28">
      <t>イッチ</t>
    </rPh>
    <phoneticPr fontId="2"/>
  </si>
  <si>
    <r>
      <t>３．</t>
    </r>
    <r>
      <rPr>
        <sz val="10"/>
        <color rgb="FFFF0000"/>
        <rFont val="メイリオ"/>
        <family val="3"/>
        <charset val="128"/>
      </rPr>
      <t>新規開業等</t>
    </r>
    <r>
      <rPr>
        <sz val="10"/>
        <rFont val="メイリオ"/>
        <family val="3"/>
        <charset val="128"/>
      </rPr>
      <t>によりエネルギー使用量が全く無い場合は、「</t>
    </r>
    <r>
      <rPr>
        <sz val="10"/>
        <color rgb="FFFF0000"/>
        <rFont val="メイリオ"/>
        <family val="3"/>
        <charset val="128"/>
      </rPr>
      <t>５．年間エネルギー使用量（概算）</t>
    </r>
    <r>
      <rPr>
        <sz val="10"/>
        <rFont val="メイリオ"/>
        <family val="3"/>
        <charset val="128"/>
      </rPr>
      <t>」シートに記入してください。</t>
    </r>
    <rPh sb="2" eb="4">
      <t>シンキ</t>
    </rPh>
    <rPh sb="4" eb="6">
      <t>カイギョウ</t>
    </rPh>
    <rPh sb="6" eb="7">
      <t>トウ</t>
    </rPh>
    <rPh sb="15" eb="17">
      <t>シヨウ</t>
    </rPh>
    <rPh sb="17" eb="18">
      <t>リョウ</t>
    </rPh>
    <rPh sb="19" eb="20">
      <t>マッタ</t>
    </rPh>
    <rPh sb="21" eb="22">
      <t>ナ</t>
    </rPh>
    <rPh sb="23" eb="25">
      <t>バアイ</t>
    </rPh>
    <rPh sb="41" eb="43">
      <t>ガイサン</t>
    </rPh>
    <rPh sb="49" eb="51">
      <t>キニュウ</t>
    </rPh>
    <phoneticPr fontId="2"/>
  </si>
  <si>
    <r>
      <t>　　また、</t>
    </r>
    <r>
      <rPr>
        <sz val="10"/>
        <color rgb="FFFF0000"/>
        <rFont val="メイリオ"/>
        <family val="3"/>
        <charset val="128"/>
      </rPr>
      <t>使用期間</t>
    </r>
    <r>
      <rPr>
        <sz val="10"/>
        <rFont val="メイリオ"/>
        <family val="3"/>
        <charset val="128"/>
      </rPr>
      <t>は、最も使用量の多いものについて記入すること。</t>
    </r>
    <rPh sb="5" eb="9">
      <t>シヨウキカン</t>
    </rPh>
    <rPh sb="11" eb="12">
      <t>モット</t>
    </rPh>
    <rPh sb="13" eb="16">
      <t>シヨウリョウ</t>
    </rPh>
    <rPh sb="17" eb="18">
      <t>オオ</t>
    </rPh>
    <rPh sb="25" eb="27">
      <t>キニュウ</t>
    </rPh>
    <phoneticPr fontId="2"/>
  </si>
  <si>
    <r>
      <t>　・同一のエネルギー種別で</t>
    </r>
    <r>
      <rPr>
        <sz val="10"/>
        <color rgb="FFFF0000"/>
        <rFont val="メイリオ"/>
        <family val="3"/>
        <charset val="128"/>
      </rPr>
      <t>複数の契約等</t>
    </r>
    <r>
      <rPr>
        <sz val="10"/>
        <rFont val="メイリオ"/>
        <family val="3"/>
        <charset val="128"/>
      </rPr>
      <t>が有る場合は、合算した値を入力すること。</t>
    </r>
    <rPh sb="2" eb="4">
      <t>ドウイツ</t>
    </rPh>
    <rPh sb="10" eb="12">
      <t>シュベツ</t>
    </rPh>
    <rPh sb="13" eb="15">
      <t>フクスウ</t>
    </rPh>
    <rPh sb="16" eb="18">
      <t>ケイヤク</t>
    </rPh>
    <rPh sb="18" eb="19">
      <t>トウ</t>
    </rPh>
    <rPh sb="20" eb="21">
      <t>ア</t>
    </rPh>
    <rPh sb="22" eb="24">
      <t>バアイ</t>
    </rPh>
    <rPh sb="26" eb="28">
      <t>ガッサン</t>
    </rPh>
    <rPh sb="30" eb="31">
      <t>アタイ</t>
    </rPh>
    <rPh sb="32" eb="34">
      <t>ニュウリョク</t>
    </rPh>
    <phoneticPr fontId="2"/>
  </si>
  <si>
    <r>
      <t>３．機械換気の換気量は、常時使用できる最大風量＜</t>
    </r>
    <r>
      <rPr>
        <sz val="12"/>
        <color rgb="FFFF0000"/>
        <rFont val="メイリオ"/>
        <family val="3"/>
        <charset val="128"/>
      </rPr>
      <t>強</t>
    </r>
    <r>
      <rPr>
        <sz val="12"/>
        <rFont val="メイリオ"/>
        <family val="3"/>
        <charset val="128"/>
      </rPr>
      <t>＞の有効換気量を入力してください。</t>
    </r>
    <rPh sb="2" eb="4">
      <t>キカイ</t>
    </rPh>
    <rPh sb="4" eb="6">
      <t>カンキ</t>
    </rPh>
    <rPh sb="7" eb="9">
      <t>カンキ</t>
    </rPh>
    <rPh sb="9" eb="10">
      <t>リョウ</t>
    </rPh>
    <rPh sb="12" eb="16">
      <t>ジョウジシヨウ</t>
    </rPh>
    <rPh sb="19" eb="21">
      <t>サイダイ</t>
    </rPh>
    <rPh sb="21" eb="23">
      <t>フウリョウ</t>
    </rPh>
    <rPh sb="24" eb="25">
      <t>キョウ</t>
    </rPh>
    <rPh sb="27" eb="29">
      <t>ユウコウ</t>
    </rPh>
    <rPh sb="29" eb="31">
      <t>カンキ</t>
    </rPh>
    <rPh sb="31" eb="32">
      <t>リョウ</t>
    </rPh>
    <rPh sb="33" eb="35">
      <t>ニュウリョク</t>
    </rPh>
    <phoneticPr fontId="2"/>
  </si>
  <si>
    <r>
      <t>　　有効換気量は、ダクトなどの</t>
    </r>
    <r>
      <rPr>
        <sz val="12"/>
        <color rgb="FFFF0000"/>
        <rFont val="メイリオ"/>
        <family val="3"/>
        <charset val="128"/>
      </rPr>
      <t>圧力損失</t>
    </r>
    <r>
      <rPr>
        <sz val="12"/>
        <rFont val="メイリオ"/>
        <family val="3"/>
        <charset val="128"/>
      </rPr>
      <t>・</t>
    </r>
    <r>
      <rPr>
        <sz val="12"/>
        <color rgb="FFFF0000"/>
        <rFont val="メイリオ"/>
        <family val="3"/>
        <charset val="128"/>
      </rPr>
      <t>静圧等</t>
    </r>
    <r>
      <rPr>
        <sz val="12"/>
        <rFont val="メイリオ"/>
        <family val="3"/>
        <charset val="128"/>
      </rPr>
      <t>を考慮した換気量になります。</t>
    </r>
    <rPh sb="20" eb="22">
      <t>セイアツ</t>
    </rPh>
    <rPh sb="22" eb="23">
      <t>トウ</t>
    </rPh>
    <phoneticPr fontId="2"/>
  </si>
  <si>
    <t>換気量要件</t>
    <rPh sb="0" eb="2">
      <t>カンキ</t>
    </rPh>
    <rPh sb="2" eb="3">
      <t>リョウ</t>
    </rPh>
    <rPh sb="3" eb="5">
      <t>ヨウケン</t>
    </rPh>
    <phoneticPr fontId="2"/>
  </si>
  <si>
    <t>換気量減少確認</t>
    <rPh sb="0" eb="2">
      <t>カンキ</t>
    </rPh>
    <rPh sb="2" eb="3">
      <t>リョウ</t>
    </rPh>
    <rPh sb="3" eb="5">
      <t>ゲンショウ</t>
    </rPh>
    <rPh sb="5" eb="7">
      <t>カクニン</t>
    </rPh>
    <phoneticPr fontId="2"/>
  </si>
  <si>
    <t>室用途入力確認</t>
    <rPh sb="0" eb="1">
      <t>シツ</t>
    </rPh>
    <rPh sb="1" eb="3">
      <t>ヨウト</t>
    </rPh>
    <rPh sb="3" eb="5">
      <t>ニュウリョク</t>
    </rPh>
    <rPh sb="5" eb="7">
      <t>カクニン</t>
    </rPh>
    <phoneticPr fontId="2"/>
  </si>
  <si>
    <t>空欄確認</t>
    <rPh sb="0" eb="2">
      <t>クウラン</t>
    </rPh>
    <rPh sb="2" eb="4">
      <t>カクニン</t>
    </rPh>
    <phoneticPr fontId="2"/>
  </si>
  <si>
    <t>結果</t>
    <rPh sb="0" eb="2">
      <t>ケッカ</t>
    </rPh>
    <phoneticPr fontId="2"/>
  </si>
  <si>
    <t>換気設備導入要件</t>
    <rPh sb="0" eb="2">
      <t>カンキ</t>
    </rPh>
    <rPh sb="2" eb="4">
      <t>セツビ</t>
    </rPh>
    <rPh sb="4" eb="6">
      <t>ドウニュウ</t>
    </rPh>
    <rPh sb="6" eb="8">
      <t>ヨウケン</t>
    </rPh>
    <phoneticPr fontId="2"/>
  </si>
  <si>
    <r>
      <t>１．旧設備として＜機械換気設備＞がない</t>
    </r>
    <r>
      <rPr>
        <sz val="12"/>
        <color rgb="FFFF0000"/>
        <rFont val="メイリオ"/>
        <family val="3"/>
        <charset val="128"/>
      </rPr>
      <t>自然換気のみの場合</t>
    </r>
    <r>
      <rPr>
        <sz val="12"/>
        <rFont val="メイリオ"/>
        <family val="3"/>
        <charset val="128"/>
      </rPr>
      <t>は、「旧設備」欄は</t>
    </r>
    <r>
      <rPr>
        <sz val="12"/>
        <color rgb="FFFF0000"/>
        <rFont val="メイリオ"/>
        <family val="3"/>
        <charset val="128"/>
      </rPr>
      <t>空欄</t>
    </r>
    <r>
      <rPr>
        <sz val="12"/>
        <rFont val="メイリオ"/>
        <family val="3"/>
        <charset val="128"/>
      </rPr>
      <t>とし、「新設備」欄のみ記入してください。</t>
    </r>
    <rPh sb="2" eb="3">
      <t>キュウ</t>
    </rPh>
    <rPh sb="3" eb="5">
      <t>セツビ</t>
    </rPh>
    <rPh sb="9" eb="11">
      <t>キカイ</t>
    </rPh>
    <rPh sb="11" eb="13">
      <t>カンキ</t>
    </rPh>
    <rPh sb="13" eb="15">
      <t>セツビ</t>
    </rPh>
    <rPh sb="19" eb="21">
      <t>シゼン</t>
    </rPh>
    <rPh sb="21" eb="23">
      <t>カンキ</t>
    </rPh>
    <rPh sb="26" eb="28">
      <t>バアイ</t>
    </rPh>
    <rPh sb="31" eb="34">
      <t>キュウセツビ</t>
    </rPh>
    <rPh sb="35" eb="36">
      <t>ラン</t>
    </rPh>
    <rPh sb="37" eb="39">
      <t>クウラン</t>
    </rPh>
    <rPh sb="43" eb="44">
      <t>シン</t>
    </rPh>
    <rPh sb="44" eb="46">
      <t>セツビ</t>
    </rPh>
    <rPh sb="47" eb="48">
      <t>ラン</t>
    </rPh>
    <rPh sb="50" eb="52">
      <t>キニュウ</t>
    </rPh>
    <phoneticPr fontId="2"/>
  </si>
  <si>
    <t>換気方法と換気量確認</t>
    <rPh sb="0" eb="2">
      <t>カンキ</t>
    </rPh>
    <rPh sb="2" eb="4">
      <t>ホウホウ</t>
    </rPh>
    <rPh sb="5" eb="8">
      <t>カンキリョウ</t>
    </rPh>
    <rPh sb="8" eb="10">
      <t>カクニン</t>
    </rPh>
    <phoneticPr fontId="2"/>
  </si>
  <si>
    <t>排気</t>
    <rPh sb="0" eb="2">
      <t>ハイキ</t>
    </rPh>
    <phoneticPr fontId="2"/>
  </si>
  <si>
    <t>給気</t>
    <rPh sb="0" eb="2">
      <t>キュウキ</t>
    </rPh>
    <phoneticPr fontId="2"/>
  </si>
  <si>
    <t>排気_計</t>
    <rPh sb="0" eb="2">
      <t>ハイキ</t>
    </rPh>
    <rPh sb="3" eb="4">
      <t>ケイ</t>
    </rPh>
    <phoneticPr fontId="2"/>
  </si>
  <si>
    <t>給気_計</t>
    <rPh sb="0" eb="2">
      <t>キュウキ</t>
    </rPh>
    <rPh sb="3" eb="4">
      <t>ケイ</t>
    </rPh>
    <phoneticPr fontId="2"/>
  </si>
  <si>
    <t>換気量_小計[㎥/h]</t>
    <rPh sb="0" eb="2">
      <t>カンキ</t>
    </rPh>
    <rPh sb="2" eb="3">
      <t>リョウ</t>
    </rPh>
    <rPh sb="4" eb="6">
      <t>ショウケイ</t>
    </rPh>
    <phoneticPr fontId="2"/>
  </si>
  <si>
    <t>消費電力_小計[W]</t>
    <rPh sb="0" eb="2">
      <t>ショウヒ</t>
    </rPh>
    <rPh sb="2" eb="4">
      <t>デンリョク</t>
    </rPh>
    <rPh sb="5" eb="7">
      <t>ショウケイ</t>
    </rPh>
    <phoneticPr fontId="2"/>
  </si>
  <si>
    <t>換気の方法</t>
    <rPh sb="0" eb="2">
      <t>カンキ</t>
    </rPh>
    <rPh sb="3" eb="5">
      <t>ホウホウ</t>
    </rPh>
    <phoneticPr fontId="2"/>
  </si>
  <si>
    <t>廃棄</t>
    <rPh sb="0" eb="2">
      <t>ハイキ</t>
    </rPh>
    <phoneticPr fontId="2"/>
  </si>
  <si>
    <r>
      <t>　　なお、本事業の対象設備に該当する</t>
    </r>
    <r>
      <rPr>
        <sz val="12"/>
        <color rgb="FFFF0000"/>
        <rFont val="メイリオ"/>
        <family val="3"/>
        <charset val="128"/>
      </rPr>
      <t>廃棄設備</t>
    </r>
    <r>
      <rPr>
        <sz val="12"/>
        <rFont val="メイリオ"/>
        <family val="3"/>
        <charset val="128"/>
      </rPr>
      <t>についても必ず記入してください。</t>
    </r>
    <rPh sb="5" eb="8">
      <t>ホンジギョウ</t>
    </rPh>
    <rPh sb="9" eb="11">
      <t>タイショウ</t>
    </rPh>
    <rPh sb="11" eb="13">
      <t>セツビ</t>
    </rPh>
    <rPh sb="14" eb="16">
      <t>ガイトウ</t>
    </rPh>
    <rPh sb="18" eb="20">
      <t>ハイキ</t>
    </rPh>
    <rPh sb="20" eb="22">
      <t>セツビ</t>
    </rPh>
    <rPh sb="27" eb="28">
      <t>カナラ</t>
    </rPh>
    <rPh sb="29" eb="31">
      <t>キニュウ</t>
    </rPh>
    <phoneticPr fontId="2"/>
  </si>
  <si>
    <t xml:space="preserve"> プルダウンメニューより＜換気設備の種類＞選択してください。</t>
    <rPh sb="13" eb="15">
      <t>カンキ</t>
    </rPh>
    <rPh sb="15" eb="17">
      <t>セツビ</t>
    </rPh>
    <rPh sb="18" eb="20">
      <t>シュルイ</t>
    </rPh>
    <rPh sb="21" eb="23">
      <t>センタク</t>
    </rPh>
    <phoneticPr fontId="2"/>
  </si>
  <si>
    <t>←換気量が既存設備より減少する場合、セルが＜黄色＞、文字が＜朱色＞になります。</t>
    <rPh sb="1" eb="4">
      <t>カンキリョウ</t>
    </rPh>
    <rPh sb="5" eb="7">
      <t>キゾン</t>
    </rPh>
    <rPh sb="7" eb="9">
      <t>セツビ</t>
    </rPh>
    <rPh sb="11" eb="13">
      <t>ゲンショウ</t>
    </rPh>
    <rPh sb="15" eb="17">
      <t>バアイ</t>
    </rPh>
    <rPh sb="22" eb="24">
      <t>キイロ</t>
    </rPh>
    <rPh sb="26" eb="28">
      <t>モジ</t>
    </rPh>
    <rPh sb="30" eb="32">
      <t>シュイロ</t>
    </rPh>
    <phoneticPr fontId="2"/>
  </si>
  <si>
    <t>温水・冷水</t>
  </si>
  <si>
    <t>産業用蒸気</t>
  </si>
  <si>
    <t>産業用以外の蒸気</t>
  </si>
  <si>
    <t>灯油</t>
  </si>
  <si>
    <t>軽油</t>
  </si>
  <si>
    <t>A重油</t>
  </si>
  <si>
    <t>B・Ｃ重油</t>
  </si>
  <si>
    <t>●その他のエネルギー１</t>
    <phoneticPr fontId="2"/>
  </si>
  <si>
    <t>換気量チェック</t>
    <rPh sb="0" eb="3">
      <t>カンキリョウ</t>
    </rPh>
    <phoneticPr fontId="12"/>
  </si>
  <si>
    <t>旧換気量</t>
    <rPh sb="0" eb="1">
      <t>キュウ</t>
    </rPh>
    <rPh sb="1" eb="4">
      <t>カンキリョウ</t>
    </rPh>
    <phoneticPr fontId="12"/>
  </si>
  <si>
    <t>新換気量</t>
    <rPh sb="0" eb="1">
      <t>シン</t>
    </rPh>
    <rPh sb="1" eb="4">
      <t>カンキリョウ</t>
    </rPh>
    <phoneticPr fontId="12"/>
  </si>
  <si>
    <t>他人からの供給を受けた場合は、＜1＞</t>
    <rPh sb="0" eb="2">
      <t>タニン</t>
    </rPh>
    <rPh sb="5" eb="7">
      <t>キョウキュウ</t>
    </rPh>
    <rPh sb="8" eb="9">
      <t>ウ</t>
    </rPh>
    <rPh sb="11" eb="13">
      <t>バアイ</t>
    </rPh>
    <phoneticPr fontId="2"/>
  </si>
  <si>
    <t>温水・冷水［MJ］：</t>
    <rPh sb="0" eb="2">
      <t>オンスイ</t>
    </rPh>
    <rPh sb="3" eb="5">
      <t>レイスイ</t>
    </rPh>
    <phoneticPr fontId="12"/>
  </si>
  <si>
    <t>産業用蒸気［MJ］：</t>
    <rPh sb="0" eb="3">
      <t>サンギョウヨウ</t>
    </rPh>
    <rPh sb="3" eb="5">
      <t>ジョウキ</t>
    </rPh>
    <phoneticPr fontId="15"/>
  </si>
  <si>
    <t>産業用以外の蒸気［MJ］：</t>
    <rPh sb="0" eb="3">
      <t>サンギョウヨウ</t>
    </rPh>
    <rPh sb="3" eb="5">
      <t>イガイ</t>
    </rPh>
    <rPh sb="6" eb="8">
      <t>ジョウキ</t>
    </rPh>
    <phoneticPr fontId="15"/>
  </si>
  <si>
    <t>補器（排気）</t>
    <rPh sb="0" eb="2">
      <t>ホキ</t>
    </rPh>
    <rPh sb="3" eb="5">
      <t>ハイキ</t>
    </rPh>
    <phoneticPr fontId="2"/>
  </si>
  <si>
    <t>補器（給気）</t>
    <rPh sb="0" eb="2">
      <t>ホキ</t>
    </rPh>
    <rPh sb="3" eb="5">
      <t>キュウキ</t>
    </rPh>
    <phoneticPr fontId="2"/>
  </si>
  <si>
    <r>
      <t>３．記入する設備仕様の値を確認ができる</t>
    </r>
    <r>
      <rPr>
        <sz val="12"/>
        <color rgb="FFFF0000"/>
        <rFont val="メイリオ"/>
        <family val="3"/>
        <charset val="128"/>
      </rPr>
      <t>仕様書等</t>
    </r>
    <r>
      <rPr>
        <sz val="12"/>
        <rFont val="メイリオ"/>
        <family val="3"/>
        <charset val="128"/>
      </rPr>
      <t>の参照箇所に</t>
    </r>
    <r>
      <rPr>
        <sz val="12"/>
        <color rgb="FFFF0000"/>
        <rFont val="メイリオ"/>
        <family val="3"/>
        <charset val="128"/>
      </rPr>
      <t>マーカーなどの印</t>
    </r>
    <r>
      <rPr>
        <sz val="12"/>
        <rFont val="メイリオ"/>
        <family val="3"/>
        <charset val="128"/>
      </rPr>
      <t>を付けたものを提出してください。</t>
    </r>
    <rPh sb="2" eb="4">
      <t>キニュウ</t>
    </rPh>
    <rPh sb="6" eb="8">
      <t>セツビ</t>
    </rPh>
    <rPh sb="8" eb="10">
      <t>シヨウ</t>
    </rPh>
    <rPh sb="11" eb="12">
      <t>アタイ</t>
    </rPh>
    <rPh sb="13" eb="15">
      <t>カクニン</t>
    </rPh>
    <rPh sb="19" eb="22">
      <t>シヨウショ</t>
    </rPh>
    <rPh sb="22" eb="23">
      <t>トウ</t>
    </rPh>
    <rPh sb="24" eb="26">
      <t>サンショウ</t>
    </rPh>
    <rPh sb="26" eb="28">
      <t>カショ</t>
    </rPh>
    <rPh sb="36" eb="37">
      <t>シルシ</t>
    </rPh>
    <rPh sb="38" eb="39">
      <t>ツ</t>
    </rPh>
    <rPh sb="44" eb="46">
      <t>テイシュツ</t>
    </rPh>
    <phoneticPr fontId="2"/>
  </si>
  <si>
    <t>４．換気・空調一体型設備は、「２．換気設備の新旧仕様入力表」に記入してください。</t>
    <rPh sb="2" eb="4">
      <t>カンキ</t>
    </rPh>
    <rPh sb="5" eb="7">
      <t>クウチョウ</t>
    </rPh>
    <rPh sb="7" eb="9">
      <t>イッタイ</t>
    </rPh>
    <rPh sb="9" eb="10">
      <t>カタ</t>
    </rPh>
    <rPh sb="10" eb="12">
      <t>セツビ</t>
    </rPh>
    <rPh sb="17" eb="19">
      <t>カンキ</t>
    </rPh>
    <rPh sb="19" eb="21">
      <t>セツビ</t>
    </rPh>
    <rPh sb="22" eb="24">
      <t>シンキュウ</t>
    </rPh>
    <rPh sb="24" eb="26">
      <t>シヨウ</t>
    </rPh>
    <rPh sb="26" eb="28">
      <t>ニュウリョク</t>
    </rPh>
    <rPh sb="28" eb="29">
      <t>ヒョウ</t>
    </rPh>
    <rPh sb="31" eb="33">
      <t>キニュウ</t>
    </rPh>
    <phoneticPr fontId="2"/>
  </si>
  <si>
    <r>
      <t>５．換気設備の換気量及び消費電力は、カタログ等に記載された</t>
    </r>
    <r>
      <rPr>
        <sz val="12"/>
        <color rgb="FFFF0000"/>
        <rFont val="メイリオ"/>
        <family val="3"/>
        <charset val="128"/>
      </rPr>
      <t>常時使用できる</t>
    </r>
    <r>
      <rPr>
        <sz val="12"/>
        <rFont val="メイリオ"/>
        <family val="3"/>
        <charset val="128"/>
      </rPr>
      <t>＜最大風量時</t>
    </r>
    <r>
      <rPr>
        <sz val="12"/>
        <color rgb="FFFF0000"/>
        <rFont val="メイリオ"/>
        <family val="3"/>
        <charset val="128"/>
      </rPr>
      <t>（強）</t>
    </r>
    <r>
      <rPr>
        <sz val="12"/>
        <rFont val="メイリオ"/>
        <family val="3"/>
        <charset val="128"/>
      </rPr>
      <t>の値＞を記入してください。</t>
    </r>
    <rPh sb="2" eb="4">
      <t>カンキ</t>
    </rPh>
    <rPh sb="4" eb="6">
      <t>セツビ</t>
    </rPh>
    <rPh sb="7" eb="9">
      <t>カンキ</t>
    </rPh>
    <rPh sb="9" eb="10">
      <t>リョウ</t>
    </rPh>
    <rPh sb="10" eb="11">
      <t>オヨ</t>
    </rPh>
    <rPh sb="12" eb="14">
      <t>ショウヒ</t>
    </rPh>
    <rPh sb="14" eb="16">
      <t>デンリョク</t>
    </rPh>
    <rPh sb="22" eb="23">
      <t>トウ</t>
    </rPh>
    <rPh sb="24" eb="26">
      <t>キサイ</t>
    </rPh>
    <rPh sb="29" eb="31">
      <t>ジョウジ</t>
    </rPh>
    <rPh sb="31" eb="33">
      <t>シヨウ</t>
    </rPh>
    <rPh sb="37" eb="39">
      <t>サイダイ</t>
    </rPh>
    <rPh sb="39" eb="41">
      <t>フウリョウ</t>
    </rPh>
    <rPh sb="41" eb="42">
      <t>ジ</t>
    </rPh>
    <rPh sb="43" eb="44">
      <t>キョウ</t>
    </rPh>
    <rPh sb="46" eb="47">
      <t>アタイ</t>
    </rPh>
    <rPh sb="49" eb="51">
      <t>キニュウ</t>
    </rPh>
    <phoneticPr fontId="2"/>
  </si>
  <si>
    <r>
      <t>６．熱交換型換気設備の導入は、＜</t>
    </r>
    <r>
      <rPr>
        <sz val="12"/>
        <color rgb="FFFF0000"/>
        <rFont val="メイリオ"/>
        <family val="3"/>
        <charset val="128"/>
      </rPr>
      <t>工場・倉庫</t>
    </r>
    <r>
      <rPr>
        <sz val="12"/>
        <rFont val="メイリオ"/>
        <family val="3"/>
        <charset val="128"/>
      </rPr>
      <t>＞のみ対象となります。</t>
    </r>
    <rPh sb="2" eb="3">
      <t>ネツ</t>
    </rPh>
    <rPh sb="3" eb="5">
      <t>コウカン</t>
    </rPh>
    <rPh sb="5" eb="6">
      <t>カタ</t>
    </rPh>
    <rPh sb="6" eb="8">
      <t>カンキ</t>
    </rPh>
    <rPh sb="8" eb="10">
      <t>セツビ</t>
    </rPh>
    <rPh sb="11" eb="13">
      <t>ドウニュウ</t>
    </rPh>
    <rPh sb="16" eb="18">
      <t>コウジョウ</t>
    </rPh>
    <rPh sb="19" eb="21">
      <t>ソウコ</t>
    </rPh>
    <rPh sb="24" eb="26">
      <t>タイショウ</t>
    </rPh>
    <phoneticPr fontId="2"/>
  </si>
  <si>
    <t>７．空調設備又は換気・空調一体型設備を記入する場合は、次の①～③の各項目から該当する要件を「設備要件」欄に記入してください。</t>
    <rPh sb="2" eb="4">
      <t>クウチョウ</t>
    </rPh>
    <rPh sb="4" eb="6">
      <t>セツビ</t>
    </rPh>
    <rPh sb="6" eb="7">
      <t>マタ</t>
    </rPh>
    <rPh sb="8" eb="10">
      <t>カンキ</t>
    </rPh>
    <rPh sb="11" eb="13">
      <t>クウチョウ</t>
    </rPh>
    <rPh sb="13" eb="16">
      <t>イッタイガタ</t>
    </rPh>
    <rPh sb="16" eb="18">
      <t>セツビ</t>
    </rPh>
    <rPh sb="19" eb="21">
      <t>キニュウ</t>
    </rPh>
    <rPh sb="23" eb="25">
      <t>バアイ</t>
    </rPh>
    <rPh sb="53" eb="55">
      <t>キニュウ</t>
    </rPh>
    <phoneticPr fontId="2"/>
  </si>
  <si>
    <t>８．中央熱源式空調機を更新する場合は、公社までご相談ください。</t>
    <rPh sb="2" eb="4">
      <t>チュウオウ</t>
    </rPh>
    <rPh sb="4" eb="6">
      <t>ネツゲン</t>
    </rPh>
    <rPh sb="6" eb="7">
      <t>シキ</t>
    </rPh>
    <rPh sb="7" eb="9">
      <t>クウチョウ</t>
    </rPh>
    <rPh sb="9" eb="10">
      <t>キ</t>
    </rPh>
    <rPh sb="11" eb="13">
      <t>コウシン</t>
    </rPh>
    <rPh sb="15" eb="17">
      <t>バアイ</t>
    </rPh>
    <rPh sb="19" eb="21">
      <t>コウシャ</t>
    </rPh>
    <rPh sb="24" eb="26">
      <t>ソウダン</t>
    </rPh>
    <phoneticPr fontId="2"/>
  </si>
  <si>
    <r>
      <t>２．ダクト内などに設置するブースターファン等は</t>
    </r>
    <r>
      <rPr>
        <sz val="12"/>
        <color rgb="FFFF0000"/>
        <rFont val="メイリオ"/>
        <family val="3"/>
        <charset val="128"/>
      </rPr>
      <t>換気の方法</t>
    </r>
    <r>
      <rPr>
        <sz val="12"/>
        <rFont val="メイリオ"/>
        <family val="3"/>
        <charset val="128"/>
      </rPr>
      <t>として、＜</t>
    </r>
    <r>
      <rPr>
        <sz val="12"/>
        <color rgb="FFFF0000"/>
        <rFont val="メイリオ"/>
        <family val="3"/>
        <charset val="128"/>
      </rPr>
      <t>補器（排気）</t>
    </r>
    <r>
      <rPr>
        <sz val="12"/>
        <rFont val="メイリオ"/>
        <family val="3"/>
        <charset val="128"/>
      </rPr>
      <t>又は</t>
    </r>
    <r>
      <rPr>
        <sz val="12"/>
        <color rgb="FFFF0000"/>
        <rFont val="メイリオ"/>
        <family val="3"/>
        <charset val="128"/>
      </rPr>
      <t>補器（給気）</t>
    </r>
    <r>
      <rPr>
        <sz val="12"/>
        <rFont val="メイリオ"/>
        <family val="3"/>
        <charset val="128"/>
      </rPr>
      <t>＞をプルダウンメニューより選択してください。</t>
    </r>
    <rPh sb="5" eb="6">
      <t>ナイ</t>
    </rPh>
    <rPh sb="9" eb="11">
      <t>セッチ</t>
    </rPh>
    <rPh sb="60" eb="62">
      <t>センタク</t>
    </rPh>
    <phoneticPr fontId="2"/>
  </si>
  <si>
    <t>　　なお、補器の換気量は、導入設備の換気量として加算されません。</t>
    <rPh sb="5" eb="7">
      <t>ホキ</t>
    </rPh>
    <rPh sb="8" eb="11">
      <t>カンキリョウ</t>
    </rPh>
    <rPh sb="13" eb="15">
      <t>ドウニュウ</t>
    </rPh>
    <rPh sb="15" eb="17">
      <t>セツビ</t>
    </rPh>
    <rPh sb="18" eb="21">
      <t>カンキリョウ</t>
    </rPh>
    <rPh sb="24" eb="26">
      <t>カサン</t>
    </rPh>
    <phoneticPr fontId="2"/>
  </si>
  <si>
    <t>機械換気（換気扇等）</t>
  </si>
  <si>
    <t>室①</t>
    <rPh sb="0" eb="1">
      <t>シツ</t>
    </rPh>
    <phoneticPr fontId="12"/>
  </si>
  <si>
    <t>A1</t>
    <phoneticPr fontId="12"/>
  </si>
  <si>
    <t>AAA-500a</t>
    <phoneticPr fontId="12"/>
  </si>
  <si>
    <t>○○○○</t>
    <phoneticPr fontId="12"/>
  </si>
  <si>
    <t>室③</t>
    <rPh sb="0" eb="1">
      <t>シツ</t>
    </rPh>
    <phoneticPr fontId="12"/>
  </si>
  <si>
    <t>A2</t>
    <phoneticPr fontId="12"/>
  </si>
  <si>
    <t>BBB-850b</t>
    <phoneticPr fontId="12"/>
  </si>
  <si>
    <t>B1</t>
    <phoneticPr fontId="12"/>
  </si>
  <si>
    <t>BBB-600a</t>
    <phoneticPr fontId="12"/>
  </si>
  <si>
    <t>B2</t>
    <phoneticPr fontId="12"/>
  </si>
  <si>
    <t>室②</t>
    <phoneticPr fontId="12"/>
  </si>
  <si>
    <t>B3</t>
    <phoneticPr fontId="12"/>
  </si>
  <si>
    <t>ABC-600c</t>
    <phoneticPr fontId="12"/>
  </si>
  <si>
    <t>室③</t>
    <phoneticPr fontId="12"/>
  </si>
  <si>
    <t>B4</t>
  </si>
  <si>
    <t>DD-30dd</t>
    <phoneticPr fontId="12"/>
  </si>
  <si>
    <t>●●●</t>
    <phoneticPr fontId="12"/>
  </si>
  <si>
    <t>室④</t>
    <phoneticPr fontId="12"/>
  </si>
  <si>
    <t>B5</t>
  </si>
  <si>
    <t>EE-30ee</t>
    <phoneticPr fontId="12"/>
  </si>
  <si>
    <t>はい</t>
  </si>
  <si>
    <t>kW</t>
  </si>
  <si>
    <t>室①、室②</t>
    <rPh sb="0" eb="1">
      <t>シツ</t>
    </rPh>
    <rPh sb="3" eb="4">
      <t>シツ</t>
    </rPh>
    <phoneticPr fontId="12"/>
  </si>
  <si>
    <t>C1</t>
    <phoneticPr fontId="12"/>
  </si>
  <si>
    <t>AAAA160BBB(ABCD160EF)</t>
    <phoneticPr fontId="12"/>
  </si>
  <si>
    <t>〇▽□</t>
    <phoneticPr fontId="12"/>
  </si>
  <si>
    <t>D1、D2</t>
    <phoneticPr fontId="12"/>
  </si>
  <si>
    <t>CCCC80DDD(GHIJ80KL)</t>
    <phoneticPr fontId="12"/>
  </si>
  <si>
    <t>2021年度</t>
  </si>
  <si>
    <t>3/8～4/7</t>
  </si>
  <si>
    <t>4/8～5/7</t>
  </si>
  <si>
    <t>5/8～6/7</t>
  </si>
  <si>
    <t>6/8～7/7</t>
  </si>
  <si>
    <t>7/8～8/7</t>
  </si>
  <si>
    <t>8/8～9/7</t>
  </si>
  <si>
    <t>9/8～10/7</t>
  </si>
  <si>
    <t>10/8～11/7</t>
  </si>
  <si>
    <t>11/8～12/7</t>
  </si>
  <si>
    <t>12/8～1/7</t>
  </si>
  <si>
    <t>1/8～2/7</t>
  </si>
  <si>
    <t>2/8～3/7</t>
  </si>
  <si>
    <t>3/11～4/10</t>
  </si>
  <si>
    <t>4/11～5/13</t>
  </si>
  <si>
    <t>5/14～6/10</t>
  </si>
  <si>
    <t>6/11～7/9</t>
  </si>
  <si>
    <t>7/10～8/11</t>
  </si>
  <si>
    <t>8/12～9/9</t>
  </si>
  <si>
    <t>9/10～10/12</t>
  </si>
  <si>
    <t>10/13～11/10</t>
  </si>
  <si>
    <t>11/11～12/10</t>
  </si>
  <si>
    <t>12/11～1/13</t>
  </si>
  <si>
    <t>1/14～2/9</t>
  </si>
  <si>
    <t>2/10～3/10</t>
  </si>
  <si>
    <r>
      <t>※</t>
    </r>
    <r>
      <rPr>
        <sz val="18"/>
        <rFont val="游ゴシック"/>
        <family val="3"/>
        <charset val="128"/>
        <scheme val="minor"/>
      </rPr>
      <t>青色のシートが"適合例"となります。そのほかは"入力不足例"と”不適合例”となります。</t>
    </r>
    <rPh sb="1" eb="3">
      <t>アオイロ</t>
    </rPh>
    <rPh sb="9" eb="12">
      <t>テキゴウレイ</t>
    </rPh>
    <rPh sb="25" eb="29">
      <t>ニュウリョクブソク</t>
    </rPh>
    <rPh sb="29" eb="30">
      <t>レイ</t>
    </rPh>
    <rPh sb="33" eb="36">
      <t>フテキゴウ</t>
    </rPh>
    <rPh sb="36" eb="37">
      <t>レイ</t>
    </rPh>
    <phoneticPr fontId="38"/>
  </si>
  <si>
    <t>能力［kW］</t>
    <rPh sb="0" eb="2">
      <t>ノウリョク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</si>
</sst>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
    <numFmt numFmtId="177" formatCode="#,##0_);[Red]\(#,##0\)"/>
    <numFmt numFmtId="178" formatCode="0.0%"/>
    <numFmt numFmtId="179" formatCode="0.00_);[Red]\(0.00\)"/>
    <numFmt numFmtId="180" formatCode="#,##0.00_ "/>
    <numFmt numFmtId="181" formatCode="#,##0_ ;[Red]\-#,##0\ "/>
    <numFmt numFmtId="182" formatCode="#,##0.000_);[Red]\(#,##0.000\)"/>
    <numFmt numFmtId="183" formatCode="#,##0.0000_);[Red]\(#,##0.0000\)"/>
    <numFmt numFmtId="184" formatCode="#,##0.00_);[Red]\(#,##0.00\)"/>
    <numFmt numFmtId="185" formatCode="#,##0.000000_);[Red]\(#,##0.000000\)"/>
    <numFmt numFmtId="186" formatCode="#,##0.0_);[Red]\(#,##0.0\)"/>
    <numFmt numFmtId="187" formatCode="#,##0_ "/>
    <numFmt numFmtId="188" formatCode="#,##0.0_ "/>
    <numFmt numFmtId="189" formatCode="#,##0.0_ ;[Red]\-#,##0.0\ "/>
    <numFmt numFmtId="190" formatCode="#,##0.00_ ;[Red]\-#,##0.00\ "/>
    <numFmt numFmtId="191" formatCode="0.00_ ;[Red]\-0.00\ "/>
  </numFmts>
  <fonts count="40" x14ac:knownFonts="1">
    <font>
      <sz val="12"/>
      <color theme="1"/>
      <name val="メイリオ"/>
      <family val="2"/>
      <charset val="128"/>
    </font>
    <font>
      <sz val="12"/>
      <color theme="1"/>
      <name val="メイリオ"/>
      <family val="2"/>
      <charset val="128"/>
    </font>
    <font>
      <sz val="6"/>
      <name val="メイリオ"/>
      <family val="2"/>
      <charset val="128"/>
    </font>
    <font>
      <sz val="14"/>
      <color theme="1"/>
      <name val="メイリオ"/>
      <family val="2"/>
      <charset val="128"/>
    </font>
    <font>
      <sz val="10"/>
      <color theme="1"/>
      <name val="メイリオ"/>
      <family val="2"/>
      <charset val="128"/>
    </font>
    <font>
      <sz val="12"/>
      <name val="メイリオ"/>
      <family val="3"/>
      <charset val="128"/>
    </font>
    <font>
      <sz val="10"/>
      <color theme="1"/>
      <name val="メイリオ"/>
      <family val="3"/>
      <charset val="128"/>
    </font>
    <font>
      <sz val="12"/>
      <color theme="1"/>
      <name val="メイリオ"/>
      <family val="3"/>
      <charset val="128"/>
    </font>
    <font>
      <sz val="12"/>
      <name val="メイリオ"/>
      <family val="2"/>
      <charset val="128"/>
    </font>
    <font>
      <vertAlign val="superscript"/>
      <sz val="12"/>
      <color theme="1"/>
      <name val="メイリオ"/>
      <family val="3"/>
      <charset val="128"/>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sz val="10"/>
      <color rgb="FFFF0000"/>
      <name val="メイリオ"/>
      <family val="3"/>
      <charset val="128"/>
    </font>
    <font>
      <sz val="9"/>
      <color theme="1"/>
      <name val="ＭＳ 明朝"/>
      <family val="1"/>
      <charset val="128"/>
    </font>
    <font>
      <sz val="12"/>
      <color rgb="FFFF0000"/>
      <name val="メイリオ"/>
      <family val="2"/>
      <charset val="128"/>
    </font>
    <font>
      <sz val="12"/>
      <color rgb="FFFF0000"/>
      <name val="メイリオ"/>
      <family val="3"/>
      <charset val="128"/>
    </font>
    <font>
      <sz val="11"/>
      <color theme="1"/>
      <name val="メイリオ"/>
      <family val="2"/>
      <charset val="128"/>
    </font>
    <font>
      <vertAlign val="superscript"/>
      <sz val="11"/>
      <color theme="1"/>
      <name val="メイリオ"/>
      <family val="3"/>
      <charset val="128"/>
    </font>
    <font>
      <sz val="14"/>
      <color theme="1"/>
      <name val="メイリオ"/>
      <family val="3"/>
      <charset val="128"/>
    </font>
    <font>
      <sz val="12"/>
      <color indexed="10"/>
      <name val="メイリオ"/>
      <family val="3"/>
      <charset val="128"/>
    </font>
    <font>
      <sz val="11"/>
      <color theme="0"/>
      <name val="メイリオ"/>
      <family val="3"/>
      <charset val="128"/>
    </font>
    <font>
      <sz val="12"/>
      <color indexed="81"/>
      <name val="メイリオ"/>
      <family val="3"/>
      <charset val="128"/>
    </font>
    <font>
      <sz val="14"/>
      <color rgb="FFFF0000"/>
      <name val="メイリオ"/>
      <family val="3"/>
      <charset val="128"/>
    </font>
    <font>
      <sz val="16"/>
      <color indexed="10"/>
      <name val="メイリオ"/>
      <family val="3"/>
      <charset val="128"/>
    </font>
    <font>
      <sz val="12"/>
      <color indexed="32"/>
      <name val="メイリオ"/>
      <family val="3"/>
      <charset val="128"/>
    </font>
    <font>
      <sz val="11"/>
      <name val="ＭＳ 明朝"/>
      <family val="1"/>
      <charset val="128"/>
    </font>
    <font>
      <b/>
      <sz val="14"/>
      <color rgb="FFFF0000"/>
      <name val="メイリオ"/>
      <family val="3"/>
      <charset val="128"/>
    </font>
    <font>
      <sz val="10"/>
      <name val="メイリオ"/>
      <family val="3"/>
      <charset val="128"/>
    </font>
    <font>
      <sz val="9"/>
      <color theme="1"/>
      <name val="メイリオ"/>
      <family val="3"/>
      <charset val="128"/>
    </font>
    <font>
      <sz val="20"/>
      <color theme="1"/>
      <name val="メイリオ"/>
      <family val="3"/>
      <charset val="128"/>
    </font>
    <font>
      <sz val="11"/>
      <color rgb="FFFF0000"/>
      <name val="ＭＳ 明朝"/>
      <family val="1"/>
      <charset val="128"/>
    </font>
    <font>
      <sz val="11"/>
      <color rgb="FFFF0000"/>
      <name val="游ゴシック"/>
      <family val="2"/>
      <charset val="128"/>
      <scheme val="minor"/>
    </font>
    <font>
      <sz val="11"/>
      <name val="メイリオ"/>
      <family val="3"/>
      <charset val="128"/>
    </font>
    <font>
      <sz val="16"/>
      <color theme="1"/>
      <name val="メイリオ"/>
      <family val="3"/>
      <charset val="128"/>
    </font>
    <font>
      <sz val="18"/>
      <name val="メイリオ"/>
      <family val="3"/>
      <charset val="128"/>
    </font>
    <font>
      <sz val="18"/>
      <color rgb="FFFF0000"/>
      <name val="游ゴシック"/>
      <family val="3"/>
      <charset val="128"/>
      <scheme val="minor"/>
    </font>
    <font>
      <sz val="6"/>
      <name val="游ゴシック"/>
      <family val="3"/>
      <charset val="128"/>
      <scheme val="minor"/>
    </font>
    <font>
      <sz val="18"/>
      <name val="游ゴシック"/>
      <family val="3"/>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theme="0"/>
        <bgColor indexed="64"/>
      </patternFill>
    </fill>
    <fill>
      <patternFill patternType="solid">
        <fgColor theme="1" tint="0.499984740745262"/>
        <bgColor indexed="64"/>
      </patternFill>
    </fill>
    <fill>
      <patternFill patternType="solid">
        <fgColor rgb="FFCCFFCC"/>
        <bgColor indexed="64"/>
      </patternFill>
    </fill>
    <fill>
      <patternFill patternType="solid">
        <fgColor rgb="FFCCECFF"/>
        <bgColor indexed="64"/>
      </patternFill>
    </fill>
    <fill>
      <patternFill patternType="solid">
        <fgColor rgb="FF66FF33"/>
        <bgColor indexed="64"/>
      </patternFill>
    </fill>
    <fill>
      <patternFill patternType="solid">
        <fgColor rgb="FFFFFF99"/>
        <bgColor indexed="64"/>
      </patternFill>
    </fill>
    <fill>
      <patternFill patternType="solid">
        <fgColor rgb="FFD9FFFF"/>
        <bgColor indexed="64"/>
      </patternFill>
    </fill>
    <fill>
      <patternFill patternType="solid">
        <fgColor rgb="FFFFFFC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style="hair">
        <color auto="1"/>
      </top>
      <bottom style="hair">
        <color auto="1"/>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346">
    <xf numFmtId="0" fontId="0" fillId="0" borderId="0" xfId="0">
      <alignment vertical="center"/>
    </xf>
    <xf numFmtId="0" fontId="11" fillId="0" borderId="0" xfId="3" applyFont="1">
      <alignment vertical="center"/>
    </xf>
    <xf numFmtId="182" fontId="11" fillId="0" borderId="0" xfId="3" applyNumberFormat="1" applyFont="1">
      <alignment vertical="center"/>
    </xf>
    <xf numFmtId="184" fontId="11" fillId="0" borderId="0" xfId="3" applyNumberFormat="1" applyFont="1">
      <alignment vertical="center"/>
    </xf>
    <xf numFmtId="177" fontId="11" fillId="0" borderId="0" xfId="3" applyNumberFormat="1" applyFont="1">
      <alignment vertical="center"/>
    </xf>
    <xf numFmtId="183" fontId="11" fillId="0" borderId="0" xfId="3" applyNumberFormat="1" applyFont="1">
      <alignment vertical="center"/>
    </xf>
    <xf numFmtId="185" fontId="11" fillId="0" borderId="0" xfId="3" applyNumberFormat="1" applyFont="1">
      <alignment vertical="center"/>
    </xf>
    <xf numFmtId="184" fontId="11" fillId="0" borderId="23" xfId="3" applyNumberFormat="1" applyFont="1" applyBorder="1">
      <alignment vertical="center"/>
    </xf>
    <xf numFmtId="184" fontId="11" fillId="0" borderId="24" xfId="3" applyNumberFormat="1" applyFont="1" applyBorder="1">
      <alignment vertical="center"/>
    </xf>
    <xf numFmtId="186" fontId="11" fillId="0" borderId="0" xfId="3" applyNumberFormat="1" applyFont="1">
      <alignment vertical="center"/>
    </xf>
    <xf numFmtId="184" fontId="11" fillId="0" borderId="25" xfId="3" applyNumberFormat="1" applyFont="1" applyBorder="1">
      <alignment vertical="center"/>
    </xf>
    <xf numFmtId="184" fontId="11" fillId="0" borderId="8" xfId="3" applyNumberFormat="1" applyFont="1" applyBorder="1">
      <alignment vertical="center"/>
    </xf>
    <xf numFmtId="184" fontId="11" fillId="3" borderId="26" xfId="3" applyNumberFormat="1" applyFont="1" applyFill="1" applyBorder="1" applyAlignment="1">
      <alignment horizontal="center" vertical="center"/>
    </xf>
    <xf numFmtId="184" fontId="11" fillId="2" borderId="27" xfId="3" applyNumberFormat="1" applyFont="1" applyFill="1" applyBorder="1" applyAlignment="1">
      <alignment horizontal="center" vertical="center"/>
    </xf>
    <xf numFmtId="182" fontId="11" fillId="3" borderId="26" xfId="3" applyNumberFormat="1" applyFont="1" applyFill="1" applyBorder="1" applyAlignment="1">
      <alignment horizontal="center" vertical="center"/>
    </xf>
    <xf numFmtId="182" fontId="11" fillId="2" borderId="27" xfId="3" applyNumberFormat="1" applyFont="1" applyFill="1" applyBorder="1" applyAlignment="1">
      <alignment horizontal="center" vertical="center"/>
    </xf>
    <xf numFmtId="182" fontId="11" fillId="0" borderId="8" xfId="3" applyNumberFormat="1" applyFont="1" applyBorder="1">
      <alignment vertical="center"/>
    </xf>
    <xf numFmtId="182" fontId="11" fillId="0" borderId="0" xfId="3" applyNumberFormat="1" applyFont="1" applyAlignment="1">
      <alignment vertical="center"/>
    </xf>
    <xf numFmtId="0" fontId="0" fillId="0" borderId="0" xfId="0" applyProtection="1">
      <alignment vertical="center"/>
      <protection hidden="1"/>
    </xf>
    <xf numFmtId="0" fontId="0" fillId="0" borderId="0" xfId="0"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0" fillId="3" borderId="1" xfId="0" applyFill="1" applyBorder="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0" fillId="0" borderId="11" xfId="0" applyBorder="1" applyAlignment="1" applyProtection="1">
      <alignment horizontal="center" vertical="center"/>
      <protection hidden="1"/>
    </xf>
    <xf numFmtId="0" fontId="0" fillId="0" borderId="2" xfId="0" quotePrefix="1" applyBorder="1" applyAlignment="1" applyProtection="1">
      <alignment horizontal="center" vertical="center"/>
      <protection hidden="1"/>
    </xf>
    <xf numFmtId="179" fontId="0" fillId="3" borderId="5" xfId="1" applyNumberFormat="1" applyFont="1" applyFill="1" applyBorder="1" applyAlignment="1" applyProtection="1">
      <alignment horizontal="center" vertical="center"/>
      <protection hidden="1"/>
    </xf>
    <xf numFmtId="179" fontId="0" fillId="3" borderId="1" xfId="1" applyNumberFormat="1" applyFont="1" applyFill="1" applyBorder="1" applyAlignment="1" applyProtection="1">
      <alignment horizontal="center" vertical="center"/>
      <protection hidden="1"/>
    </xf>
    <xf numFmtId="0" fontId="0" fillId="0" borderId="1" xfId="0" quotePrefix="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12" xfId="0" applyBorder="1" applyAlignment="1" applyProtection="1">
      <alignment horizontal="center" vertical="center"/>
      <protection hidden="1"/>
    </xf>
    <xf numFmtId="0" fontId="10" fillId="0" borderId="0" xfId="3" applyProtection="1">
      <alignment vertical="center"/>
      <protection hidden="1"/>
    </xf>
    <xf numFmtId="0" fontId="0" fillId="0" borderId="14" xfId="0" quotePrefix="1" applyBorder="1" applyAlignment="1" applyProtection="1">
      <alignment horizontal="center" vertical="center"/>
      <protection hidden="1"/>
    </xf>
    <xf numFmtId="0" fontId="0" fillId="0" borderId="0" xfId="0" applyBorder="1" applyAlignment="1" applyProtection="1">
      <alignment vertical="center" wrapText="1"/>
      <protection hidden="1"/>
    </xf>
    <xf numFmtId="176" fontId="0" fillId="0" borderId="0" xfId="0" applyNumberFormat="1" applyFill="1" applyBorder="1" applyProtection="1">
      <alignment vertical="center"/>
      <protection hidden="1"/>
    </xf>
    <xf numFmtId="0" fontId="0" fillId="0" borderId="0" xfId="0" applyNumberFormat="1" applyProtection="1">
      <alignment vertical="center"/>
      <protection hidden="1"/>
    </xf>
    <xf numFmtId="0" fontId="7" fillId="0" borderId="0" xfId="3" applyFont="1" applyProtection="1">
      <alignment vertical="center"/>
      <protection hidden="1"/>
    </xf>
    <xf numFmtId="177" fontId="0" fillId="0" borderId="0" xfId="0" applyNumberFormat="1" applyProtection="1">
      <alignment vertical="center"/>
      <protection hidden="1"/>
    </xf>
    <xf numFmtId="186" fontId="0" fillId="0" borderId="1" xfId="4"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77" fontId="10" fillId="0" borderId="1" xfId="3" applyNumberFormat="1" applyBorder="1" applyAlignment="1" applyProtection="1">
      <alignment horizontal="center" vertical="center"/>
      <protection hidden="1"/>
    </xf>
    <xf numFmtId="0" fontId="7" fillId="0" borderId="0" xfId="3" applyFont="1" applyAlignment="1" applyProtection="1">
      <alignment vertical="center"/>
      <protection hidden="1"/>
    </xf>
    <xf numFmtId="0" fontId="18" fillId="0" borderId="0" xfId="0" applyFont="1" applyProtection="1">
      <alignment vertical="center"/>
      <protection hidden="1"/>
    </xf>
    <xf numFmtId="0" fontId="11" fillId="0" borderId="0" xfId="0" applyFont="1" applyProtection="1">
      <alignment vertical="center"/>
      <protection hidden="1"/>
    </xf>
    <xf numFmtId="0" fontId="18" fillId="0" borderId="0" xfId="0" applyFont="1" applyAlignment="1" applyProtection="1">
      <alignment vertical="center"/>
      <protection hidden="1"/>
    </xf>
    <xf numFmtId="0" fontId="11" fillId="0" borderId="1" xfId="3" applyFont="1" applyBorder="1">
      <alignment vertical="center"/>
    </xf>
    <xf numFmtId="0" fontId="0" fillId="0" borderId="0" xfId="0" applyFont="1" applyAlignment="1" applyProtection="1">
      <alignment vertical="center"/>
      <protection hidden="1"/>
    </xf>
    <xf numFmtId="0" fontId="7" fillId="0" borderId="0" xfId="0" applyFont="1" applyProtection="1">
      <alignment vertical="center"/>
      <protection hidden="1"/>
    </xf>
    <xf numFmtId="0" fontId="7" fillId="2" borderId="1"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4" borderId="1" xfId="0" applyFont="1" applyFill="1" applyBorder="1" applyAlignment="1" applyProtection="1">
      <alignment horizontal="center" vertical="center" wrapText="1"/>
      <protection hidden="1"/>
    </xf>
    <xf numFmtId="0" fontId="7" fillId="0" borderId="0" xfId="0" applyNumberFormat="1" applyFont="1" applyProtection="1">
      <alignment vertical="center"/>
      <protection hidden="1"/>
    </xf>
    <xf numFmtId="0" fontId="7" fillId="3" borderId="1" xfId="0" applyFont="1" applyFill="1" applyBorder="1" applyProtection="1">
      <alignment vertical="center"/>
      <protection hidden="1"/>
    </xf>
    <xf numFmtId="184" fontId="11" fillId="6" borderId="5" xfId="3" applyNumberFormat="1" applyFont="1" applyFill="1" applyBorder="1">
      <alignment vertical="center"/>
    </xf>
    <xf numFmtId="0" fontId="14" fillId="0" borderId="0" xfId="3" applyFont="1" applyProtection="1">
      <alignment vertical="center"/>
      <protection hidden="1"/>
    </xf>
    <xf numFmtId="0" fontId="11" fillId="0" borderId="0" xfId="3" applyFont="1" applyProtection="1">
      <alignment vertical="center"/>
      <protection hidden="1"/>
    </xf>
    <xf numFmtId="0" fontId="20" fillId="0" borderId="0" xfId="3" applyFont="1" applyProtection="1">
      <alignment vertical="center"/>
      <protection hidden="1"/>
    </xf>
    <xf numFmtId="0" fontId="13" fillId="0" borderId="0" xfId="3" applyFont="1" applyProtection="1">
      <alignment vertical="center"/>
      <protection hidden="1"/>
    </xf>
    <xf numFmtId="0" fontId="13" fillId="0" borderId="22" xfId="3" applyFont="1" applyBorder="1" applyAlignment="1" applyProtection="1">
      <alignment vertical="center"/>
      <protection hidden="1"/>
    </xf>
    <xf numFmtId="55" fontId="11" fillId="0" borderId="17" xfId="3" applyNumberFormat="1" applyFont="1" applyBorder="1" applyAlignment="1" applyProtection="1">
      <alignment horizontal="center" vertical="center" wrapText="1"/>
      <protection hidden="1"/>
    </xf>
    <xf numFmtId="0" fontId="11" fillId="0" borderId="17" xfId="3" applyFont="1" applyBorder="1" applyAlignment="1" applyProtection="1">
      <alignment horizontal="center" vertical="center"/>
      <protection hidden="1"/>
    </xf>
    <xf numFmtId="0" fontId="11" fillId="0" borderId="13" xfId="3" applyFont="1" applyBorder="1" applyAlignment="1" applyProtection="1">
      <alignment horizontal="center" vertical="center" wrapText="1"/>
      <protection hidden="1"/>
    </xf>
    <xf numFmtId="0" fontId="11" fillId="0" borderId="19" xfId="3" applyFont="1" applyFill="1" applyBorder="1" applyAlignment="1" applyProtection="1">
      <alignment horizontal="center" vertical="center" wrapText="1"/>
      <protection hidden="1"/>
    </xf>
    <xf numFmtId="0" fontId="11" fillId="0" borderId="31" xfId="3" applyFont="1" applyBorder="1" applyAlignment="1" applyProtection="1">
      <alignment horizontal="center" vertical="center" wrapText="1"/>
      <protection hidden="1"/>
    </xf>
    <xf numFmtId="0" fontId="11" fillId="0" borderId="16" xfId="3" applyFont="1" applyBorder="1" applyAlignment="1" applyProtection="1">
      <alignment horizontal="center" vertical="center"/>
      <protection hidden="1"/>
    </xf>
    <xf numFmtId="0" fontId="11" fillId="0" borderId="20" xfId="3" applyFont="1" applyBorder="1" applyAlignment="1" applyProtection="1">
      <alignment horizontal="center" vertical="center"/>
      <protection hidden="1"/>
    </xf>
    <xf numFmtId="181" fontId="11" fillId="3" borderId="30" xfId="4" applyNumberFormat="1" applyFont="1" applyFill="1" applyBorder="1" applyAlignment="1" applyProtection="1">
      <alignment vertical="center" shrinkToFit="1"/>
      <protection hidden="1"/>
    </xf>
    <xf numFmtId="0" fontId="11" fillId="0" borderId="0" xfId="3" applyNumberFormat="1" applyFont="1" applyProtection="1">
      <alignment vertical="center"/>
      <protection hidden="1"/>
    </xf>
    <xf numFmtId="38" fontId="11" fillId="0" borderId="0" xfId="3" applyNumberFormat="1" applyFont="1" applyProtection="1">
      <alignment vertical="center"/>
      <protection hidden="1"/>
    </xf>
    <xf numFmtId="0" fontId="11" fillId="0" borderId="22" xfId="3" applyFont="1" applyFill="1" applyBorder="1" applyAlignment="1" applyProtection="1">
      <alignment vertical="center"/>
      <protection hidden="1"/>
    </xf>
    <xf numFmtId="0" fontId="17" fillId="0" borderId="0" xfId="3" applyFont="1" applyProtection="1">
      <alignment vertical="center"/>
      <protection hidden="1"/>
    </xf>
    <xf numFmtId="0" fontId="0" fillId="0" borderId="42"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182" fontId="10" fillId="0" borderId="0" xfId="3" applyNumberFormat="1" applyProtection="1">
      <alignment vertical="center"/>
      <protection hidden="1"/>
    </xf>
    <xf numFmtId="182" fontId="10" fillId="0" borderId="0" xfId="3" applyNumberFormat="1" applyAlignment="1" applyProtection="1">
      <alignment horizontal="right" vertical="center"/>
      <protection hidden="1"/>
    </xf>
    <xf numFmtId="0" fontId="0" fillId="0" borderId="41" xfId="0" applyBorder="1" applyAlignment="1" applyProtection="1">
      <alignment horizontal="center" vertical="center"/>
      <protection hidden="1"/>
    </xf>
    <xf numFmtId="182" fontId="11" fillId="0" borderId="0" xfId="3" applyNumberFormat="1" applyFont="1" applyAlignment="1">
      <alignment horizontal="right" vertical="center"/>
    </xf>
    <xf numFmtId="0" fontId="0" fillId="0" borderId="1" xfId="0" applyFont="1" applyBorder="1" applyAlignment="1" applyProtection="1">
      <alignment horizontal="center" vertical="center" wrapText="1" shrinkToFi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shrinkToFit="1"/>
      <protection hidden="1"/>
    </xf>
    <xf numFmtId="0" fontId="7" fillId="0" borderId="0" xfId="3" applyFont="1" applyFill="1" applyProtection="1">
      <alignment vertical="center"/>
      <protection hidden="1"/>
    </xf>
    <xf numFmtId="0" fontId="18" fillId="0" borderId="0" xfId="0" applyFont="1" applyAlignment="1" applyProtection="1">
      <alignment vertical="center" shrinkToFit="1"/>
      <protection hidden="1"/>
    </xf>
    <xf numFmtId="0" fontId="7" fillId="0" borderId="0" xfId="0" applyFont="1" applyAlignment="1" applyProtection="1">
      <alignment horizontal="right" vertical="center" shrinkToFit="1"/>
      <protection hidden="1"/>
    </xf>
    <xf numFmtId="0" fontId="20" fillId="0" borderId="28" xfId="3" applyFont="1" applyBorder="1" applyAlignment="1" applyProtection="1">
      <alignment vertical="center"/>
      <protection hidden="1"/>
    </xf>
    <xf numFmtId="0" fontId="20" fillId="0" borderId="0" xfId="3" applyFont="1" applyBorder="1" applyAlignment="1" applyProtection="1">
      <alignment vertical="center"/>
      <protection hidden="1"/>
    </xf>
    <xf numFmtId="0" fontId="7" fillId="3" borderId="1" xfId="3"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186" fontId="20" fillId="0" borderId="0" xfId="3" applyNumberFormat="1" applyFont="1">
      <alignment vertical="center"/>
    </xf>
    <xf numFmtId="0" fontId="0" fillId="0" borderId="0" xfId="0" applyBorder="1" applyAlignment="1" applyProtection="1">
      <alignment horizontal="center" vertical="center" wrapText="1"/>
      <protection hidden="1"/>
    </xf>
    <xf numFmtId="0" fontId="16" fillId="0" borderId="0" xfId="0" applyFont="1" applyAlignment="1" applyProtection="1">
      <alignment vertical="center"/>
      <protection hidden="1"/>
    </xf>
    <xf numFmtId="0" fontId="0" fillId="0" borderId="0" xfId="0" applyBorder="1" applyAlignment="1" applyProtection="1">
      <alignment horizontal="center" vertical="center" shrinkToFit="1"/>
      <protection hidden="1"/>
    </xf>
    <xf numFmtId="0" fontId="11" fillId="0" borderId="0" xfId="3" applyFont="1" applyFill="1" applyProtection="1">
      <alignment vertical="center"/>
      <protection hidden="1"/>
    </xf>
    <xf numFmtId="0" fontId="22" fillId="0" borderId="40" xfId="3" applyFont="1" applyBorder="1" applyAlignment="1" applyProtection="1">
      <alignment horizontal="center" vertical="center"/>
      <protection hidden="1"/>
    </xf>
    <xf numFmtId="0" fontId="0" fillId="0" borderId="0" xfId="0" applyAlignment="1" applyProtection="1">
      <alignment horizontal="left" vertical="center"/>
      <protection hidden="1"/>
    </xf>
    <xf numFmtId="182" fontId="11" fillId="8" borderId="0" xfId="3" applyNumberFormat="1" applyFont="1" applyFill="1">
      <alignment vertical="center"/>
    </xf>
    <xf numFmtId="0" fontId="11" fillId="0" borderId="1" xfId="3" applyFont="1" applyBorder="1" applyAlignment="1">
      <alignment vertical="center"/>
    </xf>
    <xf numFmtId="0" fontId="20" fillId="0" borderId="28" xfId="3" applyFont="1" applyBorder="1" applyAlignment="1" applyProtection="1">
      <alignment horizontal="right"/>
      <protection hidden="1"/>
    </xf>
    <xf numFmtId="0" fontId="0" fillId="0" borderId="0" xfId="0" applyAlignment="1" applyProtection="1">
      <alignment horizontal="right"/>
      <protection hidden="1"/>
    </xf>
    <xf numFmtId="0" fontId="18" fillId="0" borderId="0" xfId="0" applyFont="1" applyAlignment="1" applyProtection="1">
      <alignment horizontal="right" vertical="top"/>
      <protection hidden="1"/>
    </xf>
    <xf numFmtId="0" fontId="11" fillId="0" borderId="0" xfId="3" applyFont="1" applyBorder="1" applyAlignment="1" applyProtection="1">
      <alignment horizontal="right" vertical="top"/>
      <protection hidden="1"/>
    </xf>
    <xf numFmtId="0" fontId="11" fillId="7" borderId="0" xfId="3" applyFont="1" applyFill="1" applyProtection="1">
      <alignment vertical="center"/>
      <protection hidden="1"/>
    </xf>
    <xf numFmtId="0" fontId="0" fillId="7" borderId="0" xfId="0" applyFill="1" applyProtection="1">
      <alignment vertical="center"/>
      <protection hidden="1"/>
    </xf>
    <xf numFmtId="0" fontId="5" fillId="0" borderId="0" xfId="3" applyFont="1" applyProtection="1">
      <alignment vertical="center"/>
      <protection hidden="1"/>
    </xf>
    <xf numFmtId="0" fontId="0" fillId="6" borderId="0" xfId="0"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shrinkToFit="1"/>
      <protection hidden="1"/>
    </xf>
    <xf numFmtId="0" fontId="7" fillId="0" borderId="0" xfId="0" applyFont="1" applyBorder="1" applyAlignment="1" applyProtection="1">
      <alignment horizontal="center" vertical="center" wrapText="1" shrinkToFit="1"/>
      <protection hidden="1"/>
    </xf>
    <xf numFmtId="0" fontId="0" fillId="0" borderId="0" xfId="0" applyAlignment="1" applyProtection="1">
      <alignment horizontal="center" vertical="center"/>
      <protection hidden="1"/>
    </xf>
    <xf numFmtId="0" fontId="7" fillId="6" borderId="0" xfId="0" applyFont="1" applyFill="1" applyBorder="1" applyAlignment="1" applyProtection="1">
      <alignment horizontal="left" vertical="center" wrapText="1" shrinkToFit="1"/>
      <protection hidden="1"/>
    </xf>
    <xf numFmtId="0" fontId="7" fillId="6" borderId="0" xfId="0" applyFont="1" applyFill="1" applyBorder="1" applyAlignment="1" applyProtection="1">
      <alignment horizontal="center" vertical="center" wrapText="1" shrinkToFit="1"/>
      <protection hidden="1"/>
    </xf>
    <xf numFmtId="0" fontId="27" fillId="0" borderId="0" xfId="0" applyFont="1" applyFill="1" applyProtection="1">
      <alignment vertical="center"/>
      <protection hidden="1"/>
    </xf>
    <xf numFmtId="0" fontId="28" fillId="0" borderId="0" xfId="0" applyFont="1" applyFill="1" applyAlignment="1" applyProtection="1">
      <alignment vertical="center"/>
      <protection hidden="1"/>
    </xf>
    <xf numFmtId="0" fontId="0" fillId="0" borderId="0" xfId="0" applyFill="1" applyProtection="1">
      <alignment vertical="center"/>
      <protection hidden="1"/>
    </xf>
    <xf numFmtId="0" fontId="7" fillId="0" borderId="0" xfId="0" quotePrefix="1" applyFont="1" applyProtection="1">
      <alignment vertical="center"/>
      <protection hidden="1"/>
    </xf>
    <xf numFmtId="0" fontId="0" fillId="0" borderId="28"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7" fillId="0" borderId="1" xfId="3" quotePrefix="1" applyFont="1" applyBorder="1" applyAlignment="1" applyProtection="1">
      <alignment horizontal="center" vertical="center"/>
      <protection hidden="1"/>
    </xf>
    <xf numFmtId="0" fontId="20" fillId="0" borderId="0" xfId="3" applyFont="1" applyFill="1" applyBorder="1" applyAlignment="1" applyProtection="1">
      <alignment horizontal="center" vertical="center"/>
      <protection hidden="1"/>
    </xf>
    <xf numFmtId="0" fontId="17" fillId="0" borderId="0" xfId="0" applyFont="1" applyProtection="1">
      <alignment vertical="center"/>
      <protection hidden="1"/>
    </xf>
    <xf numFmtId="0" fontId="0" fillId="0" borderId="0" xfId="0" applyBorder="1" applyAlignment="1" applyProtection="1">
      <alignment horizontal="center" vertical="center"/>
      <protection hidden="1"/>
    </xf>
    <xf numFmtId="0" fontId="0" fillId="0" borderId="28" xfId="0" applyBorder="1" applyAlignment="1" applyProtection="1">
      <alignment horizontal="center" vertical="center" wrapText="1"/>
      <protection hidden="1"/>
    </xf>
    <xf numFmtId="0" fontId="0" fillId="0" borderId="28" xfId="0" applyFill="1" applyBorder="1" applyAlignment="1" applyProtection="1">
      <alignment horizontal="center" vertical="center" wrapText="1"/>
      <protection hidden="1"/>
    </xf>
    <xf numFmtId="0" fontId="0" fillId="0" borderId="36" xfId="0" applyFill="1" applyBorder="1" applyAlignment="1" applyProtection="1">
      <alignment vertical="center"/>
      <protection hidden="1"/>
    </xf>
    <xf numFmtId="0" fontId="0" fillId="0" borderId="0" xfId="0" applyFill="1" applyBorder="1" applyProtection="1">
      <alignment vertical="center"/>
      <protection hidden="1"/>
    </xf>
    <xf numFmtId="184" fontId="11" fillId="0" borderId="0" xfId="3" applyNumberFormat="1" applyFont="1" applyBorder="1">
      <alignment vertical="center"/>
    </xf>
    <xf numFmtId="186" fontId="0" fillId="0" borderId="49" xfId="4" applyNumberFormat="1" applyFont="1" applyBorder="1" applyProtection="1">
      <alignment vertical="center"/>
      <protection hidden="1"/>
    </xf>
    <xf numFmtId="0" fontId="11" fillId="0" borderId="18" xfId="3" applyFont="1" applyFill="1" applyBorder="1" applyAlignment="1" applyProtection="1">
      <alignment horizontal="center" vertical="center"/>
      <protection hidden="1"/>
    </xf>
    <xf numFmtId="0" fontId="5" fillId="0" borderId="0" xfId="3" applyFont="1" applyAlignment="1" applyProtection="1">
      <alignment vertical="center"/>
      <protection hidden="1"/>
    </xf>
    <xf numFmtId="0" fontId="5" fillId="7" borderId="0" xfId="3" applyFont="1" applyFill="1" applyProtection="1">
      <alignment vertical="center"/>
      <protection hidden="1"/>
    </xf>
    <xf numFmtId="0" fontId="29" fillId="0" borderId="0" xfId="3" applyFont="1" applyProtection="1">
      <alignment vertical="center"/>
      <protection hidden="1"/>
    </xf>
    <xf numFmtId="0" fontId="11" fillId="0" borderId="18" xfId="3" applyFont="1" applyBorder="1" applyAlignment="1" applyProtection="1">
      <alignment horizontal="center" vertical="center" wrapText="1"/>
      <protection hidden="1"/>
    </xf>
    <xf numFmtId="0" fontId="11" fillId="0" borderId="20" xfId="3" applyFont="1" applyFill="1" applyBorder="1" applyAlignment="1" applyProtection="1">
      <alignment vertical="center"/>
      <protection hidden="1"/>
    </xf>
    <xf numFmtId="181" fontId="11" fillId="3" borderId="30" xfId="4" applyNumberFormat="1" applyFont="1" applyFill="1" applyBorder="1" applyAlignment="1" applyProtection="1">
      <alignment horizontal="right" vertical="center" shrinkToFit="1"/>
      <protection hidden="1"/>
    </xf>
    <xf numFmtId="181" fontId="22" fillId="7" borderId="40" xfId="3" applyNumberFormat="1" applyFont="1" applyFill="1" applyBorder="1" applyAlignment="1" applyProtection="1">
      <alignment horizontal="right" vertical="center"/>
      <protection hidden="1"/>
    </xf>
    <xf numFmtId="181" fontId="0" fillId="3" borderId="12" xfId="0" applyNumberFormat="1" applyFill="1" applyBorder="1" applyProtection="1">
      <alignment vertical="center"/>
      <protection hidden="1"/>
    </xf>
    <xf numFmtId="0" fontId="5" fillId="0" borderId="0" xfId="3" applyFont="1" applyFill="1" applyProtection="1">
      <alignment vertical="center"/>
      <protection hidden="1"/>
    </xf>
    <xf numFmtId="0" fontId="0" fillId="9" borderId="0" xfId="0" applyFill="1" applyAlignment="1" applyProtection="1">
      <alignment horizontal="center" vertical="center"/>
      <protection hidden="1"/>
    </xf>
    <xf numFmtId="0" fontId="7" fillId="0" borderId="0" xfId="0" applyFont="1" applyFill="1" applyBorder="1" applyAlignment="1" applyProtection="1">
      <alignment horizontal="left" vertical="center" wrapText="1" shrinkToFit="1"/>
      <protection hidden="1"/>
    </xf>
    <xf numFmtId="0" fontId="7" fillId="0" borderId="0" xfId="0" applyFont="1" applyFill="1" applyBorder="1" applyAlignment="1" applyProtection="1">
      <alignment horizontal="center" vertical="center" wrapText="1" shrinkToFit="1"/>
      <protection hidden="1"/>
    </xf>
    <xf numFmtId="190" fontId="0" fillId="3" borderId="1" xfId="4" applyNumberFormat="1" applyFont="1" applyFill="1" applyBorder="1" applyAlignment="1" applyProtection="1">
      <alignment horizontal="right" vertical="center" shrinkToFit="1"/>
      <protection hidden="1"/>
    </xf>
    <xf numFmtId="190" fontId="0" fillId="3" borderId="4" xfId="0" applyNumberFormat="1" applyFill="1" applyBorder="1" applyAlignment="1" applyProtection="1">
      <alignment vertical="center" shrinkToFit="1"/>
      <protection hidden="1"/>
    </xf>
    <xf numFmtId="190" fontId="8" fillId="3" borderId="5" xfId="2" applyNumberFormat="1" applyFont="1" applyFill="1" applyBorder="1" applyAlignment="1" applyProtection="1">
      <alignment horizontal="right" vertical="center" shrinkToFit="1"/>
      <protection hidden="1"/>
    </xf>
    <xf numFmtId="190" fontId="0" fillId="3" borderId="9" xfId="0" applyNumberFormat="1" applyFill="1" applyBorder="1" applyAlignment="1" applyProtection="1">
      <alignment vertical="center" shrinkToFit="1"/>
      <protection hidden="1"/>
    </xf>
    <xf numFmtId="190" fontId="0" fillId="3" borderId="5" xfId="4" applyNumberFormat="1" applyFont="1" applyFill="1" applyBorder="1" applyAlignment="1" applyProtection="1">
      <alignment horizontal="right" vertical="center" shrinkToFit="1"/>
      <protection hidden="1"/>
    </xf>
    <xf numFmtId="0" fontId="3" fillId="0" borderId="0" xfId="0" applyFont="1" applyProtection="1">
      <alignment vertical="center"/>
      <protection hidden="1"/>
    </xf>
    <xf numFmtId="0" fontId="32" fillId="0" borderId="0" xfId="0" applyFont="1" applyFill="1" applyAlignment="1" applyProtection="1">
      <alignment horizontal="center" vertical="center"/>
      <protection hidden="1"/>
    </xf>
    <xf numFmtId="0" fontId="32" fillId="0" borderId="0" xfId="0" applyFont="1" applyFill="1" applyProtection="1">
      <alignment vertical="center"/>
      <protection hidden="1"/>
    </xf>
    <xf numFmtId="0" fontId="16" fillId="0" borderId="0" xfId="0" applyFont="1" applyProtection="1">
      <alignment vertical="center"/>
      <protection hidden="1"/>
    </xf>
    <xf numFmtId="0" fontId="33" fillId="0" borderId="0" xfId="3" applyFont="1" applyProtection="1">
      <alignment vertical="center"/>
      <protection hidden="1"/>
    </xf>
    <xf numFmtId="0" fontId="16" fillId="0" borderId="0" xfId="0" applyFont="1" applyAlignment="1" applyProtection="1">
      <alignment horizontal="center" vertical="center"/>
      <protection hidden="1"/>
    </xf>
    <xf numFmtId="181" fontId="11" fillId="0" borderId="0" xfId="3" applyNumberFormat="1" applyFont="1" applyProtection="1">
      <alignment vertical="center"/>
      <protection hidden="1"/>
    </xf>
    <xf numFmtId="0" fontId="11" fillId="0" borderId="0" xfId="3" applyFont="1" applyBorder="1" applyAlignment="1" applyProtection="1">
      <alignment horizontal="center" vertical="center" wrapText="1"/>
      <protection hidden="1"/>
    </xf>
    <xf numFmtId="0" fontId="11" fillId="10" borderId="0" xfId="3" applyFont="1" applyFill="1" applyBorder="1" applyAlignment="1" applyProtection="1">
      <alignment horizontal="center" vertical="center" wrapText="1"/>
      <protection hidden="1"/>
    </xf>
    <xf numFmtId="181" fontId="11" fillId="0" borderId="0" xfId="3" applyNumberFormat="1" applyFont="1" applyBorder="1" applyAlignment="1" applyProtection="1">
      <alignment horizontal="center" vertical="center" wrapText="1"/>
      <protection hidden="1"/>
    </xf>
    <xf numFmtId="0" fontId="0" fillId="0" borderId="0" xfId="0" quotePrefix="1" applyProtection="1">
      <alignment vertical="center"/>
      <protection hidden="1"/>
    </xf>
    <xf numFmtId="182" fontId="11" fillId="5" borderId="0" xfId="3" applyNumberFormat="1" applyFont="1" applyFill="1">
      <alignment vertical="center"/>
    </xf>
    <xf numFmtId="182" fontId="11" fillId="6" borderId="0" xfId="3" applyNumberFormat="1" applyFont="1" applyFill="1">
      <alignment vertical="center"/>
    </xf>
    <xf numFmtId="0" fontId="0" fillId="9" borderId="0" xfId="0" applyFill="1" applyBorder="1" applyAlignment="1" applyProtection="1">
      <alignment horizontal="center" vertical="center" wrapText="1"/>
      <protection hidden="1"/>
    </xf>
    <xf numFmtId="0" fontId="34" fillId="0" borderId="0" xfId="3" applyFont="1" applyProtection="1">
      <alignment vertical="center"/>
      <protection hidden="1"/>
    </xf>
    <xf numFmtId="0" fontId="7" fillId="0" borderId="0" xfId="3" applyFont="1" applyAlignment="1" applyProtection="1">
      <alignment horizontal="center" vertical="center"/>
      <protection hidden="1"/>
    </xf>
    <xf numFmtId="0" fontId="7" fillId="12" borderId="0" xfId="3" applyFont="1" applyFill="1" applyAlignment="1" applyProtection="1">
      <alignment horizontal="center" vertical="center"/>
      <protection hidden="1"/>
    </xf>
    <xf numFmtId="188" fontId="7" fillId="3" borderId="1" xfId="3" applyNumberFormat="1" applyFont="1" applyFill="1" applyBorder="1" applyAlignment="1" applyProtection="1">
      <alignment horizontal="center" vertical="center"/>
      <protection hidden="1"/>
    </xf>
    <xf numFmtId="0" fontId="5" fillId="0" borderId="0" xfId="3" applyFont="1" applyAlignment="1" applyProtection="1">
      <alignment horizontal="center" vertical="center"/>
      <protection hidden="1"/>
    </xf>
    <xf numFmtId="181" fontId="0" fillId="3" borderId="21" xfId="0" applyNumberFormat="1" applyFill="1" applyBorder="1" applyProtection="1">
      <alignment vertical="center"/>
      <protection hidden="1"/>
    </xf>
    <xf numFmtId="181" fontId="0" fillId="3" borderId="57" xfId="0" applyNumberFormat="1" applyFill="1" applyBorder="1" applyProtection="1">
      <alignment vertical="center"/>
      <protection hidden="1"/>
    </xf>
    <xf numFmtId="181" fontId="0" fillId="3" borderId="58" xfId="0" applyNumberFormat="1" applyFill="1" applyBorder="1" applyProtection="1">
      <alignment vertical="center"/>
      <protection hidden="1"/>
    </xf>
    <xf numFmtId="181" fontId="0" fillId="3" borderId="59" xfId="0" applyNumberFormat="1" applyFill="1" applyBorder="1" applyProtection="1">
      <alignment vertical="center"/>
      <protection hidden="1"/>
    </xf>
    <xf numFmtId="181" fontId="0" fillId="3" borderId="61" xfId="0" applyNumberFormat="1" applyFill="1" applyBorder="1" applyProtection="1">
      <alignment vertical="center"/>
      <protection hidden="1"/>
    </xf>
    <xf numFmtId="181" fontId="0" fillId="3" borderId="60" xfId="0" applyNumberFormat="1" applyFill="1" applyBorder="1" applyProtection="1">
      <alignment vertical="center"/>
      <protection hidden="1"/>
    </xf>
    <xf numFmtId="0" fontId="0" fillId="0" borderId="49" xfId="0" applyBorder="1" applyAlignment="1" applyProtection="1">
      <alignment horizontal="center" vertical="center"/>
      <protection hidden="1"/>
    </xf>
    <xf numFmtId="0" fontId="0" fillId="0" borderId="60" xfId="0" quotePrefix="1" applyBorder="1" applyAlignment="1" applyProtection="1">
      <alignment horizontal="center" vertical="center"/>
      <protection hidden="1"/>
    </xf>
    <xf numFmtId="0" fontId="0" fillId="0" borderId="61" xfId="0" quotePrefix="1"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57" xfId="0" applyFill="1" applyBorder="1" applyAlignment="1" applyProtection="1">
      <alignment horizontal="center" vertical="center"/>
      <protection hidden="1"/>
    </xf>
    <xf numFmtId="0" fontId="0" fillId="0" borderId="58" xfId="0" quotePrefix="1" applyBorder="1" applyAlignment="1" applyProtection="1">
      <alignment horizontal="center" vertical="center"/>
      <protection hidden="1"/>
    </xf>
    <xf numFmtId="0" fontId="0" fillId="0" borderId="59" xfId="0" quotePrefix="1" applyBorder="1" applyAlignment="1" applyProtection="1">
      <alignment horizontal="center" vertical="center"/>
      <protection hidden="1"/>
    </xf>
    <xf numFmtId="0" fontId="0" fillId="0" borderId="21" xfId="0" quotePrefix="1" applyBorder="1" applyAlignment="1" applyProtection="1">
      <alignment horizontal="center" vertical="center"/>
      <protection hidden="1"/>
    </xf>
    <xf numFmtId="0" fontId="0" fillId="0" borderId="57" xfId="0" quotePrefix="1" applyBorder="1" applyAlignment="1" applyProtection="1">
      <alignment horizontal="center" vertical="center"/>
      <protection hidden="1"/>
    </xf>
    <xf numFmtId="0" fontId="17" fillId="0" borderId="0" xfId="3" applyFont="1" applyAlignment="1" applyProtection="1">
      <protection hidden="1"/>
    </xf>
    <xf numFmtId="0" fontId="17" fillId="0" borderId="0" xfId="3" applyFont="1" applyAlignment="1" applyProtection="1">
      <alignment vertical="center"/>
      <protection hidden="1"/>
    </xf>
    <xf numFmtId="182" fontId="11" fillId="13" borderId="0" xfId="3" applyNumberFormat="1" applyFont="1" applyFill="1">
      <alignment vertical="center"/>
    </xf>
    <xf numFmtId="181" fontId="0" fillId="0" borderId="19" xfId="0" quotePrefix="1" applyNumberFormat="1" applyBorder="1" applyAlignment="1" applyProtection="1">
      <alignment horizontal="right" vertical="center"/>
      <protection hidden="1"/>
    </xf>
    <xf numFmtId="181" fontId="0" fillId="0" borderId="62" xfId="0" quotePrefix="1" applyNumberFormat="1" applyBorder="1" applyAlignment="1" applyProtection="1">
      <alignment horizontal="right" vertical="center"/>
      <protection hidden="1"/>
    </xf>
    <xf numFmtId="181" fontId="0" fillId="0" borderId="60" xfId="0" quotePrefix="1" applyNumberFormat="1" applyBorder="1" applyAlignment="1" applyProtection="1">
      <alignment horizontal="right" vertical="center"/>
      <protection hidden="1"/>
    </xf>
    <xf numFmtId="181" fontId="0" fillId="0" borderId="61" xfId="0" quotePrefix="1" applyNumberFormat="1" applyBorder="1" applyAlignment="1" applyProtection="1">
      <alignment horizontal="right" vertical="center"/>
      <protection hidden="1"/>
    </xf>
    <xf numFmtId="0" fontId="0" fillId="13" borderId="0" xfId="0"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82" fontId="13" fillId="0" borderId="0" xfId="3" applyNumberFormat="1" applyFont="1">
      <alignment vertical="center"/>
    </xf>
    <xf numFmtId="0" fontId="0" fillId="0" borderId="0" xfId="0" applyAlignment="1" applyProtection="1">
      <alignment vertical="center"/>
      <protection hidden="1"/>
    </xf>
    <xf numFmtId="177" fontId="10" fillId="0" borderId="1" xfId="3" applyNumberFormat="1" applyBorder="1" applyAlignment="1" applyProtection="1">
      <alignment horizontal="center" vertical="center"/>
      <protection hidden="1"/>
    </xf>
    <xf numFmtId="186" fontId="0" fillId="0" borderId="1" xfId="4" quotePrefix="1" applyNumberFormat="1" applyFont="1" applyBorder="1" applyProtection="1">
      <alignment vertical="center"/>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7" fillId="11" borderId="0" xfId="3" applyFont="1" applyFill="1" applyBorder="1" applyAlignment="1" applyProtection="1">
      <alignment horizontal="right" vertical="center"/>
      <protection hidden="1"/>
    </xf>
    <xf numFmtId="0" fontId="7" fillId="10" borderId="0" xfId="3" applyFont="1" applyFill="1" applyBorder="1" applyAlignment="1" applyProtection="1">
      <alignment horizontal="right" vertical="center"/>
      <protection hidden="1"/>
    </xf>
    <xf numFmtId="0" fontId="7" fillId="10" borderId="49" xfId="3" applyFont="1" applyFill="1" applyBorder="1" applyAlignment="1" applyProtection="1">
      <alignment horizontal="right" vertical="center"/>
      <protection hidden="1"/>
    </xf>
    <xf numFmtId="0" fontId="7" fillId="12" borderId="0" xfId="3" applyFont="1" applyFill="1" applyBorder="1" applyAlignment="1" applyProtection="1">
      <alignment horizontal="right" vertical="center"/>
      <protection hidden="1"/>
    </xf>
    <xf numFmtId="0" fontId="7" fillId="0" borderId="3" xfId="3" applyFont="1" applyBorder="1" applyAlignment="1" applyProtection="1">
      <alignment horizontal="center" vertical="center" wrapText="1"/>
      <protection hidden="1"/>
    </xf>
    <xf numFmtId="0" fontId="7" fillId="0" borderId="10" xfId="3" applyFont="1" applyBorder="1" applyAlignment="1" applyProtection="1">
      <alignment horizontal="center" vertical="center" wrapText="1"/>
      <protection hidden="1"/>
    </xf>
    <xf numFmtId="0" fontId="7" fillId="0" borderId="5" xfId="3" applyFont="1" applyBorder="1" applyAlignment="1" applyProtection="1">
      <alignment horizontal="center" vertical="center" wrapText="1"/>
      <protection hidden="1"/>
    </xf>
    <xf numFmtId="0" fontId="7" fillId="0" borderId="1" xfId="3" applyFont="1" applyBorder="1" applyAlignment="1" applyProtection="1">
      <alignment horizontal="center" vertical="center"/>
      <protection hidden="1"/>
    </xf>
    <xf numFmtId="0" fontId="7" fillId="0" borderId="1" xfId="3" applyFont="1" applyBorder="1" applyAlignment="1" applyProtection="1">
      <alignment horizontal="center" vertical="center" wrapText="1"/>
      <protection hidden="1"/>
    </xf>
    <xf numFmtId="0" fontId="31" fillId="3" borderId="3" xfId="3" applyFont="1" applyFill="1" applyBorder="1" applyAlignment="1" applyProtection="1">
      <alignment horizontal="center" vertical="center"/>
      <protection hidden="1"/>
    </xf>
    <xf numFmtId="0" fontId="31" fillId="3" borderId="10" xfId="3" applyFont="1" applyFill="1" applyBorder="1" applyAlignment="1" applyProtection="1">
      <alignment horizontal="center" vertical="center"/>
      <protection hidden="1"/>
    </xf>
    <xf numFmtId="0" fontId="31" fillId="3" borderId="5" xfId="3" applyFont="1" applyFill="1" applyBorder="1" applyAlignment="1" applyProtection="1">
      <alignment horizontal="center" vertical="center"/>
      <protection hidden="1"/>
    </xf>
    <xf numFmtId="0" fontId="7" fillId="3" borderId="3" xfId="3" applyFont="1" applyFill="1" applyBorder="1" applyAlignment="1" applyProtection="1">
      <alignment horizontal="center" vertical="center" wrapText="1"/>
      <protection hidden="1"/>
    </xf>
    <xf numFmtId="0" fontId="7" fillId="3" borderId="5" xfId="3" applyFont="1" applyFill="1" applyBorder="1" applyAlignment="1" applyProtection="1">
      <alignment horizontal="center" vertical="center" wrapText="1"/>
      <protection hidden="1"/>
    </xf>
    <xf numFmtId="0" fontId="7" fillId="0" borderId="2" xfId="3" applyFont="1" applyBorder="1" applyAlignment="1" applyProtection="1">
      <alignment horizontal="center" vertical="center" wrapText="1"/>
      <protection hidden="1"/>
    </xf>
    <xf numFmtId="0" fontId="7" fillId="0" borderId="14" xfId="3" applyFont="1" applyBorder="1" applyAlignment="1" applyProtection="1">
      <alignment horizontal="center" vertical="center" wrapText="1"/>
      <protection hidden="1"/>
    </xf>
    <xf numFmtId="0" fontId="35" fillId="3" borderId="3" xfId="3" applyFont="1" applyFill="1" applyBorder="1" applyAlignment="1" applyProtection="1">
      <alignment horizontal="center" vertical="center"/>
      <protection hidden="1"/>
    </xf>
    <xf numFmtId="0" fontId="35" fillId="3" borderId="10" xfId="3" applyFont="1" applyFill="1" applyBorder="1" applyAlignment="1" applyProtection="1">
      <alignment horizontal="center" vertical="center"/>
      <protection hidden="1"/>
    </xf>
    <xf numFmtId="0" fontId="35" fillId="3" borderId="5" xfId="3" applyFont="1" applyFill="1" applyBorder="1" applyAlignment="1" applyProtection="1">
      <alignment horizontal="center" vertical="center"/>
      <protection hidden="1"/>
    </xf>
    <xf numFmtId="0" fontId="20" fillId="3" borderId="3" xfId="3" applyFont="1" applyFill="1" applyBorder="1" applyAlignment="1" applyProtection="1">
      <alignment horizontal="center" vertical="center"/>
      <protection hidden="1"/>
    </xf>
    <xf numFmtId="0" fontId="20" fillId="3" borderId="10" xfId="3" applyFont="1" applyFill="1" applyBorder="1" applyAlignment="1" applyProtection="1">
      <alignment horizontal="center" vertical="center"/>
      <protection hidden="1"/>
    </xf>
    <xf numFmtId="0" fontId="20" fillId="3" borderId="5" xfId="3" applyFont="1"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187" fontId="6" fillId="0" borderId="3" xfId="3" applyNumberFormat="1" applyFont="1" applyFill="1" applyBorder="1" applyAlignment="1" applyProtection="1">
      <alignment horizontal="center" vertical="center" wrapText="1" shrinkToFit="1"/>
      <protection hidden="1"/>
    </xf>
    <xf numFmtId="187" fontId="6" fillId="0" borderId="5" xfId="3" applyNumberFormat="1" applyFont="1" applyFill="1" applyBorder="1" applyAlignment="1" applyProtection="1">
      <alignment horizontal="center" vertical="center" shrinkToFit="1"/>
      <protection hidden="1"/>
    </xf>
    <xf numFmtId="0" fontId="0" fillId="0" borderId="1" xfId="0" applyBorder="1" applyAlignment="1" applyProtection="1">
      <alignment vertical="center" wrapText="1"/>
      <protection hidden="1"/>
    </xf>
    <xf numFmtId="0" fontId="7" fillId="0" borderId="1" xfId="0" applyFont="1" applyBorder="1" applyAlignment="1" applyProtection="1">
      <alignment vertical="center" wrapText="1"/>
      <protection hidden="1"/>
    </xf>
    <xf numFmtId="0" fontId="0" fillId="0" borderId="1" xfId="0" applyFont="1"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0" fillId="0" borderId="1" xfId="0" applyFont="1" applyBorder="1" applyAlignment="1" applyProtection="1">
      <alignment vertical="center" wrapText="1" shrinkToFit="1"/>
      <protection hidden="1"/>
    </xf>
    <xf numFmtId="0" fontId="7" fillId="0" borderId="1" xfId="0" applyFont="1" applyBorder="1" applyAlignment="1" applyProtection="1">
      <alignment vertical="center" wrapText="1" shrinkToFit="1"/>
      <protection hidden="1"/>
    </xf>
    <xf numFmtId="0" fontId="5" fillId="0" borderId="43" xfId="0" applyFont="1" applyBorder="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0" fillId="0" borderId="3" xfId="0" applyFont="1" applyBorder="1" applyAlignment="1" applyProtection="1">
      <alignment vertical="center" wrapText="1" shrinkToFit="1"/>
      <protection hidden="1"/>
    </xf>
    <xf numFmtId="0" fontId="0" fillId="0" borderId="5" xfId="0" applyFont="1" applyBorder="1" applyAlignment="1" applyProtection="1">
      <alignment vertical="center" wrapText="1" shrinkToFit="1"/>
      <protection hidden="1"/>
    </xf>
    <xf numFmtId="0" fontId="7" fillId="0" borderId="2"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3" xfId="0" applyFont="1" applyBorder="1" applyAlignment="1" applyProtection="1">
      <alignment vertical="center" wrapText="1" shrinkToFit="1"/>
      <protection hidden="1"/>
    </xf>
    <xf numFmtId="0" fontId="7" fillId="0" borderId="5" xfId="0" applyFont="1" applyBorder="1" applyAlignment="1" applyProtection="1">
      <alignment vertical="center" wrapText="1" shrinkToFit="1"/>
      <protection hidden="1"/>
    </xf>
    <xf numFmtId="0" fontId="5" fillId="0" borderId="1" xfId="0" applyFont="1"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1" xfId="0" applyBorder="1" applyAlignment="1" applyProtection="1">
      <alignment vertical="center" shrinkToFit="1"/>
      <protection hidden="1"/>
    </xf>
    <xf numFmtId="0" fontId="0" fillId="0" borderId="3"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7" fillId="0" borderId="3" xfId="0" applyFont="1" applyBorder="1" applyAlignment="1" applyProtection="1">
      <alignment horizontal="center" vertical="center"/>
      <protection hidden="1"/>
    </xf>
    <xf numFmtId="0" fontId="0" fillId="0" borderId="2" xfId="0" applyFont="1" applyBorder="1" applyAlignment="1" applyProtection="1">
      <alignment horizontal="left" vertical="center" wrapText="1" shrinkToFit="1"/>
      <protection hidden="1"/>
    </xf>
    <xf numFmtId="0" fontId="0" fillId="0" borderId="14" xfId="0" applyFont="1" applyBorder="1" applyAlignment="1" applyProtection="1">
      <alignment horizontal="left" vertical="center" wrapText="1" shrinkToFit="1"/>
      <protection hidden="1"/>
    </xf>
    <xf numFmtId="0" fontId="7" fillId="0" borderId="2" xfId="0" applyFont="1" applyBorder="1" applyAlignment="1" applyProtection="1">
      <alignment horizontal="left" vertical="center" wrapText="1" shrinkToFit="1"/>
      <protection hidden="1"/>
    </xf>
    <xf numFmtId="0" fontId="7" fillId="0" borderId="14" xfId="0" applyFont="1" applyBorder="1" applyAlignment="1" applyProtection="1">
      <alignment horizontal="left" vertical="center" wrapText="1" shrinkToFit="1"/>
      <protection hidden="1"/>
    </xf>
    <xf numFmtId="0" fontId="7" fillId="0" borderId="3" xfId="0" applyFont="1" applyBorder="1" applyAlignment="1" applyProtection="1">
      <alignment vertical="center" shrinkToFit="1"/>
      <protection hidden="1"/>
    </xf>
    <xf numFmtId="0" fontId="7" fillId="0" borderId="5" xfId="0" applyFont="1" applyBorder="1" applyAlignment="1" applyProtection="1">
      <alignment vertical="center" shrinkToFit="1"/>
      <protection hidden="1"/>
    </xf>
    <xf numFmtId="0" fontId="0" fillId="0" borderId="2"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180" fontId="11" fillId="3" borderId="6" xfId="3" applyNumberFormat="1" applyFont="1" applyFill="1" applyBorder="1" applyAlignment="1" applyProtection="1">
      <alignment horizontal="center" vertical="center" wrapText="1"/>
      <protection hidden="1"/>
    </xf>
    <xf numFmtId="180" fontId="11" fillId="3" borderId="33" xfId="3" applyNumberFormat="1" applyFont="1" applyFill="1" applyBorder="1" applyAlignment="1" applyProtection="1">
      <alignment horizontal="center" vertical="center" wrapText="1"/>
      <protection hidden="1"/>
    </xf>
    <xf numFmtId="189" fontId="11" fillId="3" borderId="7" xfId="4" applyNumberFormat="1" applyFont="1" applyFill="1" applyBorder="1" applyAlignment="1" applyProtection="1">
      <alignment horizontal="right" vertical="center" shrinkToFit="1"/>
      <protection hidden="1"/>
    </xf>
    <xf numFmtId="189" fontId="11" fillId="3" borderId="39" xfId="4" applyNumberFormat="1" applyFont="1" applyFill="1" applyBorder="1" applyAlignment="1" applyProtection="1">
      <alignment horizontal="right" vertical="center" shrinkToFit="1"/>
      <protection hidden="1"/>
    </xf>
    <xf numFmtId="190" fontId="11" fillId="3" borderId="6" xfId="3" applyNumberFormat="1" applyFont="1" applyFill="1" applyBorder="1" applyAlignment="1" applyProtection="1">
      <alignment horizontal="center" vertical="center" wrapText="1"/>
      <protection hidden="1"/>
    </xf>
    <xf numFmtId="190" fontId="11" fillId="3" borderId="33" xfId="3" applyNumberFormat="1" applyFont="1" applyFill="1" applyBorder="1" applyAlignment="1" applyProtection="1">
      <alignment horizontal="center" vertical="center" wrapText="1"/>
      <protection hidden="1"/>
    </xf>
    <xf numFmtId="180" fontId="11" fillId="3" borderId="18" xfId="3" applyNumberFormat="1" applyFont="1" applyFill="1" applyBorder="1" applyAlignment="1" applyProtection="1">
      <alignment horizontal="center" vertical="center" wrapText="1"/>
      <protection hidden="1"/>
    </xf>
    <xf numFmtId="187" fontId="6" fillId="0" borderId="1" xfId="3" applyNumberFormat="1" applyFont="1" applyBorder="1" applyAlignment="1" applyProtection="1">
      <alignment horizontal="center" vertical="center" wrapText="1" shrinkToFit="1"/>
      <protection hidden="1"/>
    </xf>
    <xf numFmtId="1" fontId="36" fillId="3" borderId="3" xfId="3" applyNumberFormat="1" applyFont="1" applyFill="1" applyBorder="1" applyAlignment="1" applyProtection="1">
      <alignment horizontal="center" vertical="center" shrinkToFit="1"/>
      <protection hidden="1"/>
    </xf>
    <xf numFmtId="1" fontId="36" fillId="3" borderId="10" xfId="3" applyNumberFormat="1" applyFont="1" applyFill="1" applyBorder="1" applyAlignment="1" applyProtection="1">
      <alignment horizontal="center" vertical="center" shrinkToFit="1"/>
      <protection hidden="1"/>
    </xf>
    <xf numFmtId="1" fontId="36" fillId="3" borderId="5" xfId="3" applyNumberFormat="1" applyFont="1" applyFill="1" applyBorder="1" applyAlignment="1" applyProtection="1">
      <alignment horizontal="center" vertical="center" shrinkToFit="1"/>
      <protection hidden="1"/>
    </xf>
    <xf numFmtId="182" fontId="11" fillId="5" borderId="22" xfId="3" applyNumberFormat="1" applyFont="1" applyFill="1" applyBorder="1" applyAlignment="1">
      <alignment horizontal="center" vertical="center"/>
    </xf>
    <xf numFmtId="177" fontId="10" fillId="0" borderId="3" xfId="3" applyNumberFormat="1" applyBorder="1" applyAlignment="1" applyProtection="1">
      <alignment horizontal="center" vertical="center"/>
      <protection hidden="1"/>
    </xf>
    <xf numFmtId="177" fontId="10" fillId="0" borderId="10" xfId="3" applyNumberFormat="1" applyBorder="1" applyAlignment="1" applyProtection="1">
      <alignment horizontal="center" vertical="center"/>
      <protection hidden="1"/>
    </xf>
    <xf numFmtId="177" fontId="10" fillId="0" borderId="5" xfId="3" applyNumberFormat="1" applyBorder="1" applyAlignment="1" applyProtection="1">
      <alignment horizontal="center" vertical="center"/>
      <protection hidden="1"/>
    </xf>
    <xf numFmtId="177" fontId="10" fillId="0" borderId="1" xfId="3" applyNumberFormat="1" applyBorder="1" applyAlignment="1" applyProtection="1">
      <alignment horizontal="center" vertical="center"/>
      <protection hidden="1"/>
    </xf>
    <xf numFmtId="0" fontId="37" fillId="0" borderId="0" xfId="0" applyFont="1" applyProtection="1">
      <alignment vertical="center"/>
      <protection hidden="1"/>
    </xf>
    <xf numFmtId="0" fontId="5" fillId="2" borderId="1" xfId="3" applyFont="1" applyFill="1" applyBorder="1" applyAlignment="1" applyProtection="1">
      <alignment horizontal="center" vertical="center" wrapText="1" shrinkToFit="1"/>
      <protection hidden="1"/>
    </xf>
    <xf numFmtId="0" fontId="7" fillId="2" borderId="1" xfId="3" applyFont="1" applyFill="1" applyBorder="1" applyAlignment="1" applyProtection="1">
      <alignment horizontal="center" vertical="center" wrapText="1" shrinkToFit="1"/>
      <protection hidden="1"/>
    </xf>
    <xf numFmtId="188" fontId="5" fillId="4" borderId="1" xfId="3" applyNumberFormat="1" applyFont="1" applyFill="1" applyBorder="1" applyProtection="1">
      <alignment vertical="center"/>
      <protection hidden="1"/>
    </xf>
    <xf numFmtId="188" fontId="7" fillId="4" borderId="1" xfId="3" applyNumberFormat="1" applyFont="1" applyFill="1" applyBorder="1" applyProtection="1">
      <alignment vertical="center"/>
      <protection hidden="1"/>
    </xf>
    <xf numFmtId="0" fontId="5" fillId="2" borderId="1" xfId="3" applyFont="1" applyFill="1" applyBorder="1" applyAlignment="1" applyProtection="1">
      <alignment horizontal="center" vertical="center"/>
      <protection hidden="1"/>
    </xf>
    <xf numFmtId="0" fontId="7" fillId="2" borderId="1" xfId="3" applyFont="1" applyFill="1" applyBorder="1" applyAlignment="1" applyProtection="1">
      <alignment horizontal="center" vertical="center"/>
      <protection hidden="1"/>
    </xf>
    <xf numFmtId="187" fontId="5" fillId="4" borderId="1" xfId="3" applyNumberFormat="1" applyFont="1" applyFill="1" applyBorder="1" applyAlignment="1" applyProtection="1">
      <alignment horizontal="right" vertical="center"/>
      <protection hidden="1"/>
    </xf>
    <xf numFmtId="187" fontId="7" fillId="4" borderId="1" xfId="3" applyNumberFormat="1" applyFont="1" applyFill="1" applyBorder="1" applyAlignment="1" applyProtection="1">
      <alignment horizontal="right" vertical="center"/>
      <protection hidden="1"/>
    </xf>
    <xf numFmtId="0" fontId="4" fillId="2" borderId="5" xfId="0" applyFont="1" applyFill="1" applyBorder="1" applyAlignment="1" applyProtection="1">
      <alignment horizontal="left" vertical="center" wrapText="1"/>
      <protection hidden="1"/>
    </xf>
    <xf numFmtId="0" fontId="4" fillId="2" borderId="10" xfId="0" applyFont="1" applyFill="1" applyBorder="1" applyAlignment="1" applyProtection="1">
      <alignment horizontal="left" vertical="center" wrapText="1"/>
      <protection hidden="1"/>
    </xf>
    <xf numFmtId="0" fontId="0" fillId="2" borderId="5" xfId="0" applyFont="1" applyFill="1" applyBorder="1" applyAlignment="1" applyProtection="1">
      <alignment horizontal="center" vertical="center" shrinkToFit="1"/>
      <protection hidden="1"/>
    </xf>
    <xf numFmtId="181" fontId="0" fillId="4" borderId="5" xfId="0" applyNumberFormat="1" applyFill="1" applyBorder="1" applyAlignment="1" applyProtection="1">
      <alignment horizontal="right" vertical="center"/>
      <protection hidden="1"/>
    </xf>
    <xf numFmtId="181" fontId="0" fillId="4" borderId="10" xfId="0" applyNumberFormat="1" applyFill="1" applyBorder="1" applyAlignment="1" applyProtection="1">
      <alignment horizontal="right" vertical="center"/>
      <protection hidden="1"/>
    </xf>
    <xf numFmtId="189" fontId="0" fillId="4" borderId="5" xfId="0" applyNumberFormat="1" applyFill="1" applyBorder="1" applyProtection="1">
      <alignment vertical="center"/>
      <protection hidden="1"/>
    </xf>
    <xf numFmtId="189" fontId="0" fillId="4" borderId="10" xfId="0" applyNumberFormat="1" applyFill="1" applyBorder="1" applyProtection="1">
      <alignment vertical="center"/>
      <protection hidden="1"/>
    </xf>
    <xf numFmtId="189" fontId="0" fillId="4" borderId="5" xfId="1" applyNumberFormat="1" applyFont="1" applyFill="1" applyBorder="1" applyProtection="1">
      <alignment vertical="center"/>
      <protection hidden="1"/>
    </xf>
    <xf numFmtId="189" fontId="0" fillId="4" borderId="1" xfId="1" applyNumberFormat="1" applyFont="1" applyFill="1" applyBorder="1" applyProtection="1">
      <alignment vertical="center"/>
      <protection hidden="1"/>
    </xf>
    <xf numFmtId="189" fontId="0" fillId="4" borderId="3" xfId="1" applyNumberFormat="1" applyFont="1" applyFill="1" applyBorder="1" applyProtection="1">
      <alignment vertical="center"/>
      <protection hidden="1"/>
    </xf>
    <xf numFmtId="0" fontId="0" fillId="2" borderId="5" xfId="0" applyFill="1" applyBorder="1" applyAlignment="1" applyProtection="1">
      <alignment horizontal="center" vertical="center" shrinkToFit="1"/>
      <protection hidden="1"/>
    </xf>
    <xf numFmtId="0" fontId="4" fillId="2" borderId="5" xfId="0" applyFont="1" applyFill="1" applyBorder="1" applyAlignment="1" applyProtection="1">
      <alignment horizontal="center" vertical="center" shrinkToFit="1"/>
      <protection hidden="1"/>
    </xf>
    <xf numFmtId="189" fontId="8" fillId="4" borderId="5" xfId="2" applyNumberFormat="1" applyFont="1" applyFill="1" applyBorder="1" applyProtection="1">
      <alignment vertical="center"/>
      <protection hidden="1"/>
    </xf>
    <xf numFmtId="189" fontId="8" fillId="4" borderId="1" xfId="2" applyNumberFormat="1" applyFont="1" applyFill="1" applyBorder="1" applyProtection="1">
      <alignment vertical="center"/>
      <protection hidden="1"/>
    </xf>
    <xf numFmtId="0" fontId="0" fillId="4" borderId="46" xfId="0" applyFill="1" applyBorder="1" applyAlignment="1" applyProtection="1">
      <alignment horizontal="left" vertical="center" shrinkToFit="1"/>
      <protection hidden="1"/>
    </xf>
    <xf numFmtId="0" fontId="0" fillId="4" borderId="47" xfId="0" applyFill="1" applyBorder="1" applyAlignment="1" applyProtection="1">
      <alignment horizontal="left" vertical="center" shrinkToFit="1"/>
      <protection hidden="1"/>
    </xf>
    <xf numFmtId="0" fontId="0" fillId="4" borderId="53" xfId="0" applyFill="1" applyBorder="1" applyAlignment="1" applyProtection="1">
      <alignment horizontal="left" vertical="center" shrinkToFit="1"/>
      <protection hidden="1"/>
    </xf>
    <xf numFmtId="0" fontId="0" fillId="4" borderId="54" xfId="0" applyFill="1" applyBorder="1" applyAlignment="1" applyProtection="1">
      <alignment horizontal="left" vertical="center" shrinkToFit="1"/>
      <protection hidden="1"/>
    </xf>
    <xf numFmtId="0" fontId="0" fillId="4" borderId="48" xfId="0" applyFill="1" applyBorder="1" applyAlignment="1" applyProtection="1">
      <alignment horizontal="left" vertical="center" shrinkToFit="1"/>
      <protection hidden="1"/>
    </xf>
    <xf numFmtId="0" fontId="0" fillId="4" borderId="2" xfId="0" applyFill="1" applyBorder="1" applyAlignment="1" applyProtection="1">
      <alignment horizontal="left" vertical="center" shrinkToFit="1"/>
      <protection hidden="1"/>
    </xf>
    <xf numFmtId="0" fontId="0" fillId="5" borderId="51" xfId="0" applyFill="1" applyBorder="1" applyAlignment="1" applyProtection="1">
      <alignment horizontal="left" vertical="center" shrinkToFit="1"/>
      <protection hidden="1"/>
    </xf>
    <xf numFmtId="0" fontId="0" fillId="5" borderId="52" xfId="0" applyFill="1" applyBorder="1" applyAlignment="1" applyProtection="1">
      <alignment horizontal="left" vertical="center" shrinkToFit="1"/>
      <protection hidden="1"/>
    </xf>
    <xf numFmtId="0" fontId="0" fillId="5" borderId="53" xfId="0" applyFill="1" applyBorder="1" applyAlignment="1" applyProtection="1">
      <alignment horizontal="left" vertical="center" shrinkToFit="1"/>
      <protection hidden="1"/>
    </xf>
    <xf numFmtId="0" fontId="0" fillId="5" borderId="54" xfId="0" applyFill="1" applyBorder="1" applyAlignment="1" applyProtection="1">
      <alignment horizontal="left" vertical="center" shrinkToFit="1"/>
      <protection hidden="1"/>
    </xf>
    <xf numFmtId="0" fontId="0" fillId="4" borderId="63" xfId="0" applyFill="1" applyBorder="1" applyAlignment="1" applyProtection="1">
      <alignment horizontal="left" vertical="center" shrinkToFit="1"/>
      <protection hidden="1"/>
    </xf>
    <xf numFmtId="0" fontId="0" fillId="5" borderId="55" xfId="0" applyFill="1" applyBorder="1" applyAlignment="1" applyProtection="1">
      <alignment horizontal="left" vertical="center" shrinkToFit="1"/>
      <protection hidden="1"/>
    </xf>
    <xf numFmtId="0" fontId="0" fillId="5" borderId="56" xfId="0" applyFill="1" applyBorder="1" applyAlignment="1" applyProtection="1">
      <alignment horizontal="left" vertical="center" shrinkToFit="1"/>
      <protection hidden="1"/>
    </xf>
    <xf numFmtId="0" fontId="0" fillId="2" borderId="43" xfId="0" applyFill="1" applyBorder="1" applyAlignment="1" applyProtection="1">
      <alignment horizontal="center" vertical="center"/>
      <protection hidden="1"/>
    </xf>
    <xf numFmtId="0" fontId="0" fillId="2" borderId="45" xfId="0" applyFill="1" applyBorder="1" applyAlignment="1" applyProtection="1">
      <alignment horizontal="center" vertical="center"/>
      <protection hidden="1"/>
    </xf>
    <xf numFmtId="0" fontId="4" fillId="2" borderId="5" xfId="0" applyFont="1" applyFill="1" applyBorder="1" applyAlignment="1" applyProtection="1">
      <alignment vertical="center" wrapText="1"/>
      <protection hidden="1"/>
    </xf>
    <xf numFmtId="181" fontId="0" fillId="4" borderId="5" xfId="0" applyNumberFormat="1" applyFill="1" applyBorder="1" applyAlignment="1" applyProtection="1">
      <alignment horizontal="right" vertical="center" shrinkToFit="1"/>
      <protection hidden="1"/>
    </xf>
    <xf numFmtId="0" fontId="0" fillId="2" borderId="5" xfId="0" applyNumberFormat="1" applyFill="1" applyBorder="1" applyAlignment="1" applyProtection="1">
      <alignment horizontal="center" vertical="center" shrinkToFit="1"/>
      <protection hidden="1"/>
    </xf>
    <xf numFmtId="189" fontId="0" fillId="4" borderId="1" xfId="0" applyNumberFormat="1" applyFill="1" applyBorder="1" applyProtection="1">
      <alignment vertical="center"/>
      <protection hidden="1"/>
    </xf>
    <xf numFmtId="190" fontId="8" fillId="4" borderId="1" xfId="2" applyNumberFormat="1" applyFont="1" applyFill="1" applyBorder="1" applyProtection="1">
      <alignment vertical="center"/>
      <protection hidden="1"/>
    </xf>
    <xf numFmtId="178" fontId="8" fillId="2" borderId="5" xfId="2" applyNumberFormat="1" applyFont="1" applyFill="1" applyBorder="1" applyAlignment="1" applyProtection="1">
      <alignment horizontal="center" vertical="center"/>
      <protection hidden="1"/>
    </xf>
    <xf numFmtId="191" fontId="0" fillId="4" borderId="1" xfId="0" applyNumberFormat="1" applyFill="1" applyBorder="1" applyProtection="1">
      <alignment vertical="center"/>
      <protection hidden="1"/>
    </xf>
    <xf numFmtId="0" fontId="4" fillId="2" borderId="11" xfId="0" applyFont="1" applyFill="1" applyBorder="1" applyAlignment="1" applyProtection="1">
      <alignment vertical="center" wrapText="1"/>
      <protection hidden="1"/>
    </xf>
    <xf numFmtId="0" fontId="0" fillId="2" borderId="50" xfId="0" applyNumberFormat="1" applyFill="1" applyBorder="1" applyAlignment="1" applyProtection="1">
      <alignment horizontal="center" vertical="center" shrinkToFit="1"/>
      <protection hidden="1"/>
    </xf>
    <xf numFmtId="189" fontId="0" fillId="4" borderId="14" xfId="0" applyNumberFormat="1" applyFill="1" applyBorder="1" applyProtection="1">
      <alignment vertical="center"/>
      <protection hidden="1"/>
    </xf>
    <xf numFmtId="190" fontId="0" fillId="4" borderId="1" xfId="0" applyNumberFormat="1" applyFill="1" applyBorder="1" applyProtection="1">
      <alignment vertical="center"/>
      <protection hidden="1"/>
    </xf>
    <xf numFmtId="190" fontId="0" fillId="4" borderId="2" xfId="0" applyNumberFormat="1" applyFill="1" applyBorder="1" applyProtection="1">
      <alignment vertical="center"/>
      <protection hidden="1"/>
    </xf>
    <xf numFmtId="0" fontId="0" fillId="0" borderId="36" xfId="0" applyFill="1" applyBorder="1" applyAlignment="1" applyProtection="1">
      <alignment horizontal="left" vertical="center" shrinkToFit="1"/>
      <protection hidden="1"/>
    </xf>
    <xf numFmtId="0" fontId="0" fillId="0" borderId="0" xfId="0" applyFill="1" applyBorder="1" applyAlignment="1" applyProtection="1">
      <alignment horizontal="center" vertical="center" shrinkToFit="1"/>
      <protection hidden="1"/>
    </xf>
    <xf numFmtId="0" fontId="11" fillId="2" borderId="21" xfId="3" applyFont="1" applyFill="1" applyBorder="1" applyAlignment="1" applyProtection="1">
      <alignment horizontal="center" vertical="center"/>
      <protection hidden="1"/>
    </xf>
    <xf numFmtId="0" fontId="11" fillId="4" borderId="15" xfId="3" applyNumberFormat="1" applyFont="1" applyFill="1" applyBorder="1" applyAlignment="1" applyProtection="1">
      <alignment horizontal="center" vertical="center" shrinkToFit="1"/>
      <protection hidden="1"/>
    </xf>
    <xf numFmtId="189" fontId="11" fillId="4" borderId="2" xfId="4" applyNumberFormat="1" applyFont="1" applyFill="1" applyBorder="1" applyAlignment="1" applyProtection="1">
      <alignment horizontal="right" vertical="center" shrinkToFit="1"/>
      <protection hidden="1"/>
    </xf>
    <xf numFmtId="189" fontId="11" fillId="4" borderId="64" xfId="4" applyNumberFormat="1" applyFont="1" applyFill="1" applyBorder="1" applyAlignment="1" applyProtection="1">
      <alignment horizontal="right" vertical="center" shrinkToFit="1"/>
      <protection hidden="1"/>
    </xf>
    <xf numFmtId="189" fontId="11" fillId="4" borderId="35" xfId="4" applyNumberFormat="1" applyFont="1" applyFill="1" applyBorder="1" applyAlignment="1" applyProtection="1">
      <alignment horizontal="right" vertical="center" shrinkToFit="1"/>
      <protection hidden="1"/>
    </xf>
    <xf numFmtId="189" fontId="11" fillId="4" borderId="65" xfId="4" applyNumberFormat="1" applyFont="1" applyFill="1" applyBorder="1" applyAlignment="1" applyProtection="1">
      <alignment horizontal="right" vertical="center" shrinkToFit="1"/>
      <protection hidden="1"/>
    </xf>
    <xf numFmtId="181" fontId="11" fillId="4" borderId="32" xfId="4" applyNumberFormat="1" applyFont="1" applyFill="1" applyBorder="1" applyAlignment="1" applyProtection="1">
      <alignment horizontal="right" vertical="center" shrinkToFit="1"/>
      <protection hidden="1"/>
    </xf>
    <xf numFmtId="0" fontId="11" fillId="2" borderId="22" xfId="3" applyFont="1" applyFill="1" applyBorder="1" applyAlignment="1" applyProtection="1">
      <alignment horizontal="center" vertical="center"/>
      <protection hidden="1"/>
    </xf>
    <xf numFmtId="0" fontId="11" fillId="4" borderId="36" xfId="3" applyNumberFormat="1" applyFont="1" applyFill="1" applyBorder="1" applyAlignment="1" applyProtection="1">
      <alignment horizontal="center" vertical="center" shrinkToFit="1"/>
      <protection hidden="1"/>
    </xf>
    <xf numFmtId="189" fontId="11" fillId="4" borderId="15" xfId="4" applyNumberFormat="1" applyFont="1" applyFill="1" applyBorder="1" applyAlignment="1" applyProtection="1">
      <alignment horizontal="right" vertical="center" shrinkToFit="1"/>
      <protection hidden="1"/>
    </xf>
    <xf numFmtId="181" fontId="11" fillId="4" borderId="34" xfId="4" applyNumberFormat="1" applyFont="1" applyFill="1" applyBorder="1" applyAlignment="1" applyProtection="1">
      <alignment horizontal="right" vertical="center" shrinkToFit="1"/>
      <protection hidden="1"/>
    </xf>
    <xf numFmtId="0" fontId="11" fillId="2" borderId="22" xfId="3" applyFont="1" applyFill="1" applyBorder="1" applyAlignment="1" applyProtection="1">
      <alignment horizontal="center" vertical="center" shrinkToFit="1"/>
      <protection hidden="1"/>
    </xf>
    <xf numFmtId="56" fontId="11" fillId="4" borderId="15" xfId="3" applyNumberFormat="1" applyFont="1" applyFill="1" applyBorder="1" applyAlignment="1" applyProtection="1">
      <alignment horizontal="center" vertical="center" shrinkToFit="1"/>
      <protection hidden="1"/>
    </xf>
    <xf numFmtId="189" fontId="11" fillId="4" borderId="29" xfId="4" applyNumberFormat="1" applyFont="1" applyFill="1" applyBorder="1" applyAlignment="1" applyProtection="1">
      <alignment horizontal="right" vertical="center" shrinkToFit="1"/>
      <protection hidden="1"/>
    </xf>
    <xf numFmtId="189" fontId="11" fillId="4" borderId="37" xfId="4" applyNumberFormat="1" applyFont="1" applyFill="1" applyBorder="1" applyAlignment="1" applyProtection="1">
      <alignment horizontal="right" vertical="center" shrinkToFit="1"/>
      <protection hidden="1"/>
    </xf>
    <xf numFmtId="181" fontId="11" fillId="4" borderId="38" xfId="4" applyNumberFormat="1" applyFont="1" applyFill="1" applyBorder="1" applyAlignment="1" applyProtection="1">
      <alignment horizontal="right" vertical="center" shrinkToFit="1"/>
      <protection hidden="1"/>
    </xf>
  </cellXfs>
  <cellStyles count="5">
    <cellStyle name="パーセント" xfId="2" builtinId="5"/>
    <cellStyle name="桁区切り" xfId="1" builtinId="6"/>
    <cellStyle name="桁区切り 2" xfId="4"/>
    <cellStyle name="標準" xfId="0" builtinId="0"/>
    <cellStyle name="標準 2" xfId="3"/>
  </cellStyles>
  <dxfs count="304">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ill>
        <patternFill>
          <bgColor theme="1"/>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99"/>
        </patternFill>
      </fill>
    </dxf>
    <dxf>
      <fill>
        <patternFill>
          <bgColor rgb="FFF3D1FF"/>
        </patternFill>
      </fill>
    </dxf>
    <dxf>
      <fill>
        <patternFill>
          <bgColor rgb="FFF3D1FF"/>
        </patternFill>
      </fill>
    </dxf>
    <dxf>
      <fill>
        <patternFill>
          <bgColor rgb="FFCC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99"/>
        </patternFill>
      </fill>
    </dxf>
    <dxf>
      <fill>
        <patternFill>
          <bgColor rgb="FFF3D1FF"/>
        </patternFill>
      </fill>
    </dxf>
    <dxf>
      <fill>
        <patternFill>
          <bgColor rgb="FFF3D1FF"/>
        </patternFill>
      </fill>
    </dxf>
    <dxf>
      <fill>
        <patternFill>
          <bgColor rgb="FFCC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99"/>
        </patternFill>
      </fill>
    </dxf>
    <dxf>
      <fill>
        <patternFill>
          <bgColor rgb="FFF3D1FF"/>
        </patternFill>
      </fill>
    </dxf>
    <dxf>
      <fill>
        <patternFill>
          <bgColor rgb="FFF3D1FF"/>
        </patternFill>
      </fill>
    </dxf>
    <dxf>
      <fill>
        <patternFill>
          <bgColor rgb="FFCC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s>
  <tableStyles count="0" defaultTableStyle="TableStyleMedium2" defaultPivotStyle="PivotStyleLight16"/>
  <colors>
    <mruColors>
      <color rgb="FFCCFF99"/>
      <color rgb="FFFFFFC5"/>
      <color rgb="FFFFFF85"/>
      <color rgb="FFD9FFFF"/>
      <color rgb="FFE0FFC1"/>
      <color rgb="FFB7FFFF"/>
      <color rgb="FFF7FECE"/>
      <color rgb="FFFFFFB3"/>
      <color rgb="FFCDFFFF"/>
      <color rgb="FFF3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99061</xdr:colOff>
      <xdr:row>1</xdr:row>
      <xdr:rowOff>83820</xdr:rowOff>
    </xdr:from>
    <xdr:to>
      <xdr:col>11</xdr:col>
      <xdr:colOff>628650</xdr:colOff>
      <xdr:row>28</xdr:row>
      <xdr:rowOff>240462</xdr:rowOff>
    </xdr:to>
    <xdr:pic>
      <xdr:nvPicPr>
        <xdr:cNvPr id="3" name="図 2"/>
        <xdr:cNvPicPr>
          <a:picLocks noChangeAspect="1"/>
        </xdr:cNvPicPr>
      </xdr:nvPicPr>
      <xdr:blipFill rotWithShape="1">
        <a:blip xmlns:r="http://schemas.openxmlformats.org/officeDocument/2006/relationships" r:embed="rId1"/>
        <a:srcRect r="16562"/>
        <a:stretch/>
      </xdr:blipFill>
      <xdr:spPr>
        <a:xfrm>
          <a:off x="99061" y="502920"/>
          <a:ext cx="9225914" cy="6843192"/>
        </a:xfrm>
        <a:prstGeom prst="rect">
          <a:avLst/>
        </a:prstGeom>
      </xdr:spPr>
    </xdr:pic>
    <xdr:clientData/>
  </xdr:twoCellAnchor>
  <xdr:twoCellAnchor editAs="oneCell">
    <xdr:from>
      <xdr:col>12</xdr:col>
      <xdr:colOff>238125</xdr:colOff>
      <xdr:row>1</xdr:row>
      <xdr:rowOff>133351</xdr:rowOff>
    </xdr:from>
    <xdr:to>
      <xdr:col>31</xdr:col>
      <xdr:colOff>563903</xdr:colOff>
      <xdr:row>2</xdr:row>
      <xdr:rowOff>95251</xdr:rowOff>
    </xdr:to>
    <xdr:pic>
      <xdr:nvPicPr>
        <xdr:cNvPr id="2" name="図 1"/>
        <xdr:cNvPicPr>
          <a:picLocks noChangeAspect="1"/>
        </xdr:cNvPicPr>
      </xdr:nvPicPr>
      <xdr:blipFill>
        <a:blip xmlns:r="http://schemas.openxmlformats.org/officeDocument/2006/relationships" r:embed="rId2"/>
        <a:stretch>
          <a:fillRect/>
        </a:stretch>
      </xdr:blipFill>
      <xdr:spPr>
        <a:xfrm>
          <a:off x="9725025" y="552451"/>
          <a:ext cx="15346703" cy="209550"/>
        </a:xfrm>
        <a:prstGeom prst="rect">
          <a:avLst/>
        </a:prstGeom>
      </xdr:spPr>
    </xdr:pic>
    <xdr:clientData/>
  </xdr:twoCellAnchor>
  <xdr:twoCellAnchor>
    <xdr:from>
      <xdr:col>0</xdr:col>
      <xdr:colOff>590550</xdr:colOff>
      <xdr:row>27</xdr:row>
      <xdr:rowOff>156209</xdr:rowOff>
    </xdr:from>
    <xdr:to>
      <xdr:col>11</xdr:col>
      <xdr:colOff>657225</xdr:colOff>
      <xdr:row>28</xdr:row>
      <xdr:rowOff>142874</xdr:rowOff>
    </xdr:to>
    <xdr:sp macro="" textlink="">
      <xdr:nvSpPr>
        <xdr:cNvPr id="4" name="正方形/長方形 3"/>
        <xdr:cNvSpPr/>
      </xdr:nvSpPr>
      <xdr:spPr>
        <a:xfrm>
          <a:off x="590550" y="7014209"/>
          <a:ext cx="8763000" cy="23431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2</xdr:row>
      <xdr:rowOff>219075</xdr:rowOff>
    </xdr:from>
    <xdr:to>
      <xdr:col>12</xdr:col>
      <xdr:colOff>361950</xdr:colOff>
      <xdr:row>27</xdr:row>
      <xdr:rowOff>123827</xdr:rowOff>
    </xdr:to>
    <xdr:cxnSp macro="">
      <xdr:nvCxnSpPr>
        <xdr:cNvPr id="5" name="直線矢印コネクタ 4"/>
        <xdr:cNvCxnSpPr/>
      </xdr:nvCxnSpPr>
      <xdr:spPr>
        <a:xfrm flipV="1">
          <a:off x="8010525" y="885825"/>
          <a:ext cx="1838325" cy="6096002"/>
        </a:xfrm>
        <a:prstGeom prst="straightConnector1">
          <a:avLst/>
        </a:prstGeom>
        <a:ln w="19050">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209549</xdr:colOff>
      <xdr:row>1</xdr:row>
      <xdr:rowOff>85725</xdr:rowOff>
    </xdr:from>
    <xdr:to>
      <xdr:col>31</xdr:col>
      <xdr:colOff>571499</xdr:colOff>
      <xdr:row>2</xdr:row>
      <xdr:rowOff>123825</xdr:rowOff>
    </xdr:to>
    <xdr:sp macro="" textlink="">
      <xdr:nvSpPr>
        <xdr:cNvPr id="6" name="正方形/長方形 5"/>
        <xdr:cNvSpPr/>
      </xdr:nvSpPr>
      <xdr:spPr>
        <a:xfrm>
          <a:off x="9696449" y="504825"/>
          <a:ext cx="15382875" cy="28575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3</xdr:row>
      <xdr:rowOff>0</xdr:rowOff>
    </xdr:from>
    <xdr:to>
      <xdr:col>13</xdr:col>
      <xdr:colOff>320040</xdr:colOff>
      <xdr:row>4</xdr:row>
      <xdr:rowOff>156210</xdr:rowOff>
    </xdr:to>
    <xdr:sp macro="" textlink="">
      <xdr:nvSpPr>
        <xdr:cNvPr id="9" name="右矢印 8"/>
        <xdr:cNvSpPr/>
      </xdr:nvSpPr>
      <xdr:spPr>
        <a:xfrm rot="16200000">
          <a:off x="10235565" y="956310"/>
          <a:ext cx="403860" cy="320040"/>
        </a:xfrm>
        <a:prstGeom prst="rightArrow">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352425</xdr:colOff>
      <xdr:row>2</xdr:row>
      <xdr:rowOff>228600</xdr:rowOff>
    </xdr:from>
    <xdr:to>
      <xdr:col>19</xdr:col>
      <xdr:colOff>672465</xdr:colOff>
      <xdr:row>4</xdr:row>
      <xdr:rowOff>137160</xdr:rowOff>
    </xdr:to>
    <xdr:sp macro="" textlink="">
      <xdr:nvSpPr>
        <xdr:cNvPr id="10" name="右矢印 9"/>
        <xdr:cNvSpPr/>
      </xdr:nvSpPr>
      <xdr:spPr>
        <a:xfrm rot="16200000">
          <a:off x="15331440" y="937260"/>
          <a:ext cx="403860" cy="320040"/>
        </a:xfrm>
        <a:prstGeom prst="rightArrow">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361950</xdr:colOff>
      <xdr:row>2</xdr:row>
      <xdr:rowOff>219075</xdr:rowOff>
    </xdr:from>
    <xdr:to>
      <xdr:col>26</xdr:col>
      <xdr:colOff>681990</xdr:colOff>
      <xdr:row>4</xdr:row>
      <xdr:rowOff>127635</xdr:rowOff>
    </xdr:to>
    <xdr:sp macro="" textlink="">
      <xdr:nvSpPr>
        <xdr:cNvPr id="11" name="右矢印 10"/>
        <xdr:cNvSpPr/>
      </xdr:nvSpPr>
      <xdr:spPr>
        <a:xfrm rot="16200000">
          <a:off x="20874990" y="927735"/>
          <a:ext cx="403860" cy="320040"/>
        </a:xfrm>
        <a:prstGeom prst="rightArrow">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104774</xdr:colOff>
      <xdr:row>5</xdr:row>
      <xdr:rowOff>200025</xdr:rowOff>
    </xdr:from>
    <xdr:to>
      <xdr:col>21</xdr:col>
      <xdr:colOff>285749</xdr:colOff>
      <xdr:row>14</xdr:row>
      <xdr:rowOff>142875</xdr:rowOff>
    </xdr:to>
    <xdr:sp macro="" textlink="">
      <xdr:nvSpPr>
        <xdr:cNvPr id="12" name="正方形/長方形 11"/>
        <xdr:cNvSpPr/>
      </xdr:nvSpPr>
      <xdr:spPr>
        <a:xfrm>
          <a:off x="10382249" y="1609725"/>
          <a:ext cx="6505575" cy="217170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600">
              <a:solidFill>
                <a:sysClr val="windowText" lastClr="000000"/>
              </a:solidFill>
              <a:effectLst/>
              <a:latin typeface="+mn-lt"/>
              <a:ea typeface="+mn-ea"/>
              <a:cs typeface="+mn-cs"/>
            </a:rPr>
            <a:t>◇青色の</a:t>
          </a:r>
          <a:r>
            <a:rPr kumimoji="1" lang="ja-JP" altLang="en-US" sz="1600" b="1">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適合例”の状態にしてご提出ください</a:t>
          </a:r>
          <a:endParaRPr lang="ja-JP" altLang="ja-JP" sz="1600">
            <a:solidFill>
              <a:sysClr val="windowText" lastClr="000000"/>
            </a:solidFill>
            <a:effectLst/>
          </a:endParaRP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1.</a:t>
          </a:r>
          <a:r>
            <a:rPr kumimoji="1" lang="ja-JP" altLang="en-US" sz="1600">
              <a:solidFill>
                <a:sysClr val="windowText" lastClr="000000"/>
              </a:solidFill>
              <a:effectLst/>
              <a:latin typeface="+mn-lt"/>
              <a:ea typeface="+mn-ea"/>
              <a:cs typeface="+mn-cs"/>
            </a:rPr>
            <a:t>換気～比較表</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適合例</a:t>
          </a:r>
          <a:r>
            <a:rPr kumimoji="1" lang="en-US"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2-3.</a:t>
          </a:r>
          <a:r>
            <a:rPr kumimoji="1" lang="ja-JP" altLang="en-US" sz="1600">
              <a:solidFill>
                <a:sysClr val="windowText" lastClr="000000"/>
              </a:solidFill>
              <a:effectLst/>
              <a:latin typeface="+mn-lt"/>
              <a:ea typeface="+mn-ea"/>
              <a:cs typeface="+mn-cs"/>
            </a:rPr>
            <a:t>設備仕様入力</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適合例</a:t>
          </a:r>
          <a:r>
            <a:rPr kumimoji="1" lang="en-US" altLang="ja-JP" sz="1600">
              <a:solidFill>
                <a:sysClr val="windowText" lastClr="000000"/>
              </a:solidFill>
              <a:effectLst/>
              <a:latin typeface="+mn-lt"/>
              <a:ea typeface="+mn-ea"/>
              <a:cs typeface="+mn-cs"/>
            </a:rPr>
            <a:t>)</a:t>
          </a: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4.</a:t>
          </a:r>
          <a:r>
            <a:rPr kumimoji="1" lang="ja-JP" altLang="en-US" sz="1600">
              <a:solidFill>
                <a:sysClr val="windowText" lastClr="000000"/>
              </a:solidFill>
              <a:effectLst/>
              <a:latin typeface="+mn-lt"/>
              <a:ea typeface="+mn-ea"/>
              <a:cs typeface="+mn-cs"/>
            </a:rPr>
            <a:t>エネルギー使用量</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適合例</a:t>
          </a:r>
          <a:r>
            <a:rPr kumimoji="1" lang="en-US" altLang="ja-JP" sz="1600">
              <a:solidFill>
                <a:sysClr val="windowText" lastClr="000000"/>
              </a:solidFill>
              <a:effectLst/>
              <a:latin typeface="+mn-lt"/>
              <a:ea typeface="+mn-ea"/>
              <a:cs typeface="+mn-cs"/>
            </a:rPr>
            <a:t>)</a:t>
          </a:r>
        </a:p>
        <a:p>
          <a:pPr algn="l"/>
          <a:endParaRPr kumimoji="1" lang="ja-JP" altLang="en-US" sz="1100">
            <a:solidFill>
              <a:sysClr val="windowText" lastClr="000000"/>
            </a:solidFill>
          </a:endParaRPr>
        </a:p>
      </xdr:txBody>
    </xdr:sp>
    <xdr:clientData/>
  </xdr:twoCellAnchor>
  <xdr:twoCellAnchor>
    <xdr:from>
      <xdr:col>13</xdr:col>
      <xdr:colOff>133350</xdr:colOff>
      <xdr:row>15</xdr:row>
      <xdr:rowOff>104775</xdr:rowOff>
    </xdr:from>
    <xdr:to>
      <xdr:col>21</xdr:col>
      <xdr:colOff>285750</xdr:colOff>
      <xdr:row>28</xdr:row>
      <xdr:rowOff>114301</xdr:rowOff>
    </xdr:to>
    <xdr:sp macro="" textlink="">
      <xdr:nvSpPr>
        <xdr:cNvPr id="13" name="正方形/長方形 12"/>
        <xdr:cNvSpPr/>
      </xdr:nvSpPr>
      <xdr:spPr>
        <a:xfrm>
          <a:off x="10410825" y="3990975"/>
          <a:ext cx="6477000" cy="3228976"/>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600">
              <a:solidFill>
                <a:sysClr val="windowText" lastClr="000000"/>
              </a:solidFill>
              <a:effectLst/>
              <a:latin typeface="+mn-lt"/>
              <a:ea typeface="+mn-ea"/>
              <a:cs typeface="+mn-cs"/>
            </a:rPr>
            <a:t>◇そのほかは</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入力不足</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と”不適合”となります</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　入力の際の参考にしてください</a:t>
          </a:r>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1.</a:t>
          </a:r>
          <a:r>
            <a:rPr kumimoji="1" lang="ja-JP" altLang="en-US" sz="1600">
              <a:solidFill>
                <a:sysClr val="windowText" lastClr="000000"/>
              </a:solidFill>
              <a:effectLst/>
              <a:latin typeface="+mn-lt"/>
              <a:ea typeface="+mn-ea"/>
              <a:cs typeface="+mn-cs"/>
            </a:rPr>
            <a:t>換気～比較表</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入力不足</a:t>
          </a:r>
          <a:r>
            <a:rPr kumimoji="1" lang="en-US" altLang="ja-JP" sz="1600">
              <a:solidFill>
                <a:sysClr val="windowText" lastClr="000000"/>
              </a:solidFill>
              <a:effectLst/>
              <a:latin typeface="+mn-lt"/>
              <a:ea typeface="+mn-ea"/>
              <a:cs typeface="+mn-cs"/>
            </a:rPr>
            <a:t>)</a:t>
          </a: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1.</a:t>
          </a:r>
          <a:r>
            <a:rPr kumimoji="1" lang="ja-JP" altLang="en-US" sz="1600">
              <a:solidFill>
                <a:sysClr val="windowText" lastClr="000000"/>
              </a:solidFill>
              <a:effectLst/>
              <a:latin typeface="+mn-lt"/>
              <a:ea typeface="+mn-ea"/>
              <a:cs typeface="+mn-cs"/>
            </a:rPr>
            <a:t>換気～比較表 </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不適合</a:t>
          </a:r>
          <a:r>
            <a:rPr kumimoji="1" lang="en-US" altLang="ja-JP" sz="1600">
              <a:solidFill>
                <a:sysClr val="windowText" lastClr="000000"/>
              </a:solidFill>
              <a:effectLst/>
              <a:latin typeface="+mn-lt"/>
              <a:ea typeface="+mn-ea"/>
              <a:cs typeface="+mn-cs"/>
            </a:rPr>
            <a:t>)</a:t>
          </a: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2-3.</a:t>
          </a:r>
          <a:r>
            <a:rPr kumimoji="1" lang="ja-JP" altLang="en-US" sz="1600">
              <a:solidFill>
                <a:sysClr val="windowText" lastClr="000000"/>
              </a:solidFill>
              <a:effectLst/>
              <a:latin typeface="+mn-lt"/>
              <a:ea typeface="+mn-ea"/>
              <a:cs typeface="+mn-cs"/>
            </a:rPr>
            <a:t>設備仕様入力 </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入力不足</a:t>
          </a:r>
          <a:r>
            <a:rPr kumimoji="1" lang="en-US" altLang="ja-JP" sz="1600">
              <a:solidFill>
                <a:sysClr val="windowText" lastClr="000000"/>
              </a:solidFill>
              <a:effectLst/>
              <a:latin typeface="+mn-lt"/>
              <a:ea typeface="+mn-ea"/>
              <a:cs typeface="+mn-cs"/>
            </a:rPr>
            <a:t>)</a:t>
          </a:r>
        </a:p>
        <a:p>
          <a:r>
            <a:rPr kumimoji="1" lang="ja-JP" altLang="en-US"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2-3.</a:t>
          </a:r>
          <a:r>
            <a:rPr kumimoji="1" lang="ja-JP" altLang="en-US" sz="1600">
              <a:solidFill>
                <a:sysClr val="windowText" lastClr="000000"/>
              </a:solidFill>
              <a:effectLst/>
              <a:latin typeface="+mn-lt"/>
              <a:ea typeface="+mn-ea"/>
              <a:cs typeface="+mn-cs"/>
            </a:rPr>
            <a:t>設備仕様入力 </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不適合</a:t>
          </a:r>
          <a:r>
            <a:rPr kumimoji="1" lang="en-US" altLang="ja-JP" sz="1600">
              <a:solidFill>
                <a:sysClr val="windowText" lastClr="000000"/>
              </a:solidFill>
              <a:effectLst/>
              <a:latin typeface="+mn-lt"/>
              <a:ea typeface="+mn-ea"/>
              <a:cs typeface="+mn-cs"/>
            </a:rPr>
            <a:t>)</a:t>
          </a:r>
        </a:p>
        <a:p>
          <a:r>
            <a:rPr lang="ja-JP" altLang="en-US" sz="1600">
              <a:solidFill>
                <a:sysClr val="windowText" lastClr="000000"/>
              </a:solidFill>
              <a:effectLst/>
            </a:rPr>
            <a:t>　・</a:t>
          </a:r>
          <a:r>
            <a:rPr lang="en-US" altLang="ja-JP" sz="1600">
              <a:solidFill>
                <a:sysClr val="windowText" lastClr="000000"/>
              </a:solidFill>
              <a:effectLst/>
            </a:rPr>
            <a:t>4.</a:t>
          </a:r>
          <a:r>
            <a:rPr lang="ja-JP" altLang="en-US" sz="1600">
              <a:solidFill>
                <a:sysClr val="windowText" lastClr="000000"/>
              </a:solidFill>
              <a:effectLst/>
            </a:rPr>
            <a:t>エネルギー使用量 </a:t>
          </a:r>
          <a:r>
            <a:rPr lang="en-US" altLang="ja-JP" sz="1600">
              <a:solidFill>
                <a:sysClr val="windowText" lastClr="000000"/>
              </a:solidFill>
              <a:effectLst/>
            </a:rPr>
            <a:t>(</a:t>
          </a:r>
          <a:r>
            <a:rPr lang="ja-JP" altLang="en-US" sz="1600">
              <a:solidFill>
                <a:sysClr val="windowText" lastClr="000000"/>
              </a:solidFill>
              <a:effectLst/>
            </a:rPr>
            <a:t>入力不足</a:t>
          </a:r>
          <a:r>
            <a:rPr lang="en-US" altLang="ja-JP" sz="1600">
              <a:solidFill>
                <a:sysClr val="windowText" lastClr="000000"/>
              </a:solidFill>
              <a:effectLst/>
            </a:rPr>
            <a:t>)</a:t>
          </a:r>
        </a:p>
        <a:p>
          <a:r>
            <a:rPr lang="ja-JP" altLang="en-US" sz="1600">
              <a:solidFill>
                <a:sysClr val="windowText" lastClr="000000"/>
              </a:solidFill>
              <a:effectLst/>
            </a:rPr>
            <a:t>　・</a:t>
          </a:r>
          <a:r>
            <a:rPr lang="en-US" altLang="ja-JP" sz="1600">
              <a:solidFill>
                <a:sysClr val="windowText" lastClr="000000"/>
              </a:solidFill>
              <a:effectLst/>
            </a:rPr>
            <a:t>4.</a:t>
          </a:r>
          <a:r>
            <a:rPr lang="ja-JP" altLang="en-US" sz="1600">
              <a:solidFill>
                <a:sysClr val="windowText" lastClr="000000"/>
              </a:solidFill>
              <a:effectLst/>
            </a:rPr>
            <a:t>エネルギー使用量 </a:t>
          </a:r>
          <a:r>
            <a:rPr lang="en-US" altLang="ja-JP" sz="1600">
              <a:solidFill>
                <a:sysClr val="windowText" lastClr="000000"/>
              </a:solidFill>
              <a:effectLst/>
            </a:rPr>
            <a:t>(</a:t>
          </a:r>
          <a:r>
            <a:rPr lang="ja-JP" altLang="en-US" sz="1600">
              <a:solidFill>
                <a:sysClr val="windowText" lastClr="000000"/>
              </a:solidFill>
              <a:effectLst/>
            </a:rPr>
            <a:t>不適合</a:t>
          </a:r>
          <a:r>
            <a:rPr lang="en-US" altLang="ja-JP" sz="1600">
              <a:solidFill>
                <a:sysClr val="windowText" lastClr="000000"/>
              </a:solidFill>
              <a:effectLst/>
            </a:rPr>
            <a:t>)</a:t>
          </a:r>
          <a:endParaRPr lang="ja-JP" altLang="ja-JP" sz="1600">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304800</xdr:colOff>
      <xdr:row>1</xdr:row>
      <xdr:rowOff>53340</xdr:rowOff>
    </xdr:from>
    <xdr:to>
      <xdr:col>9</xdr:col>
      <xdr:colOff>697707</xdr:colOff>
      <xdr:row>15</xdr:row>
      <xdr:rowOff>127846</xdr:rowOff>
    </xdr:to>
    <xdr:sp macro="" textlink="">
      <xdr:nvSpPr>
        <xdr:cNvPr id="2" name="右中かっこ 1"/>
        <xdr:cNvSpPr/>
      </xdr:nvSpPr>
      <xdr:spPr>
        <a:xfrm>
          <a:off x="8382000" y="274320"/>
          <a:ext cx="392907" cy="348826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906917</xdr:colOff>
      <xdr:row>6</xdr:row>
      <xdr:rowOff>195875</xdr:rowOff>
    </xdr:from>
    <xdr:to>
      <xdr:col>12</xdr:col>
      <xdr:colOff>826159</xdr:colOff>
      <xdr:row>10</xdr:row>
      <xdr:rowOff>103013</xdr:rowOff>
    </xdr:to>
    <xdr:sp macro="" textlink="">
      <xdr:nvSpPr>
        <xdr:cNvPr id="3" name="テキスト ボックス 2"/>
        <xdr:cNvSpPr txBox="1"/>
      </xdr:nvSpPr>
      <xdr:spPr>
        <a:xfrm>
          <a:off x="8984117" y="1636055"/>
          <a:ext cx="2822462" cy="88249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6</xdr:col>
      <xdr:colOff>0</xdr:colOff>
      <xdr:row>18</xdr:row>
      <xdr:rowOff>0</xdr:rowOff>
    </xdr:from>
    <xdr:to>
      <xdr:col>13</xdr:col>
      <xdr:colOff>950595</xdr:colOff>
      <xdr:row>19</xdr:row>
      <xdr:rowOff>2208</xdr:rowOff>
    </xdr:to>
    <xdr:sp macro="" textlink="">
      <xdr:nvSpPr>
        <xdr:cNvPr id="5" name="正方形/長方形 4"/>
        <xdr:cNvSpPr/>
      </xdr:nvSpPr>
      <xdr:spPr>
        <a:xfrm>
          <a:off x="5173980" y="4343400"/>
          <a:ext cx="7724775" cy="543228"/>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397933</xdr:colOff>
      <xdr:row>0</xdr:row>
      <xdr:rowOff>110067</xdr:rowOff>
    </xdr:from>
    <xdr:to>
      <xdr:col>16</xdr:col>
      <xdr:colOff>101600</xdr:colOff>
      <xdr:row>6</xdr:row>
      <xdr:rowOff>50800</xdr:rowOff>
    </xdr:to>
    <xdr:sp macro="" textlink="">
      <xdr:nvSpPr>
        <xdr:cNvPr id="13" name="テキスト ボックス 12"/>
        <xdr:cNvSpPr txBox="1"/>
      </xdr:nvSpPr>
      <xdr:spPr>
        <a:xfrm>
          <a:off x="12319000" y="110067"/>
          <a:ext cx="2599267" cy="1388533"/>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6</xdr:col>
      <xdr:colOff>414867</xdr:colOff>
      <xdr:row>22</xdr:row>
      <xdr:rowOff>135465</xdr:rowOff>
    </xdr:from>
    <xdr:to>
      <xdr:col>12</xdr:col>
      <xdr:colOff>853924</xdr:colOff>
      <xdr:row>32</xdr:row>
      <xdr:rowOff>59267</xdr:rowOff>
    </xdr:to>
    <xdr:sp macro="" textlink="">
      <xdr:nvSpPr>
        <xdr:cNvPr id="15" name="線吹き出し 1 (枠付き) 14"/>
        <xdr:cNvSpPr/>
      </xdr:nvSpPr>
      <xdr:spPr>
        <a:xfrm>
          <a:off x="5579534" y="5782732"/>
          <a:ext cx="6230257" cy="2023535"/>
        </a:xfrm>
        <a:prstGeom prst="borderCallout1">
          <a:avLst>
            <a:gd name="adj1" fmla="val -154"/>
            <a:gd name="adj2" fmla="val 40308"/>
            <a:gd name="adj3" fmla="val -43441"/>
            <a:gd name="adj4" fmla="val 4758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記入内容が要件を満たさない場合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中小規模事業所の要件を満たしていないため、申請できません。</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燃料・熱・電気の使用量を原油に換算した合計の量が</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年間</a:t>
          </a:r>
          <a:r>
            <a:rPr kumimoji="1" lang="en-US" altLang="ja-JP" sz="1400">
              <a:solidFill>
                <a:sysClr val="windowText" lastClr="000000"/>
              </a:solidFill>
              <a:latin typeface="メイリオ" panose="020B0604030504040204" pitchFamily="50" charset="-128"/>
              <a:ea typeface="メイリオ" panose="020B0604030504040204" pitchFamily="50" charset="-128"/>
            </a:rPr>
            <a:t>1,500kL</a:t>
          </a:r>
          <a:r>
            <a:rPr kumimoji="1" lang="ja-JP" altLang="en-US" sz="1400">
              <a:solidFill>
                <a:sysClr val="windowText" lastClr="000000"/>
              </a:solidFill>
              <a:latin typeface="メイリオ" panose="020B0604030504040204" pitchFamily="50" charset="-128"/>
              <a:ea typeface="メイリオ" panose="020B0604030504040204" pitchFamily="50" charset="-128"/>
            </a:rPr>
            <a:t>以上の場合、申請できません。</a:t>
          </a:r>
        </a:p>
      </xdr:txBody>
    </xdr:sp>
    <xdr:clientData/>
  </xdr:twoCellAnchor>
  <xdr:twoCellAnchor>
    <xdr:from>
      <xdr:col>15</xdr:col>
      <xdr:colOff>0</xdr:colOff>
      <xdr:row>23</xdr:row>
      <xdr:rowOff>0</xdr:rowOff>
    </xdr:from>
    <xdr:to>
      <xdr:col>16</xdr:col>
      <xdr:colOff>0</xdr:colOff>
      <xdr:row>25</xdr:row>
      <xdr:rowOff>8467</xdr:rowOff>
    </xdr:to>
    <xdr:sp macro="" textlink="">
      <xdr:nvSpPr>
        <xdr:cNvPr id="7" name="正方形/長方形 6"/>
        <xdr:cNvSpPr/>
      </xdr:nvSpPr>
      <xdr:spPr>
        <a:xfrm>
          <a:off x="13851467" y="6129867"/>
          <a:ext cx="965200" cy="4826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0</xdr:colOff>
      <xdr:row>35</xdr:row>
      <xdr:rowOff>0</xdr:rowOff>
    </xdr:from>
    <xdr:to>
      <xdr:col>16</xdr:col>
      <xdr:colOff>0</xdr:colOff>
      <xdr:row>36</xdr:row>
      <xdr:rowOff>237066</xdr:rowOff>
    </xdr:to>
    <xdr:sp macro="" textlink="">
      <xdr:nvSpPr>
        <xdr:cNvPr id="8" name="正方形/長方形 7"/>
        <xdr:cNvSpPr/>
      </xdr:nvSpPr>
      <xdr:spPr>
        <a:xfrm>
          <a:off x="13851467" y="8703733"/>
          <a:ext cx="965200" cy="4826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872066</xdr:colOff>
      <xdr:row>30</xdr:row>
      <xdr:rowOff>84667</xdr:rowOff>
    </xdr:from>
    <xdr:to>
      <xdr:col>15</xdr:col>
      <xdr:colOff>0</xdr:colOff>
      <xdr:row>35</xdr:row>
      <xdr:rowOff>241300</xdr:rowOff>
    </xdr:to>
    <xdr:cxnSp macro="">
      <xdr:nvCxnSpPr>
        <xdr:cNvPr id="10" name="直線コネクタ 9"/>
        <xdr:cNvCxnSpPr>
          <a:stCxn id="8" idx="1"/>
        </xdr:cNvCxnSpPr>
      </xdr:nvCxnSpPr>
      <xdr:spPr>
        <a:xfrm flipH="1" flipV="1">
          <a:off x="11827933" y="7391400"/>
          <a:ext cx="2023534" cy="155363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853924</xdr:colOff>
      <xdr:row>24</xdr:row>
      <xdr:rowOff>4234</xdr:rowOff>
    </xdr:from>
    <xdr:to>
      <xdr:col>15</xdr:col>
      <xdr:colOff>0</xdr:colOff>
      <xdr:row>25</xdr:row>
      <xdr:rowOff>190500</xdr:rowOff>
    </xdr:to>
    <xdr:cxnSp macro="">
      <xdr:nvCxnSpPr>
        <xdr:cNvPr id="19" name="直線コネクタ 18"/>
        <xdr:cNvCxnSpPr>
          <a:stCxn id="7" idx="1"/>
          <a:endCxn id="15" idx="0"/>
        </xdr:cNvCxnSpPr>
      </xdr:nvCxnSpPr>
      <xdr:spPr>
        <a:xfrm flipH="1">
          <a:off x="11809791" y="6371167"/>
          <a:ext cx="2041676" cy="42333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381000</xdr:colOff>
      <xdr:row>1</xdr:row>
      <xdr:rowOff>57150</xdr:rowOff>
    </xdr:from>
    <xdr:to>
      <xdr:col>11</xdr:col>
      <xdr:colOff>773907</xdr:colOff>
      <xdr:row>16</xdr:row>
      <xdr:rowOff>237331</xdr:rowOff>
    </xdr:to>
    <xdr:sp macro="" textlink="">
      <xdr:nvSpPr>
        <xdr:cNvPr id="2" name="右中かっこ 1"/>
        <xdr:cNvSpPr/>
      </xdr:nvSpPr>
      <xdr:spPr>
        <a:xfrm>
          <a:off x="9010650" y="276225"/>
          <a:ext cx="392907" cy="389493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77789</xdr:colOff>
      <xdr:row>7</xdr:row>
      <xdr:rowOff>53182</xdr:rowOff>
    </xdr:from>
    <xdr:to>
      <xdr:col>15</xdr:col>
      <xdr:colOff>227808</xdr:colOff>
      <xdr:row>10</xdr:row>
      <xdr:rowOff>227807</xdr:rowOff>
    </xdr:to>
    <xdr:sp macro="" textlink="">
      <xdr:nvSpPr>
        <xdr:cNvPr id="3" name="テキスト ボックス 2"/>
        <xdr:cNvSpPr txBox="1"/>
      </xdr:nvSpPr>
      <xdr:spPr>
        <a:xfrm>
          <a:off x="9602789" y="1758157"/>
          <a:ext cx="2836069" cy="9175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9</xdr:col>
      <xdr:colOff>598396</xdr:colOff>
      <xdr:row>23</xdr:row>
      <xdr:rowOff>212841</xdr:rowOff>
    </xdr:from>
    <xdr:to>
      <xdr:col>16</xdr:col>
      <xdr:colOff>342900</xdr:colOff>
      <xdr:row>24</xdr:row>
      <xdr:rowOff>300040</xdr:rowOff>
    </xdr:to>
    <xdr:sp macro="" textlink="">
      <xdr:nvSpPr>
        <xdr:cNvPr id="4" name="線吹き出し 1 (枠付き) 3"/>
        <xdr:cNvSpPr/>
      </xdr:nvSpPr>
      <xdr:spPr>
        <a:xfrm>
          <a:off x="7437346" y="6680316"/>
          <a:ext cx="6011954" cy="830149"/>
        </a:xfrm>
        <a:prstGeom prst="borderCallout1">
          <a:avLst>
            <a:gd name="adj1" fmla="val -2083"/>
            <a:gd name="adj2" fmla="val 33334"/>
            <a:gd name="adj3" fmla="val -126718"/>
            <a:gd name="adj4" fmla="val 4610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必要換気量に係る要件を満たしています。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8</xdr:col>
      <xdr:colOff>9525</xdr:colOff>
      <xdr:row>20</xdr:row>
      <xdr:rowOff>9525</xdr:rowOff>
    </xdr:from>
    <xdr:to>
      <xdr:col>16</xdr:col>
      <xdr:colOff>885825</xdr:colOff>
      <xdr:row>21</xdr:row>
      <xdr:rowOff>14061</xdr:rowOff>
    </xdr:to>
    <xdr:sp macro="" textlink="">
      <xdr:nvSpPr>
        <xdr:cNvPr id="5" name="正方形/長方形 4"/>
        <xdr:cNvSpPr/>
      </xdr:nvSpPr>
      <xdr:spPr>
        <a:xfrm>
          <a:off x="5953125" y="5000625"/>
          <a:ext cx="8039100" cy="633186"/>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241300</xdr:colOff>
      <xdr:row>31</xdr:row>
      <xdr:rowOff>88900</xdr:rowOff>
    </xdr:from>
    <xdr:to>
      <xdr:col>8</xdr:col>
      <xdr:colOff>564357</xdr:colOff>
      <xdr:row>34</xdr:row>
      <xdr:rowOff>533400</xdr:rowOff>
    </xdr:to>
    <xdr:sp macro="" textlink="">
      <xdr:nvSpPr>
        <xdr:cNvPr id="6" name="右中かっこ 5"/>
        <xdr:cNvSpPr/>
      </xdr:nvSpPr>
      <xdr:spPr>
        <a:xfrm>
          <a:off x="6223000" y="11531600"/>
          <a:ext cx="323057" cy="23114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770846</xdr:colOff>
      <xdr:row>32</xdr:row>
      <xdr:rowOff>134144</xdr:rowOff>
    </xdr:from>
    <xdr:to>
      <xdr:col>13</xdr:col>
      <xdr:colOff>516846</xdr:colOff>
      <xdr:row>33</xdr:row>
      <xdr:rowOff>449263</xdr:rowOff>
    </xdr:to>
    <xdr:sp macro="" textlink="">
      <xdr:nvSpPr>
        <xdr:cNvPr id="7" name="テキスト ボックス 6"/>
        <xdr:cNvSpPr txBox="1"/>
      </xdr:nvSpPr>
      <xdr:spPr>
        <a:xfrm>
          <a:off x="6714446" y="12373769"/>
          <a:ext cx="4222750" cy="94376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要件の判定欄です。</a:t>
          </a:r>
          <a:endParaRPr kumimoji="1" lang="en-US" altLang="ja-JP" sz="1400">
            <a:solidFill>
              <a:srgbClr val="FF0000"/>
            </a:solidFill>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要件を満たす場合、”</a:t>
          </a:r>
          <a:r>
            <a:rPr kumimoji="1" lang="ja-JP" altLang="en-US" sz="1400">
              <a:solidFill>
                <a:srgbClr val="FF0000"/>
              </a:solidFill>
              <a:latin typeface="メイリオ" panose="020B0604030504040204" pitchFamily="50" charset="-128"/>
              <a:ea typeface="メイリオ" panose="020B0604030504040204" pitchFamily="50" charset="-128"/>
            </a:rPr>
            <a:t>適合</a:t>
          </a:r>
          <a:r>
            <a:rPr kumimoji="1" lang="ja-JP" altLang="en-US" sz="1400">
              <a:latin typeface="メイリオ" panose="020B0604030504040204" pitchFamily="50" charset="-128"/>
              <a:ea typeface="メイリオ" panose="020B0604030504040204" pitchFamily="50" charset="-128"/>
            </a:rPr>
            <a:t>”　と表示されます。</a:t>
          </a:r>
        </a:p>
      </xdr:txBody>
    </xdr:sp>
    <xdr:clientData/>
  </xdr:twoCellAnchor>
  <xdr:twoCellAnchor>
    <xdr:from>
      <xdr:col>18</xdr:col>
      <xdr:colOff>812800</xdr:colOff>
      <xdr:row>0</xdr:row>
      <xdr:rowOff>101600</xdr:rowOff>
    </xdr:from>
    <xdr:to>
      <xdr:col>23</xdr:col>
      <xdr:colOff>800100</xdr:colOff>
      <xdr:row>9</xdr:row>
      <xdr:rowOff>76200</xdr:rowOff>
    </xdr:to>
    <xdr:sp macro="" textlink="">
      <xdr:nvSpPr>
        <xdr:cNvPr id="8" name="テキスト ボックス 7"/>
        <xdr:cNvSpPr txBox="1"/>
      </xdr:nvSpPr>
      <xdr:spPr>
        <a:xfrm>
          <a:off x="15811500" y="101600"/>
          <a:ext cx="4495800" cy="212090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8</xdr:col>
      <xdr:colOff>193963</xdr:colOff>
      <xdr:row>29</xdr:row>
      <xdr:rowOff>69272</xdr:rowOff>
    </xdr:from>
    <xdr:to>
      <xdr:col>8</xdr:col>
      <xdr:colOff>651163</xdr:colOff>
      <xdr:row>30</xdr:row>
      <xdr:rowOff>583044</xdr:rowOff>
    </xdr:to>
    <xdr:sp macro="" textlink="">
      <xdr:nvSpPr>
        <xdr:cNvPr id="9" name="右中かっこ 8"/>
        <xdr:cNvSpPr/>
      </xdr:nvSpPr>
      <xdr:spPr>
        <a:xfrm>
          <a:off x="6151418" y="10432472"/>
          <a:ext cx="457200" cy="113722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862055</xdr:colOff>
      <xdr:row>29</xdr:row>
      <xdr:rowOff>120942</xdr:rowOff>
    </xdr:from>
    <xdr:to>
      <xdr:col>14</xdr:col>
      <xdr:colOff>651164</xdr:colOff>
      <xdr:row>30</xdr:row>
      <xdr:rowOff>512618</xdr:rowOff>
    </xdr:to>
    <xdr:sp macro="" textlink="">
      <xdr:nvSpPr>
        <xdr:cNvPr id="10" name="テキスト ボックス 9"/>
        <xdr:cNvSpPr txBox="1"/>
      </xdr:nvSpPr>
      <xdr:spPr>
        <a:xfrm>
          <a:off x="6819510" y="10484142"/>
          <a:ext cx="5192381" cy="1015131"/>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有効換気量は、</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ダクトなどの</a:t>
          </a:r>
          <a:r>
            <a:rPr kumimoji="1" lang="ja-JP" altLang="en-US" sz="1400">
              <a:solidFill>
                <a:srgbClr val="FF0000"/>
              </a:solidFill>
              <a:latin typeface="メイリオ" panose="020B0604030504040204" pitchFamily="50" charset="-128"/>
              <a:ea typeface="メイリオ" panose="020B0604030504040204" pitchFamily="50" charset="-128"/>
            </a:rPr>
            <a:t>圧力損失・静圧等</a:t>
          </a:r>
          <a:r>
            <a:rPr kumimoji="1" lang="ja-JP" altLang="en-US" sz="1400">
              <a:solidFill>
                <a:sysClr val="windowText" lastClr="000000"/>
              </a:solidFill>
              <a:latin typeface="メイリオ" panose="020B0604030504040204" pitchFamily="50" charset="-128"/>
              <a:ea typeface="メイリオ" panose="020B0604030504040204" pitchFamily="50" charset="-128"/>
            </a:rPr>
            <a:t>を考慮した換気量になります。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381000</xdr:colOff>
      <xdr:row>1</xdr:row>
      <xdr:rowOff>57150</xdr:rowOff>
    </xdr:from>
    <xdr:to>
      <xdr:col>11</xdr:col>
      <xdr:colOff>773907</xdr:colOff>
      <xdr:row>16</xdr:row>
      <xdr:rowOff>237331</xdr:rowOff>
    </xdr:to>
    <xdr:sp macro="" textlink="">
      <xdr:nvSpPr>
        <xdr:cNvPr id="2" name="右中かっこ 1"/>
        <xdr:cNvSpPr/>
      </xdr:nvSpPr>
      <xdr:spPr>
        <a:xfrm>
          <a:off x="9044940" y="278130"/>
          <a:ext cx="392907" cy="383778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77789</xdr:colOff>
      <xdr:row>7</xdr:row>
      <xdr:rowOff>53182</xdr:rowOff>
    </xdr:from>
    <xdr:to>
      <xdr:col>15</xdr:col>
      <xdr:colOff>227808</xdr:colOff>
      <xdr:row>10</xdr:row>
      <xdr:rowOff>227807</xdr:rowOff>
    </xdr:to>
    <xdr:sp macro="" textlink="">
      <xdr:nvSpPr>
        <xdr:cNvPr id="3" name="テキスト ボックス 2"/>
        <xdr:cNvSpPr txBox="1"/>
      </xdr:nvSpPr>
      <xdr:spPr>
        <a:xfrm>
          <a:off x="9640889" y="1737202"/>
          <a:ext cx="2847499" cy="90614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8</xdr:col>
      <xdr:colOff>9525</xdr:colOff>
      <xdr:row>20</xdr:row>
      <xdr:rowOff>9525</xdr:rowOff>
    </xdr:from>
    <xdr:to>
      <xdr:col>16</xdr:col>
      <xdr:colOff>885825</xdr:colOff>
      <xdr:row>21</xdr:row>
      <xdr:rowOff>14061</xdr:rowOff>
    </xdr:to>
    <xdr:sp macro="" textlink="">
      <xdr:nvSpPr>
        <xdr:cNvPr id="5" name="正方形/長方形 4"/>
        <xdr:cNvSpPr/>
      </xdr:nvSpPr>
      <xdr:spPr>
        <a:xfrm>
          <a:off x="5975985" y="4932045"/>
          <a:ext cx="8069580" cy="629376"/>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241300</xdr:colOff>
      <xdr:row>31</xdr:row>
      <xdr:rowOff>88900</xdr:rowOff>
    </xdr:from>
    <xdr:to>
      <xdr:col>8</xdr:col>
      <xdr:colOff>564357</xdr:colOff>
      <xdr:row>34</xdr:row>
      <xdr:rowOff>533400</xdr:rowOff>
    </xdr:to>
    <xdr:sp macro="" textlink="">
      <xdr:nvSpPr>
        <xdr:cNvPr id="6" name="右中かっこ 5"/>
        <xdr:cNvSpPr/>
      </xdr:nvSpPr>
      <xdr:spPr>
        <a:xfrm>
          <a:off x="6207760" y="11595100"/>
          <a:ext cx="323057" cy="231902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770846</xdr:colOff>
      <xdr:row>32</xdr:row>
      <xdr:rowOff>134144</xdr:rowOff>
    </xdr:from>
    <xdr:to>
      <xdr:col>13</xdr:col>
      <xdr:colOff>516846</xdr:colOff>
      <xdr:row>33</xdr:row>
      <xdr:rowOff>449263</xdr:rowOff>
    </xdr:to>
    <xdr:sp macro="" textlink="">
      <xdr:nvSpPr>
        <xdr:cNvPr id="7" name="テキスト ボックス 6"/>
        <xdr:cNvSpPr txBox="1"/>
      </xdr:nvSpPr>
      <xdr:spPr>
        <a:xfrm>
          <a:off x="6737306" y="12265184"/>
          <a:ext cx="4241800" cy="93995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要件の判定欄です。</a:t>
          </a:r>
          <a:endParaRPr kumimoji="1" lang="en-US" altLang="ja-JP" sz="1400">
            <a:solidFill>
              <a:srgbClr val="FF0000"/>
            </a:solidFill>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要件を満たす場合、”</a:t>
          </a:r>
          <a:r>
            <a:rPr kumimoji="1" lang="ja-JP" altLang="en-US" sz="1400">
              <a:solidFill>
                <a:srgbClr val="FF0000"/>
              </a:solidFill>
              <a:latin typeface="メイリオ" panose="020B0604030504040204" pitchFamily="50" charset="-128"/>
              <a:ea typeface="メイリオ" panose="020B0604030504040204" pitchFamily="50" charset="-128"/>
            </a:rPr>
            <a:t>適合</a:t>
          </a:r>
          <a:r>
            <a:rPr kumimoji="1" lang="ja-JP" altLang="en-US" sz="1400">
              <a:latin typeface="メイリオ" panose="020B0604030504040204" pitchFamily="50" charset="-128"/>
              <a:ea typeface="メイリオ" panose="020B0604030504040204" pitchFamily="50" charset="-128"/>
            </a:rPr>
            <a:t>”　と表示されます。</a:t>
          </a:r>
        </a:p>
      </xdr:txBody>
    </xdr:sp>
    <xdr:clientData/>
  </xdr:twoCellAnchor>
  <xdr:twoCellAnchor>
    <xdr:from>
      <xdr:col>18</xdr:col>
      <xdr:colOff>825500</xdr:colOff>
      <xdr:row>0</xdr:row>
      <xdr:rowOff>114300</xdr:rowOff>
    </xdr:from>
    <xdr:to>
      <xdr:col>23</xdr:col>
      <xdr:colOff>805543</xdr:colOff>
      <xdr:row>9</xdr:row>
      <xdr:rowOff>103414</xdr:rowOff>
    </xdr:to>
    <xdr:sp macro="" textlink="">
      <xdr:nvSpPr>
        <xdr:cNvPr id="9" name="テキスト ボックス 8"/>
        <xdr:cNvSpPr txBox="1"/>
      </xdr:nvSpPr>
      <xdr:spPr>
        <a:xfrm>
          <a:off x="15824200" y="114300"/>
          <a:ext cx="4488543" cy="2135414"/>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b="1">
              <a:solidFill>
                <a:srgbClr val="FF0000"/>
              </a:solidFill>
              <a:latin typeface="メイリオ" panose="020B0604030504040204" pitchFamily="50" charset="-128"/>
              <a:ea typeface="メイリオ" panose="020B0604030504040204" pitchFamily="50" charset="-128"/>
            </a:rPr>
            <a:t>入力不足</a:t>
          </a:r>
        </a:p>
      </xdr:txBody>
    </xdr:sp>
    <xdr:clientData/>
  </xdr:twoCellAnchor>
  <xdr:twoCellAnchor>
    <xdr:from>
      <xdr:col>6</xdr:col>
      <xdr:colOff>900249</xdr:colOff>
      <xdr:row>26</xdr:row>
      <xdr:rowOff>310243</xdr:rowOff>
    </xdr:from>
    <xdr:to>
      <xdr:col>8</xdr:col>
      <xdr:colOff>152400</xdr:colOff>
      <xdr:row>28</xdr:row>
      <xdr:rowOff>304800</xdr:rowOff>
    </xdr:to>
    <xdr:cxnSp macro="">
      <xdr:nvCxnSpPr>
        <xdr:cNvPr id="10" name="直線コネクタ 9"/>
        <xdr:cNvCxnSpPr>
          <a:stCxn id="12" idx="3"/>
        </xdr:cNvCxnSpPr>
      </xdr:nvCxnSpPr>
      <xdr:spPr>
        <a:xfrm>
          <a:off x="5068389" y="8707483"/>
          <a:ext cx="1050471" cy="124423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3265</xdr:colOff>
      <xdr:row>28</xdr:row>
      <xdr:rowOff>609600</xdr:rowOff>
    </xdr:from>
    <xdr:to>
      <xdr:col>7</xdr:col>
      <xdr:colOff>-1</xdr:colOff>
      <xdr:row>29</xdr:row>
      <xdr:rowOff>609601</xdr:rowOff>
    </xdr:to>
    <xdr:sp macro="" textlink="">
      <xdr:nvSpPr>
        <xdr:cNvPr id="11" name="正方形/長方形 10"/>
        <xdr:cNvSpPr/>
      </xdr:nvSpPr>
      <xdr:spPr>
        <a:xfrm>
          <a:off x="4171405" y="10256520"/>
          <a:ext cx="895894" cy="624841"/>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0</xdr:colOff>
      <xdr:row>26</xdr:row>
      <xdr:rowOff>0</xdr:rowOff>
    </xdr:from>
    <xdr:to>
      <xdr:col>6</xdr:col>
      <xdr:colOff>900249</xdr:colOff>
      <xdr:row>27</xdr:row>
      <xdr:rowOff>0</xdr:rowOff>
    </xdr:to>
    <xdr:sp macro="" textlink="">
      <xdr:nvSpPr>
        <xdr:cNvPr id="12" name="正方形/長方形 11"/>
        <xdr:cNvSpPr/>
      </xdr:nvSpPr>
      <xdr:spPr>
        <a:xfrm>
          <a:off x="4168140" y="8397240"/>
          <a:ext cx="900249" cy="62484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28</xdr:row>
      <xdr:rowOff>114300</xdr:rowOff>
    </xdr:from>
    <xdr:to>
      <xdr:col>11</xdr:col>
      <xdr:colOff>844667</xdr:colOff>
      <xdr:row>29</xdr:row>
      <xdr:rowOff>432369</xdr:rowOff>
    </xdr:to>
    <xdr:sp macro="" textlink="">
      <xdr:nvSpPr>
        <xdr:cNvPr id="13" name="線吹き出し 1 (枠付き) 12"/>
        <xdr:cNvSpPr/>
      </xdr:nvSpPr>
      <xdr:spPr>
        <a:xfrm>
          <a:off x="6134100" y="9690100"/>
          <a:ext cx="3397367" cy="940369"/>
        </a:xfrm>
        <a:prstGeom prst="borderCallout1">
          <a:avLst>
            <a:gd name="adj1" fmla="val 59196"/>
            <a:gd name="adj2" fmla="val -560"/>
            <a:gd name="adj3" fmla="val 90871"/>
            <a:gd name="adj4" fmla="val -3127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選択や記入漏れのセルを確認の上、</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適切に記入してください。</a:t>
          </a:r>
        </a:p>
      </xdr:txBody>
    </xdr:sp>
    <xdr:clientData/>
  </xdr:twoCellAnchor>
  <xdr:twoCellAnchor>
    <xdr:from>
      <xdr:col>9</xdr:col>
      <xdr:colOff>254000</xdr:colOff>
      <xdr:row>23</xdr:row>
      <xdr:rowOff>266700</xdr:rowOff>
    </xdr:from>
    <xdr:to>
      <xdr:col>15</xdr:col>
      <xdr:colOff>152400</xdr:colOff>
      <xdr:row>25</xdr:row>
      <xdr:rowOff>203200</xdr:rowOff>
    </xdr:to>
    <xdr:sp macro="" textlink="">
      <xdr:nvSpPr>
        <xdr:cNvPr id="14" name="線吹き出し 1 (枠付き) 13"/>
        <xdr:cNvSpPr/>
      </xdr:nvSpPr>
      <xdr:spPr>
        <a:xfrm>
          <a:off x="7137400" y="6616700"/>
          <a:ext cx="5308600" cy="1295400"/>
        </a:xfrm>
        <a:prstGeom prst="borderCallout1">
          <a:avLst>
            <a:gd name="adj1" fmla="val 1703"/>
            <a:gd name="adj2" fmla="val 39696"/>
            <a:gd name="adj3" fmla="val -84728"/>
            <a:gd name="adj4" fmla="val 5651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必要事項の記入漏れがある場合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「換気設備導入前後の比較表」の入力をご確認ください。</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　と表示されます。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381000</xdr:colOff>
      <xdr:row>1</xdr:row>
      <xdr:rowOff>57150</xdr:rowOff>
    </xdr:from>
    <xdr:to>
      <xdr:col>11</xdr:col>
      <xdr:colOff>773907</xdr:colOff>
      <xdr:row>16</xdr:row>
      <xdr:rowOff>237331</xdr:rowOff>
    </xdr:to>
    <xdr:sp macro="" textlink="">
      <xdr:nvSpPr>
        <xdr:cNvPr id="2" name="右中かっこ 1"/>
        <xdr:cNvSpPr/>
      </xdr:nvSpPr>
      <xdr:spPr>
        <a:xfrm>
          <a:off x="9044940" y="278130"/>
          <a:ext cx="392907" cy="383778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77789</xdr:colOff>
      <xdr:row>7</xdr:row>
      <xdr:rowOff>53182</xdr:rowOff>
    </xdr:from>
    <xdr:to>
      <xdr:col>15</xdr:col>
      <xdr:colOff>227808</xdr:colOff>
      <xdr:row>10</xdr:row>
      <xdr:rowOff>227807</xdr:rowOff>
    </xdr:to>
    <xdr:sp macro="" textlink="">
      <xdr:nvSpPr>
        <xdr:cNvPr id="3" name="テキスト ボックス 2"/>
        <xdr:cNvSpPr txBox="1"/>
      </xdr:nvSpPr>
      <xdr:spPr>
        <a:xfrm>
          <a:off x="9640889" y="1737202"/>
          <a:ext cx="2847499" cy="90614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8</xdr:col>
      <xdr:colOff>9525</xdr:colOff>
      <xdr:row>20</xdr:row>
      <xdr:rowOff>9525</xdr:rowOff>
    </xdr:from>
    <xdr:to>
      <xdr:col>16</xdr:col>
      <xdr:colOff>885825</xdr:colOff>
      <xdr:row>21</xdr:row>
      <xdr:rowOff>14061</xdr:rowOff>
    </xdr:to>
    <xdr:sp macro="" textlink="">
      <xdr:nvSpPr>
        <xdr:cNvPr id="5" name="正方形/長方形 4"/>
        <xdr:cNvSpPr/>
      </xdr:nvSpPr>
      <xdr:spPr>
        <a:xfrm>
          <a:off x="5975985" y="4932045"/>
          <a:ext cx="8069580" cy="629376"/>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241300</xdr:colOff>
      <xdr:row>31</xdr:row>
      <xdr:rowOff>88900</xdr:rowOff>
    </xdr:from>
    <xdr:to>
      <xdr:col>8</xdr:col>
      <xdr:colOff>564357</xdr:colOff>
      <xdr:row>34</xdr:row>
      <xdr:rowOff>533400</xdr:rowOff>
    </xdr:to>
    <xdr:sp macro="" textlink="">
      <xdr:nvSpPr>
        <xdr:cNvPr id="6" name="右中かっこ 5"/>
        <xdr:cNvSpPr/>
      </xdr:nvSpPr>
      <xdr:spPr>
        <a:xfrm>
          <a:off x="6207760" y="11595100"/>
          <a:ext cx="323057" cy="231902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838200</xdr:colOff>
      <xdr:row>0</xdr:row>
      <xdr:rowOff>88900</xdr:rowOff>
    </xdr:from>
    <xdr:to>
      <xdr:col>23</xdr:col>
      <xdr:colOff>809172</xdr:colOff>
      <xdr:row>9</xdr:row>
      <xdr:rowOff>92528</xdr:rowOff>
    </xdr:to>
    <xdr:sp macro="" textlink="">
      <xdr:nvSpPr>
        <xdr:cNvPr id="9" name="テキスト ボックス 8"/>
        <xdr:cNvSpPr txBox="1"/>
      </xdr:nvSpPr>
      <xdr:spPr>
        <a:xfrm>
          <a:off x="15836900" y="88900"/>
          <a:ext cx="4479472" cy="2149928"/>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6</xdr:col>
      <xdr:colOff>0</xdr:colOff>
      <xdr:row>30</xdr:row>
      <xdr:rowOff>0</xdr:rowOff>
    </xdr:from>
    <xdr:to>
      <xdr:col>6</xdr:col>
      <xdr:colOff>900249</xdr:colOff>
      <xdr:row>31</xdr:row>
      <xdr:rowOff>0</xdr:rowOff>
    </xdr:to>
    <xdr:sp macro="" textlink="">
      <xdr:nvSpPr>
        <xdr:cNvPr id="13" name="正方形/長方形 12"/>
        <xdr:cNvSpPr/>
      </xdr:nvSpPr>
      <xdr:spPr>
        <a:xfrm>
          <a:off x="4168140" y="10896600"/>
          <a:ext cx="900249" cy="62484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444500</xdr:colOff>
      <xdr:row>29</xdr:row>
      <xdr:rowOff>38100</xdr:rowOff>
    </xdr:from>
    <xdr:to>
      <xdr:col>12</xdr:col>
      <xdr:colOff>696915</xdr:colOff>
      <xdr:row>30</xdr:row>
      <xdr:rowOff>356168</xdr:rowOff>
    </xdr:to>
    <xdr:sp macro="" textlink="">
      <xdr:nvSpPr>
        <xdr:cNvPr id="16" name="線吹き出し 1 (枠付き) 15"/>
        <xdr:cNvSpPr/>
      </xdr:nvSpPr>
      <xdr:spPr>
        <a:xfrm>
          <a:off x="6426200" y="10236200"/>
          <a:ext cx="3859215" cy="940368"/>
        </a:xfrm>
        <a:prstGeom prst="borderCallout1">
          <a:avLst>
            <a:gd name="adj1" fmla="val 52237"/>
            <a:gd name="adj2" fmla="val -471"/>
            <a:gd name="adj3" fmla="val 94983"/>
            <a:gd name="adj4" fmla="val -3423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記入漏れや要件を満たしていない記入欄の</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文字が</a:t>
          </a:r>
          <a:r>
            <a:rPr kumimoji="1" lang="ja-JP" altLang="en-US" sz="1400">
              <a:solidFill>
                <a:srgbClr val="FF0000"/>
              </a:solidFill>
              <a:latin typeface="メイリオ" panose="020B0604030504040204" pitchFamily="50" charset="-128"/>
              <a:ea typeface="メイリオ" panose="020B0604030504040204" pitchFamily="50" charset="-128"/>
            </a:rPr>
            <a:t>朱色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に、セルが</a:t>
          </a:r>
          <a:r>
            <a:rPr kumimoji="1" lang="ja-JP" altLang="en-US" sz="1400">
              <a:solidFill>
                <a:srgbClr val="FF0000"/>
              </a:solidFill>
              <a:latin typeface="メイリオ" panose="020B0604030504040204" pitchFamily="50" charset="-128"/>
              <a:ea typeface="メイリオ" panose="020B0604030504040204" pitchFamily="50" charset="-128"/>
            </a:rPr>
            <a:t>黄色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8</xdr:col>
      <xdr:colOff>876300</xdr:colOff>
      <xdr:row>32</xdr:row>
      <xdr:rowOff>177800</xdr:rowOff>
    </xdr:from>
    <xdr:to>
      <xdr:col>14</xdr:col>
      <xdr:colOff>675594</xdr:colOff>
      <xdr:row>33</xdr:row>
      <xdr:rowOff>499269</xdr:rowOff>
    </xdr:to>
    <xdr:sp macro="" textlink="">
      <xdr:nvSpPr>
        <xdr:cNvPr id="17" name="テキスト ボックス 16"/>
        <xdr:cNvSpPr txBox="1"/>
      </xdr:nvSpPr>
      <xdr:spPr>
        <a:xfrm>
          <a:off x="6858000" y="12242800"/>
          <a:ext cx="5209494" cy="94376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要件の判定欄です。</a:t>
          </a:r>
          <a:endParaRPr kumimoji="1" lang="en-US" altLang="ja-JP" sz="1400">
            <a:solidFill>
              <a:srgbClr val="FF0000"/>
            </a:solidFill>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要件を満たしていない項目が、”</a:t>
          </a:r>
          <a:r>
            <a:rPr kumimoji="1" lang="ja-JP" altLang="en-US" sz="1400">
              <a:solidFill>
                <a:srgbClr val="FF0000"/>
              </a:solidFill>
              <a:latin typeface="メイリオ" panose="020B0604030504040204" pitchFamily="50" charset="-128"/>
              <a:ea typeface="メイリオ" panose="020B0604030504040204" pitchFamily="50" charset="-128"/>
            </a:rPr>
            <a:t>不適合</a:t>
          </a:r>
          <a:r>
            <a:rPr kumimoji="1" lang="ja-JP" altLang="en-US" sz="1400">
              <a:latin typeface="メイリオ" panose="020B0604030504040204" pitchFamily="50" charset="-128"/>
              <a:ea typeface="メイリオ" panose="020B0604030504040204" pitchFamily="50" charset="-128"/>
            </a:rPr>
            <a:t>”　と表示されます。</a:t>
          </a:r>
        </a:p>
      </xdr:txBody>
    </xdr:sp>
    <xdr:clientData/>
  </xdr:twoCellAnchor>
  <xdr:twoCellAnchor>
    <xdr:from>
      <xdr:col>9</xdr:col>
      <xdr:colOff>177800</xdr:colOff>
      <xdr:row>23</xdr:row>
      <xdr:rowOff>152400</xdr:rowOff>
    </xdr:from>
    <xdr:to>
      <xdr:col>16</xdr:col>
      <xdr:colOff>96157</xdr:colOff>
      <xdr:row>25</xdr:row>
      <xdr:rowOff>332015</xdr:rowOff>
    </xdr:to>
    <xdr:sp macro="" textlink="">
      <xdr:nvSpPr>
        <xdr:cNvPr id="18" name="線吹き出し 1 (枠付き) 17"/>
        <xdr:cNvSpPr/>
      </xdr:nvSpPr>
      <xdr:spPr>
        <a:xfrm>
          <a:off x="7061200" y="6502400"/>
          <a:ext cx="6230257" cy="1538515"/>
        </a:xfrm>
        <a:prstGeom prst="borderCallout1">
          <a:avLst>
            <a:gd name="adj1" fmla="val 1703"/>
            <a:gd name="adj2" fmla="val 39696"/>
            <a:gd name="adj3" fmla="val -63056"/>
            <a:gd name="adj4" fmla="val 492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記入内容が要件を満たさない場合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必要換気量に係る要件を満たしていないため、申請できません。</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と表示されます。入力内容を確認してください。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39120</xdr:colOff>
      <xdr:row>46</xdr:row>
      <xdr:rowOff>90146</xdr:rowOff>
    </xdr:from>
    <xdr:to>
      <xdr:col>26</xdr:col>
      <xdr:colOff>301057</xdr:colOff>
      <xdr:row>48</xdr:row>
      <xdr:rowOff>268740</xdr:rowOff>
    </xdr:to>
    <xdr:sp macro="" textlink="">
      <xdr:nvSpPr>
        <xdr:cNvPr id="2" name="右中かっこ 1"/>
        <xdr:cNvSpPr/>
      </xdr:nvSpPr>
      <xdr:spPr>
        <a:xfrm>
          <a:off x="20694763" y="13425146"/>
          <a:ext cx="261937" cy="858951"/>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39120</xdr:colOff>
      <xdr:row>27</xdr:row>
      <xdr:rowOff>244927</xdr:rowOff>
    </xdr:from>
    <xdr:to>
      <xdr:col>26</xdr:col>
      <xdr:colOff>321469</xdr:colOff>
      <xdr:row>29</xdr:row>
      <xdr:rowOff>321468</xdr:rowOff>
    </xdr:to>
    <xdr:sp macro="" textlink="">
      <xdr:nvSpPr>
        <xdr:cNvPr id="3" name="右中かっこ 2"/>
        <xdr:cNvSpPr/>
      </xdr:nvSpPr>
      <xdr:spPr>
        <a:xfrm>
          <a:off x="20470245" y="7067208"/>
          <a:ext cx="282349" cy="1124291"/>
        </a:xfrm>
        <a:prstGeom prst="rightBrace">
          <a:avLst>
            <a:gd name="adj1" fmla="val 8333"/>
            <a:gd name="adj2" fmla="val 3517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39</xdr:row>
      <xdr:rowOff>6802</xdr:rowOff>
    </xdr:from>
    <xdr:to>
      <xdr:col>26</xdr:col>
      <xdr:colOff>357187</xdr:colOff>
      <xdr:row>43</xdr:row>
      <xdr:rowOff>0</xdr:rowOff>
    </xdr:to>
    <xdr:sp macro="" textlink="">
      <xdr:nvSpPr>
        <xdr:cNvPr id="4" name="右中かっこ 3"/>
        <xdr:cNvSpPr/>
      </xdr:nvSpPr>
      <xdr:spPr>
        <a:xfrm>
          <a:off x="20470246" y="11222490"/>
          <a:ext cx="318066" cy="1814854"/>
        </a:xfrm>
        <a:prstGeom prst="rightBrace">
          <a:avLst>
            <a:gd name="adj1" fmla="val 8333"/>
            <a:gd name="adj2" fmla="val 37535"/>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304800</xdr:colOff>
      <xdr:row>1</xdr:row>
      <xdr:rowOff>9525</xdr:rowOff>
    </xdr:from>
    <xdr:to>
      <xdr:col>14</xdr:col>
      <xdr:colOff>697707</xdr:colOff>
      <xdr:row>20</xdr:row>
      <xdr:rowOff>219075</xdr:rowOff>
    </xdr:to>
    <xdr:sp macro="" textlink="">
      <xdr:nvSpPr>
        <xdr:cNvPr id="5" name="右中かっこ 4"/>
        <xdr:cNvSpPr/>
      </xdr:nvSpPr>
      <xdr:spPr>
        <a:xfrm>
          <a:off x="10839450" y="257175"/>
          <a:ext cx="392907" cy="49149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68717</xdr:colOff>
      <xdr:row>9</xdr:row>
      <xdr:rowOff>67697</xdr:rowOff>
    </xdr:from>
    <xdr:to>
      <xdr:col>18</xdr:col>
      <xdr:colOff>497683</xdr:colOff>
      <xdr:row>13</xdr:row>
      <xdr:rowOff>20072</xdr:rowOff>
    </xdr:to>
    <xdr:sp macro="" textlink="">
      <xdr:nvSpPr>
        <xdr:cNvPr id="6" name="テキスト ボックス 5"/>
        <xdr:cNvSpPr txBox="1"/>
      </xdr:nvSpPr>
      <xdr:spPr>
        <a:xfrm>
          <a:off x="11412992" y="2296547"/>
          <a:ext cx="2857841" cy="9429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7</xdr:col>
      <xdr:colOff>43542</xdr:colOff>
      <xdr:row>28</xdr:row>
      <xdr:rowOff>130629</xdr:rowOff>
    </xdr:from>
    <xdr:to>
      <xdr:col>14</xdr:col>
      <xdr:colOff>416243</xdr:colOff>
      <xdr:row>29</xdr:row>
      <xdr:rowOff>158864</xdr:rowOff>
    </xdr:to>
    <xdr:sp macro="" textlink="">
      <xdr:nvSpPr>
        <xdr:cNvPr id="7" name="線吹き出し 1 (枠付き) 6"/>
        <xdr:cNvSpPr/>
      </xdr:nvSpPr>
      <xdr:spPr>
        <a:xfrm>
          <a:off x="4910817" y="7636329"/>
          <a:ext cx="6040076" cy="828335"/>
        </a:xfrm>
        <a:prstGeom prst="borderCallout1">
          <a:avLst>
            <a:gd name="adj1" fmla="val -2083"/>
            <a:gd name="adj2" fmla="val 33334"/>
            <a:gd name="adj3" fmla="val -137163"/>
            <a:gd name="adj4" fmla="val 4610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換気設備導入の要件を満たしています。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7</xdr:col>
      <xdr:colOff>0</xdr:colOff>
      <xdr:row>24</xdr:row>
      <xdr:rowOff>0</xdr:rowOff>
    </xdr:from>
    <xdr:to>
      <xdr:col>15</xdr:col>
      <xdr:colOff>10885</xdr:colOff>
      <xdr:row>25</xdr:row>
      <xdr:rowOff>0</xdr:rowOff>
    </xdr:to>
    <xdr:sp macro="" textlink="">
      <xdr:nvSpPr>
        <xdr:cNvPr id="8" name="正方形/長方形 7"/>
        <xdr:cNvSpPr/>
      </xdr:nvSpPr>
      <xdr:spPr>
        <a:xfrm>
          <a:off x="4867275" y="5943600"/>
          <a:ext cx="6487885" cy="54292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111</xdr:row>
      <xdr:rowOff>85725</xdr:rowOff>
    </xdr:from>
    <xdr:to>
      <xdr:col>13</xdr:col>
      <xdr:colOff>9525</xdr:colOff>
      <xdr:row>113</xdr:row>
      <xdr:rowOff>238125</xdr:rowOff>
    </xdr:to>
    <xdr:sp macro="" textlink="">
      <xdr:nvSpPr>
        <xdr:cNvPr id="9" name="線吹き出し 1 (枠付き) 8"/>
        <xdr:cNvSpPr/>
      </xdr:nvSpPr>
      <xdr:spPr>
        <a:xfrm>
          <a:off x="7286625" y="29851350"/>
          <a:ext cx="2981325" cy="781050"/>
        </a:xfrm>
        <a:prstGeom prst="borderCallout1">
          <a:avLst>
            <a:gd name="adj1" fmla="val 46240"/>
            <a:gd name="adj2" fmla="val -513"/>
            <a:gd name="adj3" fmla="val 40917"/>
            <a:gd name="adj4" fmla="val -365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空調設備の更新を行う場合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必ず　”</a:t>
          </a:r>
          <a:r>
            <a:rPr kumimoji="1" lang="ja-JP" altLang="en-US" sz="1200">
              <a:solidFill>
                <a:srgbClr val="FF0000"/>
              </a:solidFill>
              <a:latin typeface="メイリオ" panose="020B0604030504040204" pitchFamily="50" charset="-128"/>
              <a:ea typeface="メイリオ" panose="020B0604030504040204" pitchFamily="50" charset="-128"/>
            </a:rPr>
            <a:t>はい</a:t>
          </a:r>
          <a:r>
            <a:rPr kumimoji="1" lang="ja-JP" altLang="en-US" sz="1200">
              <a:solidFill>
                <a:sysClr val="windowText" lastClr="000000"/>
              </a:solidFill>
              <a:latin typeface="メイリオ" panose="020B0604030504040204" pitchFamily="50" charset="-128"/>
              <a:ea typeface="メイリオ" panose="020B0604030504040204" pitchFamily="50" charset="-128"/>
            </a:rPr>
            <a:t>”　を選択してください。</a:t>
          </a:r>
        </a:p>
      </xdr:txBody>
    </xdr:sp>
    <xdr:clientData/>
  </xdr:twoCellAnchor>
  <xdr:twoCellAnchor>
    <xdr:from>
      <xdr:col>7</xdr:col>
      <xdr:colOff>0</xdr:colOff>
      <xdr:row>115</xdr:row>
      <xdr:rowOff>0</xdr:rowOff>
    </xdr:from>
    <xdr:to>
      <xdr:col>15</xdr:col>
      <xdr:colOff>10885</xdr:colOff>
      <xdr:row>116</xdr:row>
      <xdr:rowOff>0</xdr:rowOff>
    </xdr:to>
    <xdr:sp macro="" textlink="">
      <xdr:nvSpPr>
        <xdr:cNvPr id="12" name="正方形/長方形 11"/>
        <xdr:cNvSpPr/>
      </xdr:nvSpPr>
      <xdr:spPr>
        <a:xfrm>
          <a:off x="4867275" y="31765875"/>
          <a:ext cx="6487885" cy="54292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130</xdr:row>
      <xdr:rowOff>28575</xdr:rowOff>
    </xdr:from>
    <xdr:to>
      <xdr:col>4</xdr:col>
      <xdr:colOff>478632</xdr:colOff>
      <xdr:row>131</xdr:row>
      <xdr:rowOff>314629</xdr:rowOff>
    </xdr:to>
    <xdr:sp macro="" textlink="">
      <xdr:nvSpPr>
        <xdr:cNvPr id="16" name="右中かっこ 15"/>
        <xdr:cNvSpPr/>
      </xdr:nvSpPr>
      <xdr:spPr>
        <a:xfrm>
          <a:off x="2505075" y="37795200"/>
          <a:ext cx="411957" cy="628954"/>
        </a:xfrm>
        <a:prstGeom prst="rightBrace">
          <a:avLst>
            <a:gd name="adj1" fmla="val 1075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678090</xdr:colOff>
      <xdr:row>128</xdr:row>
      <xdr:rowOff>200025</xdr:rowOff>
    </xdr:from>
    <xdr:to>
      <xdr:col>11</xdr:col>
      <xdr:colOff>773341</xdr:colOff>
      <xdr:row>131</xdr:row>
      <xdr:rowOff>284692</xdr:rowOff>
    </xdr:to>
    <xdr:sp macro="" textlink="">
      <xdr:nvSpPr>
        <xdr:cNvPr id="17" name="テキスト ボックス 16"/>
        <xdr:cNvSpPr txBox="1"/>
      </xdr:nvSpPr>
      <xdr:spPr>
        <a:xfrm>
          <a:off x="3116490" y="37042725"/>
          <a:ext cx="5762626" cy="1351492"/>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rgbClr val="FF0000"/>
              </a:solidFill>
              <a:latin typeface="メイリオ" panose="020B0604030504040204" pitchFamily="50" charset="-128"/>
              <a:ea typeface="メイリオ" panose="020B0604030504040204" pitchFamily="50" charset="-128"/>
            </a:rPr>
            <a:t>APF</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＞又は＜</a:t>
          </a:r>
          <a:r>
            <a:rPr kumimoji="1" lang="en-US" altLang="ja-JP" sz="1200" baseline="0">
              <a:solidFill>
                <a:srgbClr val="FF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＞どちらかの入力が必須です。</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仕様書等に記載が無い場合は、次の計算式で求めた</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値を記載してください。</a:t>
          </a: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冷房、暖房　各</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能力／消費電力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1</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冷暖平均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 （冷房</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＋暖房</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2</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2</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p>
      </xdr:txBody>
    </xdr:sp>
    <xdr:clientData/>
  </xdr:twoCellAnchor>
  <xdr:twoCellAnchor>
    <xdr:from>
      <xdr:col>4</xdr:col>
      <xdr:colOff>104775</xdr:colOff>
      <xdr:row>144</xdr:row>
      <xdr:rowOff>9525</xdr:rowOff>
    </xdr:from>
    <xdr:to>
      <xdr:col>4</xdr:col>
      <xdr:colOff>497682</xdr:colOff>
      <xdr:row>147</xdr:row>
      <xdr:rowOff>327025</xdr:rowOff>
    </xdr:to>
    <xdr:sp macro="" textlink="">
      <xdr:nvSpPr>
        <xdr:cNvPr id="20" name="右中かっこ 19"/>
        <xdr:cNvSpPr/>
      </xdr:nvSpPr>
      <xdr:spPr>
        <a:xfrm>
          <a:off x="2543175" y="41414700"/>
          <a:ext cx="392907" cy="13462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739776</xdr:colOff>
      <xdr:row>144</xdr:row>
      <xdr:rowOff>221191</xdr:rowOff>
    </xdr:from>
    <xdr:to>
      <xdr:col>12</xdr:col>
      <xdr:colOff>35984</xdr:colOff>
      <xdr:row>147</xdr:row>
      <xdr:rowOff>136524</xdr:rowOff>
    </xdr:to>
    <xdr:sp macro="" textlink="">
      <xdr:nvSpPr>
        <xdr:cNvPr id="21" name="テキスト ボックス 20"/>
        <xdr:cNvSpPr txBox="1"/>
      </xdr:nvSpPr>
      <xdr:spPr>
        <a:xfrm>
          <a:off x="3178176" y="41626366"/>
          <a:ext cx="5773208" cy="94403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仕様書等の記載通りに記載してください。</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5</xdr:col>
      <xdr:colOff>2116</xdr:colOff>
      <xdr:row>150</xdr:row>
      <xdr:rowOff>57150</xdr:rowOff>
    </xdr:from>
    <xdr:to>
      <xdr:col>10</xdr:col>
      <xdr:colOff>578908</xdr:colOff>
      <xdr:row>152</xdr:row>
      <xdr:rowOff>143897</xdr:rowOff>
    </xdr:to>
    <xdr:sp macro="" textlink="">
      <xdr:nvSpPr>
        <xdr:cNvPr id="22" name="線吹き出し 1 (枠付き) 21"/>
        <xdr:cNvSpPr/>
      </xdr:nvSpPr>
      <xdr:spPr>
        <a:xfrm>
          <a:off x="3250141" y="43748325"/>
          <a:ext cx="4624917" cy="772547"/>
        </a:xfrm>
        <a:prstGeom prst="borderCallout1">
          <a:avLst>
            <a:gd name="adj1" fmla="val 52707"/>
            <a:gd name="adj2" fmla="val -267"/>
            <a:gd name="adj3" fmla="val 63081"/>
            <a:gd name="adj4" fmla="val -1738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仕様書等に＜</a:t>
          </a:r>
          <a:r>
            <a:rPr kumimoji="1" lang="en-US" altLang="ja-JP" sz="1200">
              <a:solidFill>
                <a:sysClr val="windowText" lastClr="000000"/>
              </a:solidFill>
              <a:latin typeface="メイリオ" panose="020B0604030504040204" pitchFamily="50" charset="-128"/>
              <a:ea typeface="メイリオ" panose="020B0604030504040204" pitchFamily="50" charset="-128"/>
            </a:rPr>
            <a:t>APF</a:t>
          </a:r>
          <a:r>
            <a:rPr kumimoji="1" lang="ja-JP" altLang="en-US" sz="1200">
              <a:solidFill>
                <a:sysClr val="windowText" lastClr="000000"/>
              </a:solidFill>
              <a:latin typeface="メイリオ" panose="020B0604030504040204" pitchFamily="50" charset="-128"/>
              <a:ea typeface="メイリオ" panose="020B0604030504040204" pitchFamily="50" charset="-128"/>
            </a:rPr>
            <a:t>＞と＜</a:t>
          </a:r>
          <a:r>
            <a:rPr kumimoji="1" lang="en-US" altLang="ja-JP" sz="1200">
              <a:solidFill>
                <a:sysClr val="windowText" lastClr="000000"/>
              </a:solidFill>
              <a:latin typeface="メイリオ" panose="020B0604030504040204" pitchFamily="50" charset="-128"/>
              <a:ea typeface="メイリオ" panose="020B0604030504040204" pitchFamily="50" charset="-128"/>
            </a:rPr>
            <a:t>APF2015</a:t>
          </a:r>
          <a:r>
            <a:rPr kumimoji="1" lang="ja-JP" altLang="en-US" sz="1200">
              <a:solidFill>
                <a:sysClr val="windowText" lastClr="000000"/>
              </a:solidFill>
              <a:latin typeface="メイリオ" panose="020B0604030504040204" pitchFamily="50" charset="-128"/>
              <a:ea typeface="メイリオ" panose="020B0604030504040204" pitchFamily="50" charset="-128"/>
            </a:rPr>
            <a:t>＞が記載されている場合は、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a:t>
          </a:r>
          <a:r>
            <a:rPr kumimoji="1" lang="en-US" altLang="ja-JP" sz="1200">
              <a:solidFill>
                <a:srgbClr val="FF0000"/>
              </a:solidFill>
              <a:latin typeface="メイリオ" panose="020B0604030504040204" pitchFamily="50" charset="-128"/>
              <a:ea typeface="メイリオ" panose="020B0604030504040204" pitchFamily="50" charset="-128"/>
            </a:rPr>
            <a:t>APF2015</a:t>
          </a:r>
          <a:r>
            <a:rPr kumimoji="1" lang="ja-JP" altLang="en-US" sz="1200">
              <a:solidFill>
                <a:sysClr val="windowText" lastClr="000000"/>
              </a:solidFill>
              <a:latin typeface="メイリオ" panose="020B0604030504040204" pitchFamily="50" charset="-128"/>
              <a:ea typeface="メイリオ" panose="020B0604030504040204" pitchFamily="50" charset="-128"/>
            </a:rPr>
            <a:t>＞を記入してください。</a:t>
          </a:r>
        </a:p>
      </xdr:txBody>
    </xdr:sp>
    <xdr:clientData/>
  </xdr:twoCellAnchor>
  <xdr:twoCellAnchor>
    <xdr:from>
      <xdr:col>3</xdr:col>
      <xdr:colOff>10887</xdr:colOff>
      <xdr:row>151</xdr:row>
      <xdr:rowOff>26007</xdr:rowOff>
    </xdr:from>
    <xdr:to>
      <xdr:col>3</xdr:col>
      <xdr:colOff>772887</xdr:colOff>
      <xdr:row>152</xdr:row>
      <xdr:rowOff>0</xdr:rowOff>
    </xdr:to>
    <xdr:sp macro="" textlink="">
      <xdr:nvSpPr>
        <xdr:cNvPr id="23" name="正方形/長方形 22"/>
        <xdr:cNvSpPr/>
      </xdr:nvSpPr>
      <xdr:spPr>
        <a:xfrm>
          <a:off x="2166258" y="43340264"/>
          <a:ext cx="762000" cy="322336"/>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676276</xdr:colOff>
      <xdr:row>27</xdr:row>
      <xdr:rowOff>9525</xdr:rowOff>
    </xdr:from>
    <xdr:to>
      <xdr:col>5</xdr:col>
      <xdr:colOff>19051</xdr:colOff>
      <xdr:row>28</xdr:row>
      <xdr:rowOff>19050</xdr:rowOff>
    </xdr:to>
    <xdr:sp macro="" textlink="">
      <xdr:nvSpPr>
        <xdr:cNvPr id="24" name="正方形/長方形 23"/>
        <xdr:cNvSpPr/>
      </xdr:nvSpPr>
      <xdr:spPr>
        <a:xfrm>
          <a:off x="676276" y="7267575"/>
          <a:ext cx="3124200" cy="25717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67</xdr:row>
      <xdr:rowOff>0</xdr:rowOff>
    </xdr:from>
    <xdr:to>
      <xdr:col>1</xdr:col>
      <xdr:colOff>1038225</xdr:colOff>
      <xdr:row>70</xdr:row>
      <xdr:rowOff>9525</xdr:rowOff>
    </xdr:to>
    <xdr:sp macro="" textlink="">
      <xdr:nvSpPr>
        <xdr:cNvPr id="25" name="正方形/長方形 24"/>
        <xdr:cNvSpPr/>
      </xdr:nvSpPr>
      <xdr:spPr>
        <a:xfrm>
          <a:off x="704850" y="15801975"/>
          <a:ext cx="1019175" cy="103822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676276</xdr:colOff>
      <xdr:row>27</xdr:row>
      <xdr:rowOff>138112</xdr:rowOff>
    </xdr:from>
    <xdr:to>
      <xdr:col>1</xdr:col>
      <xdr:colOff>19050</xdr:colOff>
      <xdr:row>68</xdr:row>
      <xdr:rowOff>176212</xdr:rowOff>
    </xdr:to>
    <xdr:cxnSp macro="">
      <xdr:nvCxnSpPr>
        <xdr:cNvPr id="27" name="カギ線コネクタ 26"/>
        <xdr:cNvCxnSpPr>
          <a:stCxn id="24" idx="1"/>
          <a:endCxn id="25" idx="1"/>
        </xdr:cNvCxnSpPr>
      </xdr:nvCxnSpPr>
      <xdr:spPr>
        <a:xfrm rot="10800000" flipH="1" flipV="1">
          <a:off x="676276" y="7396162"/>
          <a:ext cx="28574" cy="8924925"/>
        </a:xfrm>
        <a:prstGeom prst="bentConnector3">
          <a:avLst>
            <a:gd name="adj1" fmla="val -800028"/>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685799</xdr:colOff>
      <xdr:row>38</xdr:row>
      <xdr:rowOff>9525</xdr:rowOff>
    </xdr:from>
    <xdr:to>
      <xdr:col>8</xdr:col>
      <xdr:colOff>9524</xdr:colOff>
      <xdr:row>39</xdr:row>
      <xdr:rowOff>0</xdr:rowOff>
    </xdr:to>
    <xdr:sp macro="" textlink="">
      <xdr:nvSpPr>
        <xdr:cNvPr id="29" name="正方形/長方形 28"/>
        <xdr:cNvSpPr/>
      </xdr:nvSpPr>
      <xdr:spPr>
        <a:xfrm>
          <a:off x="685799" y="10448925"/>
          <a:ext cx="5534025" cy="2381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xdr:colOff>
      <xdr:row>89</xdr:row>
      <xdr:rowOff>0</xdr:rowOff>
    </xdr:from>
    <xdr:to>
      <xdr:col>2</xdr:col>
      <xdr:colOff>1</xdr:colOff>
      <xdr:row>95</xdr:row>
      <xdr:rowOff>9525</xdr:rowOff>
    </xdr:to>
    <xdr:sp macro="" textlink="">
      <xdr:nvSpPr>
        <xdr:cNvPr id="30" name="正方形/長方形 29"/>
        <xdr:cNvSpPr/>
      </xdr:nvSpPr>
      <xdr:spPr>
        <a:xfrm>
          <a:off x="685801" y="23250525"/>
          <a:ext cx="1047750" cy="20669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0</xdr:col>
      <xdr:colOff>171450</xdr:colOff>
      <xdr:row>38</xdr:row>
      <xdr:rowOff>104774</xdr:rowOff>
    </xdr:from>
    <xdr:to>
      <xdr:col>1</xdr:col>
      <xdr:colOff>1</xdr:colOff>
      <xdr:row>92</xdr:row>
      <xdr:rowOff>4762</xdr:rowOff>
    </xdr:to>
    <xdr:cxnSp macro="">
      <xdr:nvCxnSpPr>
        <xdr:cNvPr id="31" name="カギ線コネクタ 30"/>
        <xdr:cNvCxnSpPr>
          <a:endCxn id="30" idx="1"/>
        </xdr:cNvCxnSpPr>
      </xdr:nvCxnSpPr>
      <xdr:spPr>
        <a:xfrm rot="16200000" flipH="1">
          <a:off x="-6441281" y="17156905"/>
          <a:ext cx="13739813" cy="514351"/>
        </a:xfrm>
        <a:prstGeom prst="bentConnector2">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38</xdr:row>
      <xdr:rowOff>119065</xdr:rowOff>
    </xdr:from>
    <xdr:to>
      <xdr:col>0</xdr:col>
      <xdr:colOff>685799</xdr:colOff>
      <xdr:row>38</xdr:row>
      <xdr:rowOff>123825</xdr:rowOff>
    </xdr:to>
    <xdr:cxnSp macro="">
      <xdr:nvCxnSpPr>
        <xdr:cNvPr id="63" name="直線コネクタ 62"/>
        <xdr:cNvCxnSpPr/>
      </xdr:nvCxnSpPr>
      <xdr:spPr>
        <a:xfrm flipV="1">
          <a:off x="142875" y="10558465"/>
          <a:ext cx="542924" cy="476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285750</xdr:colOff>
      <xdr:row>0</xdr:row>
      <xdr:rowOff>76200</xdr:rowOff>
    </xdr:from>
    <xdr:to>
      <xdr:col>24</xdr:col>
      <xdr:colOff>727652</xdr:colOff>
      <xdr:row>9</xdr:row>
      <xdr:rowOff>38677</xdr:rowOff>
    </xdr:to>
    <xdr:sp macro="" textlink="">
      <xdr:nvSpPr>
        <xdr:cNvPr id="32" name="テキスト ボックス 31"/>
        <xdr:cNvSpPr txBox="1"/>
      </xdr:nvSpPr>
      <xdr:spPr>
        <a:xfrm>
          <a:off x="15401925" y="76200"/>
          <a:ext cx="4490027" cy="2191327"/>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19</xdr:col>
      <xdr:colOff>476251</xdr:colOff>
      <xdr:row>111</xdr:row>
      <xdr:rowOff>85725</xdr:rowOff>
    </xdr:from>
    <xdr:to>
      <xdr:col>24</xdr:col>
      <xdr:colOff>752476</xdr:colOff>
      <xdr:row>117</xdr:row>
      <xdr:rowOff>390525</xdr:rowOff>
    </xdr:to>
    <xdr:sp macro="" textlink="">
      <xdr:nvSpPr>
        <xdr:cNvPr id="33" name="テキスト ボックス 32"/>
        <xdr:cNvSpPr txBox="1"/>
      </xdr:nvSpPr>
      <xdr:spPr>
        <a:xfrm>
          <a:off x="15592426" y="29851350"/>
          <a:ext cx="4324350" cy="2028825"/>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7</xdr:col>
      <xdr:colOff>238125</xdr:colOff>
      <xdr:row>119</xdr:row>
      <xdr:rowOff>123825</xdr:rowOff>
    </xdr:from>
    <xdr:to>
      <xdr:col>14</xdr:col>
      <xdr:colOff>610826</xdr:colOff>
      <xdr:row>120</xdr:row>
      <xdr:rowOff>152060</xdr:rowOff>
    </xdr:to>
    <xdr:sp macro="" textlink="">
      <xdr:nvSpPr>
        <xdr:cNvPr id="37" name="線吹き出し 1 (枠付き) 36"/>
        <xdr:cNvSpPr/>
      </xdr:nvSpPr>
      <xdr:spPr>
        <a:xfrm>
          <a:off x="5615668" y="32585025"/>
          <a:ext cx="6011501" cy="833778"/>
        </a:xfrm>
        <a:prstGeom prst="borderCallout1">
          <a:avLst>
            <a:gd name="adj1" fmla="val -2083"/>
            <a:gd name="adj2" fmla="val 33334"/>
            <a:gd name="adj3" fmla="val -133246"/>
            <a:gd name="adj4" fmla="val 4628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換気設備導入の要件を満たしています。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1</xdr:col>
      <xdr:colOff>9525</xdr:colOff>
      <xdr:row>118</xdr:row>
      <xdr:rowOff>19050</xdr:rowOff>
    </xdr:from>
    <xdr:to>
      <xdr:col>4</xdr:col>
      <xdr:colOff>9525</xdr:colOff>
      <xdr:row>119</xdr:row>
      <xdr:rowOff>0</xdr:rowOff>
    </xdr:to>
    <xdr:sp macro="" textlink="">
      <xdr:nvSpPr>
        <xdr:cNvPr id="38" name="正方形/長方形 37"/>
        <xdr:cNvSpPr/>
      </xdr:nvSpPr>
      <xdr:spPr>
        <a:xfrm>
          <a:off x="695325" y="32042100"/>
          <a:ext cx="2286000" cy="323850"/>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161</xdr:row>
      <xdr:rowOff>4763</xdr:rowOff>
    </xdr:from>
    <xdr:to>
      <xdr:col>2</xdr:col>
      <xdr:colOff>0</xdr:colOff>
      <xdr:row>163</xdr:row>
      <xdr:rowOff>0</xdr:rowOff>
    </xdr:to>
    <xdr:sp macro="" textlink="">
      <xdr:nvSpPr>
        <xdr:cNvPr id="39" name="正方形/長方形 38"/>
        <xdr:cNvSpPr/>
      </xdr:nvSpPr>
      <xdr:spPr>
        <a:xfrm>
          <a:off x="695324" y="44572238"/>
          <a:ext cx="1038226" cy="681037"/>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118</xdr:row>
      <xdr:rowOff>180975</xdr:rowOff>
    </xdr:from>
    <xdr:to>
      <xdr:col>1</xdr:col>
      <xdr:colOff>9526</xdr:colOff>
      <xdr:row>162</xdr:row>
      <xdr:rowOff>2382</xdr:rowOff>
    </xdr:to>
    <xdr:cxnSp macro="">
      <xdr:nvCxnSpPr>
        <xdr:cNvPr id="40" name="カギ線コネクタ 39"/>
        <xdr:cNvCxnSpPr>
          <a:stCxn id="38" idx="1"/>
          <a:endCxn id="39" idx="1"/>
        </xdr:cNvCxnSpPr>
      </xdr:nvCxnSpPr>
      <xdr:spPr>
        <a:xfrm rot="10800000" flipV="1">
          <a:off x="695325" y="32204025"/>
          <a:ext cx="1" cy="12708732"/>
        </a:xfrm>
        <a:prstGeom prst="bentConnector3">
          <a:avLst>
            <a:gd name="adj1" fmla="val 22860100000"/>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183</xdr:row>
      <xdr:rowOff>0</xdr:rowOff>
    </xdr:from>
    <xdr:to>
      <xdr:col>2</xdr:col>
      <xdr:colOff>0</xdr:colOff>
      <xdr:row>185</xdr:row>
      <xdr:rowOff>9525</xdr:rowOff>
    </xdr:to>
    <xdr:sp macro="" textlink="">
      <xdr:nvSpPr>
        <xdr:cNvPr id="41" name="正方形/長方形 40"/>
        <xdr:cNvSpPr/>
      </xdr:nvSpPr>
      <xdr:spPr>
        <a:xfrm>
          <a:off x="685800" y="52016025"/>
          <a:ext cx="1047750" cy="6953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139</xdr:row>
      <xdr:rowOff>9525</xdr:rowOff>
    </xdr:from>
    <xdr:to>
      <xdr:col>4</xdr:col>
      <xdr:colOff>0</xdr:colOff>
      <xdr:row>139</xdr:row>
      <xdr:rowOff>323850</xdr:rowOff>
    </xdr:to>
    <xdr:sp macro="" textlink="">
      <xdr:nvSpPr>
        <xdr:cNvPr id="42" name="正方形/長方形 41"/>
        <xdr:cNvSpPr/>
      </xdr:nvSpPr>
      <xdr:spPr>
        <a:xfrm>
          <a:off x="704850" y="38309550"/>
          <a:ext cx="2266950" cy="3143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0</xdr:col>
      <xdr:colOff>180975</xdr:colOff>
      <xdr:row>139</xdr:row>
      <xdr:rowOff>180973</xdr:rowOff>
    </xdr:from>
    <xdr:to>
      <xdr:col>1</xdr:col>
      <xdr:colOff>0</xdr:colOff>
      <xdr:row>184</xdr:row>
      <xdr:rowOff>4762</xdr:rowOff>
    </xdr:to>
    <xdr:cxnSp macro="">
      <xdr:nvCxnSpPr>
        <xdr:cNvPr id="43" name="カギ線コネクタ 42"/>
        <xdr:cNvCxnSpPr>
          <a:endCxn id="41" idx="1"/>
        </xdr:cNvCxnSpPr>
      </xdr:nvCxnSpPr>
      <xdr:spPr>
        <a:xfrm rot="16200000" flipH="1">
          <a:off x="-6507957" y="45169930"/>
          <a:ext cx="13882689" cy="504825"/>
        </a:xfrm>
        <a:prstGeom prst="bentConnector2">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139</xdr:row>
      <xdr:rowOff>176215</xdr:rowOff>
    </xdr:from>
    <xdr:to>
      <xdr:col>1</xdr:col>
      <xdr:colOff>19049</xdr:colOff>
      <xdr:row>139</xdr:row>
      <xdr:rowOff>180975</xdr:rowOff>
    </xdr:to>
    <xdr:cxnSp macro="">
      <xdr:nvCxnSpPr>
        <xdr:cNvPr id="44" name="直線コネクタ 43"/>
        <xdr:cNvCxnSpPr/>
      </xdr:nvCxnSpPr>
      <xdr:spPr>
        <a:xfrm flipV="1">
          <a:off x="161925" y="38476240"/>
          <a:ext cx="542924" cy="476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184</xdr:row>
      <xdr:rowOff>0</xdr:rowOff>
    </xdr:from>
    <xdr:to>
      <xdr:col>23</xdr:col>
      <xdr:colOff>789709</xdr:colOff>
      <xdr:row>185</xdr:row>
      <xdr:rowOff>13855</xdr:rowOff>
    </xdr:to>
    <xdr:sp macro="" textlink="">
      <xdr:nvSpPr>
        <xdr:cNvPr id="36" name="正方形/長方形 35"/>
        <xdr:cNvSpPr/>
      </xdr:nvSpPr>
      <xdr:spPr>
        <a:xfrm>
          <a:off x="17429018" y="52799673"/>
          <a:ext cx="1593273" cy="360218"/>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595745</xdr:colOff>
      <xdr:row>185</xdr:row>
      <xdr:rowOff>304801</xdr:rowOff>
    </xdr:from>
    <xdr:to>
      <xdr:col>20</xdr:col>
      <xdr:colOff>651163</xdr:colOff>
      <xdr:row>190</xdr:row>
      <xdr:rowOff>249381</xdr:rowOff>
    </xdr:to>
    <xdr:sp macro="" textlink="">
      <xdr:nvSpPr>
        <xdr:cNvPr id="46" name="線吹き出し 1 (枠付き) 45"/>
        <xdr:cNvSpPr/>
      </xdr:nvSpPr>
      <xdr:spPr>
        <a:xfrm>
          <a:off x="9989127" y="53450837"/>
          <a:ext cx="6483927" cy="1676399"/>
        </a:xfrm>
        <a:prstGeom prst="borderCallout1">
          <a:avLst>
            <a:gd name="adj1" fmla="val 43044"/>
            <a:gd name="adj2" fmla="val 100183"/>
            <a:gd name="adj3" fmla="val -26023"/>
            <a:gd name="adj4" fmla="val 1146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記載いただいた型番に該当するものを選択してください。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①推奨機器：導入推奨機器に指定されたもの。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②４つ星：統一省エネルギーラベル４つ星以上であるもの。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③その他：（導入推奨機器指定要綱の指定基準又はクレジット算定ガイドラインの認定基準を満たすもの）</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39120</xdr:colOff>
      <xdr:row>46</xdr:row>
      <xdr:rowOff>90146</xdr:rowOff>
    </xdr:from>
    <xdr:to>
      <xdr:col>26</xdr:col>
      <xdr:colOff>301057</xdr:colOff>
      <xdr:row>48</xdr:row>
      <xdr:rowOff>268740</xdr:rowOff>
    </xdr:to>
    <xdr:sp macro="" textlink="">
      <xdr:nvSpPr>
        <xdr:cNvPr id="2" name="右中かっこ 1"/>
        <xdr:cNvSpPr/>
      </xdr:nvSpPr>
      <xdr:spPr>
        <a:xfrm>
          <a:off x="20338800" y="13516586"/>
          <a:ext cx="261937" cy="864394"/>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39120</xdr:colOff>
      <xdr:row>27</xdr:row>
      <xdr:rowOff>244927</xdr:rowOff>
    </xdr:from>
    <xdr:to>
      <xdr:col>26</xdr:col>
      <xdr:colOff>321469</xdr:colOff>
      <xdr:row>29</xdr:row>
      <xdr:rowOff>321468</xdr:rowOff>
    </xdr:to>
    <xdr:sp macro="" textlink="">
      <xdr:nvSpPr>
        <xdr:cNvPr id="3" name="右中かっこ 2"/>
        <xdr:cNvSpPr/>
      </xdr:nvSpPr>
      <xdr:spPr>
        <a:xfrm>
          <a:off x="20338800" y="7407727"/>
          <a:ext cx="282349" cy="1120481"/>
        </a:xfrm>
        <a:prstGeom prst="rightBrace">
          <a:avLst>
            <a:gd name="adj1" fmla="val 8333"/>
            <a:gd name="adj2" fmla="val 3517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39</xdr:row>
      <xdr:rowOff>6802</xdr:rowOff>
    </xdr:from>
    <xdr:to>
      <xdr:col>26</xdr:col>
      <xdr:colOff>357187</xdr:colOff>
      <xdr:row>43</xdr:row>
      <xdr:rowOff>0</xdr:rowOff>
    </xdr:to>
    <xdr:sp macro="" textlink="">
      <xdr:nvSpPr>
        <xdr:cNvPr id="4" name="右中かっこ 3"/>
        <xdr:cNvSpPr/>
      </xdr:nvSpPr>
      <xdr:spPr>
        <a:xfrm>
          <a:off x="20338801" y="10590982"/>
          <a:ext cx="318066" cy="1806758"/>
        </a:xfrm>
        <a:prstGeom prst="rightBrace">
          <a:avLst>
            <a:gd name="adj1" fmla="val 8333"/>
            <a:gd name="adj2" fmla="val 37535"/>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304800</xdr:colOff>
      <xdr:row>1</xdr:row>
      <xdr:rowOff>9525</xdr:rowOff>
    </xdr:from>
    <xdr:to>
      <xdr:col>14</xdr:col>
      <xdr:colOff>697707</xdr:colOff>
      <xdr:row>20</xdr:row>
      <xdr:rowOff>219075</xdr:rowOff>
    </xdr:to>
    <xdr:sp macro="" textlink="">
      <xdr:nvSpPr>
        <xdr:cNvPr id="5" name="右中かっこ 4"/>
        <xdr:cNvSpPr/>
      </xdr:nvSpPr>
      <xdr:spPr>
        <a:xfrm>
          <a:off x="11346180" y="253365"/>
          <a:ext cx="392907" cy="484251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68717</xdr:colOff>
      <xdr:row>9</xdr:row>
      <xdr:rowOff>67697</xdr:rowOff>
    </xdr:from>
    <xdr:to>
      <xdr:col>18</xdr:col>
      <xdr:colOff>497683</xdr:colOff>
      <xdr:row>13</xdr:row>
      <xdr:rowOff>20072</xdr:rowOff>
    </xdr:to>
    <xdr:sp macro="" textlink="">
      <xdr:nvSpPr>
        <xdr:cNvPr id="6" name="テキスト ボックス 5"/>
        <xdr:cNvSpPr txBox="1"/>
      </xdr:nvSpPr>
      <xdr:spPr>
        <a:xfrm>
          <a:off x="11917817" y="2262257"/>
          <a:ext cx="2852126" cy="92773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7</xdr:col>
      <xdr:colOff>0</xdr:colOff>
      <xdr:row>24</xdr:row>
      <xdr:rowOff>0</xdr:rowOff>
    </xdr:from>
    <xdr:to>
      <xdr:col>15</xdr:col>
      <xdr:colOff>10885</xdr:colOff>
      <xdr:row>25</xdr:row>
      <xdr:rowOff>0</xdr:rowOff>
    </xdr:to>
    <xdr:sp macro="" textlink="">
      <xdr:nvSpPr>
        <xdr:cNvPr id="8" name="正方形/長方形 7"/>
        <xdr:cNvSpPr/>
      </xdr:nvSpPr>
      <xdr:spPr>
        <a:xfrm>
          <a:off x="5387340" y="5852160"/>
          <a:ext cx="6472645" cy="54102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111</xdr:row>
      <xdr:rowOff>85725</xdr:rowOff>
    </xdr:from>
    <xdr:to>
      <xdr:col>13</xdr:col>
      <xdr:colOff>9525</xdr:colOff>
      <xdr:row>113</xdr:row>
      <xdr:rowOff>238125</xdr:rowOff>
    </xdr:to>
    <xdr:sp macro="" textlink="">
      <xdr:nvSpPr>
        <xdr:cNvPr id="9" name="線吹き出し 1 (枠付き) 8"/>
        <xdr:cNvSpPr/>
      </xdr:nvSpPr>
      <xdr:spPr>
        <a:xfrm>
          <a:off x="7269480" y="29742765"/>
          <a:ext cx="2973705" cy="784860"/>
        </a:xfrm>
        <a:prstGeom prst="borderCallout1">
          <a:avLst>
            <a:gd name="adj1" fmla="val 46240"/>
            <a:gd name="adj2" fmla="val -513"/>
            <a:gd name="adj3" fmla="val 40917"/>
            <a:gd name="adj4" fmla="val -365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空調設備の更新を行う場合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必ず　”</a:t>
          </a:r>
          <a:r>
            <a:rPr kumimoji="1" lang="ja-JP" altLang="en-US" sz="1200">
              <a:solidFill>
                <a:srgbClr val="FF0000"/>
              </a:solidFill>
              <a:latin typeface="メイリオ" panose="020B0604030504040204" pitchFamily="50" charset="-128"/>
              <a:ea typeface="メイリオ" panose="020B0604030504040204" pitchFamily="50" charset="-128"/>
            </a:rPr>
            <a:t>はい</a:t>
          </a:r>
          <a:r>
            <a:rPr kumimoji="1" lang="ja-JP" altLang="en-US" sz="1200">
              <a:solidFill>
                <a:sysClr val="windowText" lastClr="000000"/>
              </a:solidFill>
              <a:latin typeface="メイリオ" panose="020B0604030504040204" pitchFamily="50" charset="-128"/>
              <a:ea typeface="メイリオ" panose="020B0604030504040204" pitchFamily="50" charset="-128"/>
            </a:rPr>
            <a:t>”　を選択してください。</a:t>
          </a:r>
        </a:p>
      </xdr:txBody>
    </xdr:sp>
    <xdr:clientData/>
  </xdr:twoCellAnchor>
  <xdr:twoCellAnchor>
    <xdr:from>
      <xdr:col>3</xdr:col>
      <xdr:colOff>9525</xdr:colOff>
      <xdr:row>146</xdr:row>
      <xdr:rowOff>19050</xdr:rowOff>
    </xdr:from>
    <xdr:to>
      <xdr:col>3</xdr:col>
      <xdr:colOff>804183</xdr:colOff>
      <xdr:row>147</xdr:row>
      <xdr:rowOff>19050</xdr:rowOff>
    </xdr:to>
    <xdr:sp macro="" textlink="">
      <xdr:nvSpPr>
        <xdr:cNvPr id="10" name="正方形/長方形 9"/>
        <xdr:cNvSpPr/>
      </xdr:nvSpPr>
      <xdr:spPr>
        <a:xfrm>
          <a:off x="2171700" y="41176575"/>
          <a:ext cx="794658" cy="3429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179917</xdr:colOff>
      <xdr:row>119</xdr:row>
      <xdr:rowOff>116417</xdr:rowOff>
    </xdr:from>
    <xdr:to>
      <xdr:col>16</xdr:col>
      <xdr:colOff>74083</xdr:colOff>
      <xdr:row>122</xdr:row>
      <xdr:rowOff>10581</xdr:rowOff>
    </xdr:to>
    <xdr:sp macro="" textlink="">
      <xdr:nvSpPr>
        <xdr:cNvPr id="11" name="線吹き出し 1 (枠付き) 10"/>
        <xdr:cNvSpPr/>
      </xdr:nvSpPr>
      <xdr:spPr>
        <a:xfrm>
          <a:off x="7990417" y="32379497"/>
          <a:ext cx="4740486" cy="1380064"/>
        </a:xfrm>
        <a:prstGeom prst="borderCallout1">
          <a:avLst>
            <a:gd name="adj1" fmla="val 923"/>
            <a:gd name="adj2" fmla="val 40387"/>
            <a:gd name="adj3" fmla="val -81314"/>
            <a:gd name="adj4" fmla="val 2241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旧設備または、新設備の必要事項に、記入漏れがある場合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旧設備の入力をご確認ください。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または、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新設備の入力をご確認ください。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が表示されます。</a:t>
          </a:r>
        </a:p>
      </xdr:txBody>
    </xdr:sp>
    <xdr:clientData/>
  </xdr:twoCellAnchor>
  <xdr:twoCellAnchor>
    <xdr:from>
      <xdr:col>7</xdr:col>
      <xdr:colOff>0</xdr:colOff>
      <xdr:row>115</xdr:row>
      <xdr:rowOff>0</xdr:rowOff>
    </xdr:from>
    <xdr:to>
      <xdr:col>15</xdr:col>
      <xdr:colOff>10885</xdr:colOff>
      <xdr:row>116</xdr:row>
      <xdr:rowOff>0</xdr:rowOff>
    </xdr:to>
    <xdr:sp macro="" textlink="">
      <xdr:nvSpPr>
        <xdr:cNvPr id="12" name="正方形/長方形 11"/>
        <xdr:cNvSpPr/>
      </xdr:nvSpPr>
      <xdr:spPr>
        <a:xfrm>
          <a:off x="5387340" y="30731460"/>
          <a:ext cx="6472645" cy="54102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247650</xdr:colOff>
      <xdr:row>144</xdr:row>
      <xdr:rowOff>38100</xdr:rowOff>
    </xdr:from>
    <xdr:to>
      <xdr:col>8</xdr:col>
      <xdr:colOff>616369</xdr:colOff>
      <xdr:row>146</xdr:row>
      <xdr:rowOff>304763</xdr:rowOff>
    </xdr:to>
    <xdr:sp macro="" textlink="">
      <xdr:nvSpPr>
        <xdr:cNvPr id="15" name="線吹き出し 1 (枠付き) 14"/>
        <xdr:cNvSpPr/>
      </xdr:nvSpPr>
      <xdr:spPr>
        <a:xfrm>
          <a:off x="4029075" y="40509825"/>
          <a:ext cx="2797594" cy="952463"/>
        </a:xfrm>
        <a:prstGeom prst="borderCallout1">
          <a:avLst>
            <a:gd name="adj1" fmla="val 53486"/>
            <a:gd name="adj2" fmla="val -206"/>
            <a:gd name="adj3" fmla="val 86464"/>
            <a:gd name="adj4" fmla="val -3829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選択や記入漏れのセルを確認の上、</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適切に記入してください。</a:t>
          </a:r>
        </a:p>
      </xdr:txBody>
    </xdr:sp>
    <xdr:clientData/>
  </xdr:twoCellAnchor>
  <xdr:twoCellAnchor>
    <xdr:from>
      <xdr:col>4</xdr:col>
      <xdr:colOff>66675</xdr:colOff>
      <xdr:row>130</xdr:row>
      <xdr:rowOff>28575</xdr:rowOff>
    </xdr:from>
    <xdr:to>
      <xdr:col>4</xdr:col>
      <xdr:colOff>478632</xdr:colOff>
      <xdr:row>131</xdr:row>
      <xdr:rowOff>314629</xdr:rowOff>
    </xdr:to>
    <xdr:sp macro="" textlink="">
      <xdr:nvSpPr>
        <xdr:cNvPr id="16" name="右中かっこ 15"/>
        <xdr:cNvSpPr/>
      </xdr:nvSpPr>
      <xdr:spPr>
        <a:xfrm>
          <a:off x="3030855" y="36756975"/>
          <a:ext cx="411957" cy="628954"/>
        </a:xfrm>
        <a:prstGeom prst="rightBrace">
          <a:avLst>
            <a:gd name="adj1" fmla="val 1075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678090</xdr:colOff>
      <xdr:row>128</xdr:row>
      <xdr:rowOff>200025</xdr:rowOff>
    </xdr:from>
    <xdr:to>
      <xdr:col>11</xdr:col>
      <xdr:colOff>773341</xdr:colOff>
      <xdr:row>131</xdr:row>
      <xdr:rowOff>284692</xdr:rowOff>
    </xdr:to>
    <xdr:sp macro="" textlink="">
      <xdr:nvSpPr>
        <xdr:cNvPr id="17" name="テキスト ボックス 16"/>
        <xdr:cNvSpPr txBox="1"/>
      </xdr:nvSpPr>
      <xdr:spPr>
        <a:xfrm>
          <a:off x="3642270" y="36006405"/>
          <a:ext cx="5749291" cy="1349587"/>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rgbClr val="FF0000"/>
              </a:solidFill>
              <a:latin typeface="メイリオ" panose="020B0604030504040204" pitchFamily="50" charset="-128"/>
              <a:ea typeface="メイリオ" panose="020B0604030504040204" pitchFamily="50" charset="-128"/>
            </a:rPr>
            <a:t>APF</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＞又は＜</a:t>
          </a:r>
          <a:r>
            <a:rPr kumimoji="1" lang="en-US" altLang="ja-JP" sz="1200" baseline="0">
              <a:solidFill>
                <a:srgbClr val="FF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＞どちらかの入力が必須です。</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仕様書等に記載が無い場合は、次の計算式で求めた</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値を記載してください。</a:t>
          </a: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冷房、暖房　各</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能力／消費電力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1</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冷暖平均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 （冷房</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＋暖房</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2</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2</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p>
      </xdr:txBody>
    </xdr:sp>
    <xdr:clientData/>
  </xdr:twoCellAnchor>
  <xdr:twoCellAnchor>
    <xdr:from>
      <xdr:col>4</xdr:col>
      <xdr:colOff>695964</xdr:colOff>
      <xdr:row>140</xdr:row>
      <xdr:rowOff>285751</xdr:rowOff>
    </xdr:from>
    <xdr:to>
      <xdr:col>9</xdr:col>
      <xdr:colOff>270934</xdr:colOff>
      <xdr:row>141</xdr:row>
      <xdr:rowOff>309183</xdr:rowOff>
    </xdr:to>
    <xdr:sp macro="" textlink="">
      <xdr:nvSpPr>
        <xdr:cNvPr id="18" name="線吹き出し 1 (枠付き) 17"/>
        <xdr:cNvSpPr/>
      </xdr:nvSpPr>
      <xdr:spPr>
        <a:xfrm>
          <a:off x="3667764" y="38928676"/>
          <a:ext cx="3623095" cy="823532"/>
        </a:xfrm>
        <a:prstGeom prst="borderCallout1">
          <a:avLst>
            <a:gd name="adj1" fmla="val 50310"/>
            <a:gd name="adj2" fmla="val -45"/>
            <a:gd name="adj3" fmla="val -52520"/>
            <a:gd name="adj4" fmla="val -1797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記入漏れがあるセルの番号欄が黄色になります。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未記入欄を確認してください。</a:t>
          </a:r>
        </a:p>
      </xdr:txBody>
    </xdr:sp>
    <xdr:clientData/>
  </xdr:twoCellAnchor>
  <xdr:twoCellAnchor>
    <xdr:from>
      <xdr:col>2</xdr:col>
      <xdr:colOff>380999</xdr:colOff>
      <xdr:row>138</xdr:row>
      <xdr:rowOff>495300</xdr:rowOff>
    </xdr:from>
    <xdr:to>
      <xdr:col>4</xdr:col>
      <xdr:colOff>28575</xdr:colOff>
      <xdr:row>140</xdr:row>
      <xdr:rowOff>57150</xdr:rowOff>
    </xdr:to>
    <xdr:sp macro="" textlink="">
      <xdr:nvSpPr>
        <xdr:cNvPr id="19" name="正方形/長方形 18"/>
        <xdr:cNvSpPr/>
      </xdr:nvSpPr>
      <xdr:spPr>
        <a:xfrm>
          <a:off x="2114549" y="38261925"/>
          <a:ext cx="885826" cy="43815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xdr:colOff>
      <xdr:row>150</xdr:row>
      <xdr:rowOff>57150</xdr:rowOff>
    </xdr:from>
    <xdr:to>
      <xdr:col>10</xdr:col>
      <xdr:colOff>578908</xdr:colOff>
      <xdr:row>152</xdr:row>
      <xdr:rowOff>143897</xdr:rowOff>
    </xdr:to>
    <xdr:sp macro="" textlink="">
      <xdr:nvSpPr>
        <xdr:cNvPr id="22" name="線吹き出し 1 (枠付き) 21"/>
        <xdr:cNvSpPr/>
      </xdr:nvSpPr>
      <xdr:spPr>
        <a:xfrm>
          <a:off x="3774016" y="42706290"/>
          <a:ext cx="4615392" cy="772547"/>
        </a:xfrm>
        <a:prstGeom prst="borderCallout1">
          <a:avLst>
            <a:gd name="adj1" fmla="val 52707"/>
            <a:gd name="adj2" fmla="val -267"/>
            <a:gd name="adj3" fmla="val 63081"/>
            <a:gd name="adj4" fmla="val -1738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仕様書等に＜</a:t>
          </a:r>
          <a:r>
            <a:rPr kumimoji="1" lang="en-US" altLang="ja-JP" sz="1200">
              <a:solidFill>
                <a:sysClr val="windowText" lastClr="000000"/>
              </a:solidFill>
              <a:latin typeface="メイリオ" panose="020B0604030504040204" pitchFamily="50" charset="-128"/>
              <a:ea typeface="メイリオ" panose="020B0604030504040204" pitchFamily="50" charset="-128"/>
            </a:rPr>
            <a:t>APF</a:t>
          </a:r>
          <a:r>
            <a:rPr kumimoji="1" lang="ja-JP" altLang="en-US" sz="1200">
              <a:solidFill>
                <a:sysClr val="windowText" lastClr="000000"/>
              </a:solidFill>
              <a:latin typeface="メイリオ" panose="020B0604030504040204" pitchFamily="50" charset="-128"/>
              <a:ea typeface="メイリオ" panose="020B0604030504040204" pitchFamily="50" charset="-128"/>
            </a:rPr>
            <a:t>＞と＜</a:t>
          </a:r>
          <a:r>
            <a:rPr kumimoji="1" lang="en-US" altLang="ja-JP" sz="1200">
              <a:solidFill>
                <a:sysClr val="windowText" lastClr="000000"/>
              </a:solidFill>
              <a:latin typeface="メイリオ" panose="020B0604030504040204" pitchFamily="50" charset="-128"/>
              <a:ea typeface="メイリオ" panose="020B0604030504040204" pitchFamily="50" charset="-128"/>
            </a:rPr>
            <a:t>APF2015</a:t>
          </a:r>
          <a:r>
            <a:rPr kumimoji="1" lang="ja-JP" altLang="en-US" sz="1200">
              <a:solidFill>
                <a:sysClr val="windowText" lastClr="000000"/>
              </a:solidFill>
              <a:latin typeface="メイリオ" panose="020B0604030504040204" pitchFamily="50" charset="-128"/>
              <a:ea typeface="メイリオ" panose="020B0604030504040204" pitchFamily="50" charset="-128"/>
            </a:rPr>
            <a:t>＞が記載されている場合は、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a:t>
          </a:r>
          <a:r>
            <a:rPr kumimoji="1" lang="en-US" altLang="ja-JP" sz="1200">
              <a:solidFill>
                <a:srgbClr val="FF0000"/>
              </a:solidFill>
              <a:latin typeface="メイリオ" panose="020B0604030504040204" pitchFamily="50" charset="-128"/>
              <a:ea typeface="メイリオ" panose="020B0604030504040204" pitchFamily="50" charset="-128"/>
            </a:rPr>
            <a:t>APF2015</a:t>
          </a:r>
          <a:r>
            <a:rPr kumimoji="1" lang="ja-JP" altLang="en-US" sz="1200">
              <a:solidFill>
                <a:sysClr val="windowText" lastClr="000000"/>
              </a:solidFill>
              <a:latin typeface="メイリオ" panose="020B0604030504040204" pitchFamily="50" charset="-128"/>
              <a:ea typeface="メイリオ" panose="020B0604030504040204" pitchFamily="50" charset="-128"/>
            </a:rPr>
            <a:t>＞を記入してください。</a:t>
          </a:r>
        </a:p>
      </xdr:txBody>
    </xdr:sp>
    <xdr:clientData/>
  </xdr:twoCellAnchor>
  <xdr:twoCellAnchor>
    <xdr:from>
      <xdr:col>3</xdr:col>
      <xdr:colOff>28575</xdr:colOff>
      <xdr:row>151</xdr:row>
      <xdr:rowOff>4234</xdr:rowOff>
    </xdr:from>
    <xdr:to>
      <xdr:col>4</xdr:col>
      <xdr:colOff>13608</xdr:colOff>
      <xdr:row>152</xdr:row>
      <xdr:rowOff>4234</xdr:rowOff>
    </xdr:to>
    <xdr:sp macro="" textlink="">
      <xdr:nvSpPr>
        <xdr:cNvPr id="23" name="正方形/長方形 22"/>
        <xdr:cNvSpPr/>
      </xdr:nvSpPr>
      <xdr:spPr>
        <a:xfrm>
          <a:off x="2185035" y="42996274"/>
          <a:ext cx="792753" cy="3429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676276</xdr:colOff>
      <xdr:row>27</xdr:row>
      <xdr:rowOff>9525</xdr:rowOff>
    </xdr:from>
    <xdr:to>
      <xdr:col>5</xdr:col>
      <xdr:colOff>19051</xdr:colOff>
      <xdr:row>28</xdr:row>
      <xdr:rowOff>19050</xdr:rowOff>
    </xdr:to>
    <xdr:sp macro="" textlink="">
      <xdr:nvSpPr>
        <xdr:cNvPr id="24" name="正方形/長方形 23"/>
        <xdr:cNvSpPr/>
      </xdr:nvSpPr>
      <xdr:spPr>
        <a:xfrm>
          <a:off x="676276" y="7172325"/>
          <a:ext cx="3114675" cy="25336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67</xdr:row>
      <xdr:rowOff>0</xdr:rowOff>
    </xdr:from>
    <xdr:to>
      <xdr:col>1</xdr:col>
      <xdr:colOff>1038225</xdr:colOff>
      <xdr:row>70</xdr:row>
      <xdr:rowOff>9525</xdr:rowOff>
    </xdr:to>
    <xdr:sp macro="" textlink="">
      <xdr:nvSpPr>
        <xdr:cNvPr id="25" name="正方形/長方形 24"/>
        <xdr:cNvSpPr/>
      </xdr:nvSpPr>
      <xdr:spPr>
        <a:xfrm>
          <a:off x="704850" y="15697200"/>
          <a:ext cx="1019175" cy="103822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676276</xdr:colOff>
      <xdr:row>27</xdr:row>
      <xdr:rowOff>138112</xdr:rowOff>
    </xdr:from>
    <xdr:to>
      <xdr:col>1</xdr:col>
      <xdr:colOff>19050</xdr:colOff>
      <xdr:row>68</xdr:row>
      <xdr:rowOff>176212</xdr:rowOff>
    </xdr:to>
    <xdr:cxnSp macro="">
      <xdr:nvCxnSpPr>
        <xdr:cNvPr id="26" name="カギ線コネクタ 25"/>
        <xdr:cNvCxnSpPr>
          <a:stCxn id="24" idx="1"/>
          <a:endCxn id="25" idx="1"/>
        </xdr:cNvCxnSpPr>
      </xdr:nvCxnSpPr>
      <xdr:spPr>
        <a:xfrm rot="10800000" flipH="1" flipV="1">
          <a:off x="676276" y="7300912"/>
          <a:ext cx="28574" cy="8915400"/>
        </a:xfrm>
        <a:prstGeom prst="bentConnector3">
          <a:avLst>
            <a:gd name="adj1" fmla="val -800028"/>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685799</xdr:colOff>
      <xdr:row>38</xdr:row>
      <xdr:rowOff>9525</xdr:rowOff>
    </xdr:from>
    <xdr:to>
      <xdr:col>8</xdr:col>
      <xdr:colOff>9524</xdr:colOff>
      <xdr:row>39</xdr:row>
      <xdr:rowOff>0</xdr:rowOff>
    </xdr:to>
    <xdr:sp macro="" textlink="">
      <xdr:nvSpPr>
        <xdr:cNvPr id="27" name="正方形/長方形 26"/>
        <xdr:cNvSpPr/>
      </xdr:nvSpPr>
      <xdr:spPr>
        <a:xfrm>
          <a:off x="685799" y="10349865"/>
          <a:ext cx="5518785" cy="23431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xdr:colOff>
      <xdr:row>89</xdr:row>
      <xdr:rowOff>0</xdr:rowOff>
    </xdr:from>
    <xdr:to>
      <xdr:col>2</xdr:col>
      <xdr:colOff>1</xdr:colOff>
      <xdr:row>95</xdr:row>
      <xdr:rowOff>9525</xdr:rowOff>
    </xdr:to>
    <xdr:sp macro="" textlink="">
      <xdr:nvSpPr>
        <xdr:cNvPr id="28" name="正方形/長方形 27"/>
        <xdr:cNvSpPr/>
      </xdr:nvSpPr>
      <xdr:spPr>
        <a:xfrm>
          <a:off x="685801" y="23141940"/>
          <a:ext cx="1043940" cy="20669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0</xdr:col>
      <xdr:colOff>190500</xdr:colOff>
      <xdr:row>38</xdr:row>
      <xdr:rowOff>142874</xdr:rowOff>
    </xdr:from>
    <xdr:to>
      <xdr:col>1</xdr:col>
      <xdr:colOff>1</xdr:colOff>
      <xdr:row>92</xdr:row>
      <xdr:rowOff>4762</xdr:rowOff>
    </xdr:to>
    <xdr:cxnSp macro="">
      <xdr:nvCxnSpPr>
        <xdr:cNvPr id="29" name="カギ線コネクタ 28"/>
        <xdr:cNvCxnSpPr>
          <a:endCxn id="28" idx="1"/>
        </xdr:cNvCxnSpPr>
      </xdr:nvCxnSpPr>
      <xdr:spPr>
        <a:xfrm rot="16200000" flipH="1">
          <a:off x="-6412706" y="17185480"/>
          <a:ext cx="13701713" cy="495301"/>
        </a:xfrm>
        <a:prstGeom prst="bentConnector2">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38</xdr:row>
      <xdr:rowOff>123825</xdr:rowOff>
    </xdr:from>
    <xdr:to>
      <xdr:col>0</xdr:col>
      <xdr:colOff>685799</xdr:colOff>
      <xdr:row>38</xdr:row>
      <xdr:rowOff>128588</xdr:rowOff>
    </xdr:to>
    <xdr:cxnSp macro="">
      <xdr:nvCxnSpPr>
        <xdr:cNvPr id="30" name="直線コネクタ 29"/>
        <xdr:cNvCxnSpPr>
          <a:endCxn id="27" idx="1"/>
        </xdr:cNvCxnSpPr>
      </xdr:nvCxnSpPr>
      <xdr:spPr>
        <a:xfrm>
          <a:off x="171450" y="10563225"/>
          <a:ext cx="514349" cy="4763"/>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28</xdr:row>
      <xdr:rowOff>85725</xdr:rowOff>
    </xdr:from>
    <xdr:to>
      <xdr:col>16</xdr:col>
      <xdr:colOff>722841</xdr:colOff>
      <xdr:row>30</xdr:row>
      <xdr:rowOff>341839</xdr:rowOff>
    </xdr:to>
    <xdr:sp macro="" textlink="">
      <xdr:nvSpPr>
        <xdr:cNvPr id="31" name="線吹き出し 1 (枠付き) 30"/>
        <xdr:cNvSpPr/>
      </xdr:nvSpPr>
      <xdr:spPr>
        <a:xfrm>
          <a:off x="8658225" y="7591425"/>
          <a:ext cx="4751916" cy="1380064"/>
        </a:xfrm>
        <a:prstGeom prst="borderCallout1">
          <a:avLst>
            <a:gd name="adj1" fmla="val 923"/>
            <a:gd name="adj2" fmla="val 40387"/>
            <a:gd name="adj3" fmla="val -81314"/>
            <a:gd name="adj4" fmla="val 2241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旧設備または、新設備の必要事項に、記入漏れがある場合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旧設備の入力をご確認ください。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または、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新設備の入力をご確認ください。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が表示されます。</a:t>
          </a:r>
        </a:p>
      </xdr:txBody>
    </xdr:sp>
    <xdr:clientData/>
  </xdr:twoCellAnchor>
  <xdr:twoCellAnchor>
    <xdr:from>
      <xdr:col>5</xdr:col>
      <xdr:colOff>572139</xdr:colOff>
      <xdr:row>28</xdr:row>
      <xdr:rowOff>238126</xdr:rowOff>
    </xdr:from>
    <xdr:to>
      <xdr:col>10</xdr:col>
      <xdr:colOff>147109</xdr:colOff>
      <xdr:row>29</xdr:row>
      <xdr:rowOff>261558</xdr:rowOff>
    </xdr:to>
    <xdr:sp macro="" textlink="">
      <xdr:nvSpPr>
        <xdr:cNvPr id="36" name="線吹き出し 1 (枠付き) 35"/>
        <xdr:cNvSpPr/>
      </xdr:nvSpPr>
      <xdr:spPr>
        <a:xfrm>
          <a:off x="4353564" y="7743826"/>
          <a:ext cx="3623095" cy="823532"/>
        </a:xfrm>
        <a:prstGeom prst="borderCallout1">
          <a:avLst>
            <a:gd name="adj1" fmla="val 50310"/>
            <a:gd name="adj2" fmla="val -45"/>
            <a:gd name="adj3" fmla="val -22449"/>
            <a:gd name="adj4" fmla="val -1613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記入漏れがあるセルの番号欄が橙色になります。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未記入欄を確認してください。</a:t>
          </a:r>
        </a:p>
      </xdr:txBody>
    </xdr:sp>
    <xdr:clientData/>
  </xdr:twoCellAnchor>
  <xdr:twoCellAnchor>
    <xdr:from>
      <xdr:col>3</xdr:col>
      <xdr:colOff>771524</xdr:colOff>
      <xdr:row>26</xdr:row>
      <xdr:rowOff>495300</xdr:rowOff>
    </xdr:from>
    <xdr:to>
      <xdr:col>5</xdr:col>
      <xdr:colOff>85725</xdr:colOff>
      <xdr:row>28</xdr:row>
      <xdr:rowOff>66675</xdr:rowOff>
    </xdr:to>
    <xdr:sp macro="" textlink="">
      <xdr:nvSpPr>
        <xdr:cNvPr id="37" name="正方形/長方形 36"/>
        <xdr:cNvSpPr/>
      </xdr:nvSpPr>
      <xdr:spPr>
        <a:xfrm>
          <a:off x="2933699" y="7219950"/>
          <a:ext cx="933451" cy="35242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31</xdr:row>
      <xdr:rowOff>0</xdr:rowOff>
    </xdr:from>
    <xdr:to>
      <xdr:col>5</xdr:col>
      <xdr:colOff>4083</xdr:colOff>
      <xdr:row>32</xdr:row>
      <xdr:rowOff>0</xdr:rowOff>
    </xdr:to>
    <xdr:sp macro="" textlink="">
      <xdr:nvSpPr>
        <xdr:cNvPr id="40" name="正方形/長方形 39"/>
        <xdr:cNvSpPr/>
      </xdr:nvSpPr>
      <xdr:spPr>
        <a:xfrm>
          <a:off x="2990850" y="8972550"/>
          <a:ext cx="794658" cy="3429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257175</xdr:colOff>
      <xdr:row>31</xdr:row>
      <xdr:rowOff>0</xdr:rowOff>
    </xdr:from>
    <xdr:to>
      <xdr:col>9</xdr:col>
      <xdr:colOff>625894</xdr:colOff>
      <xdr:row>37</xdr:row>
      <xdr:rowOff>19013</xdr:rowOff>
    </xdr:to>
    <xdr:sp macro="" textlink="">
      <xdr:nvSpPr>
        <xdr:cNvPr id="41" name="線吹き出し 1 (枠付き) 40"/>
        <xdr:cNvSpPr/>
      </xdr:nvSpPr>
      <xdr:spPr>
        <a:xfrm>
          <a:off x="4848225" y="8972550"/>
          <a:ext cx="2797594" cy="952463"/>
        </a:xfrm>
        <a:prstGeom prst="borderCallout1">
          <a:avLst>
            <a:gd name="adj1" fmla="val 53486"/>
            <a:gd name="adj2" fmla="val -206"/>
            <a:gd name="adj3" fmla="val 15461"/>
            <a:gd name="adj4" fmla="val -389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選択や記入漏れのセルを確認の上、</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適切に記入してください。</a:t>
          </a:r>
        </a:p>
      </xdr:txBody>
    </xdr:sp>
    <xdr:clientData/>
  </xdr:twoCellAnchor>
  <xdr:twoCellAnchor>
    <xdr:from>
      <xdr:col>19</xdr:col>
      <xdr:colOff>304800</xdr:colOff>
      <xdr:row>0</xdr:row>
      <xdr:rowOff>85725</xdr:rowOff>
    </xdr:from>
    <xdr:to>
      <xdr:col>24</xdr:col>
      <xdr:colOff>745218</xdr:colOff>
      <xdr:row>8</xdr:row>
      <xdr:rowOff>239939</xdr:rowOff>
    </xdr:to>
    <xdr:sp macro="" textlink="">
      <xdr:nvSpPr>
        <xdr:cNvPr id="42" name="テキスト ボックス 41"/>
        <xdr:cNvSpPr txBox="1"/>
      </xdr:nvSpPr>
      <xdr:spPr>
        <a:xfrm>
          <a:off x="15420975" y="85725"/>
          <a:ext cx="4488543" cy="2135414"/>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b="1">
              <a:solidFill>
                <a:srgbClr val="FF0000"/>
              </a:solidFill>
              <a:latin typeface="メイリオ" panose="020B0604030504040204" pitchFamily="50" charset="-128"/>
              <a:ea typeface="メイリオ" panose="020B0604030504040204" pitchFamily="50" charset="-128"/>
            </a:rPr>
            <a:t>入力不足</a:t>
          </a:r>
        </a:p>
      </xdr:txBody>
    </xdr:sp>
    <xdr:clientData/>
  </xdr:twoCellAnchor>
  <xdr:twoCellAnchor>
    <xdr:from>
      <xdr:col>19</xdr:col>
      <xdr:colOff>514350</xdr:colOff>
      <xdr:row>111</xdr:row>
      <xdr:rowOff>76200</xdr:rowOff>
    </xdr:from>
    <xdr:to>
      <xdr:col>24</xdr:col>
      <xdr:colOff>745218</xdr:colOff>
      <xdr:row>117</xdr:row>
      <xdr:rowOff>390525</xdr:rowOff>
    </xdr:to>
    <xdr:sp macro="" textlink="">
      <xdr:nvSpPr>
        <xdr:cNvPr id="43" name="テキスト ボックス 42"/>
        <xdr:cNvSpPr txBox="1"/>
      </xdr:nvSpPr>
      <xdr:spPr>
        <a:xfrm>
          <a:off x="15630525" y="29841825"/>
          <a:ext cx="4278993" cy="20383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b="1">
              <a:solidFill>
                <a:srgbClr val="FF0000"/>
              </a:solidFill>
              <a:latin typeface="メイリオ" panose="020B0604030504040204" pitchFamily="50" charset="-128"/>
              <a:ea typeface="メイリオ" panose="020B0604030504040204" pitchFamily="50" charset="-128"/>
            </a:rPr>
            <a:t>入力不足</a:t>
          </a:r>
        </a:p>
      </xdr:txBody>
    </xdr:sp>
    <xdr:clientData/>
  </xdr:twoCellAnchor>
  <xdr:twoCellAnchor>
    <xdr:from>
      <xdr:col>1</xdr:col>
      <xdr:colOff>9525</xdr:colOff>
      <xdr:row>118</xdr:row>
      <xdr:rowOff>19050</xdr:rowOff>
    </xdr:from>
    <xdr:to>
      <xdr:col>4</xdr:col>
      <xdr:colOff>561</xdr:colOff>
      <xdr:row>118</xdr:row>
      <xdr:rowOff>340659</xdr:rowOff>
    </xdr:to>
    <xdr:sp macro="" textlink="">
      <xdr:nvSpPr>
        <xdr:cNvPr id="44" name="正方形/長方形 43"/>
        <xdr:cNvSpPr/>
      </xdr:nvSpPr>
      <xdr:spPr>
        <a:xfrm>
          <a:off x="695325" y="32042100"/>
          <a:ext cx="2277036" cy="321609"/>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118</xdr:row>
      <xdr:rowOff>180975</xdr:rowOff>
    </xdr:from>
    <xdr:to>
      <xdr:col>1</xdr:col>
      <xdr:colOff>9526</xdr:colOff>
      <xdr:row>161</xdr:row>
      <xdr:rowOff>286451</xdr:rowOff>
    </xdr:to>
    <xdr:cxnSp macro="">
      <xdr:nvCxnSpPr>
        <xdr:cNvPr id="45" name="カギ線コネクタ 44"/>
        <xdr:cNvCxnSpPr>
          <a:stCxn id="44" idx="1"/>
        </xdr:cNvCxnSpPr>
      </xdr:nvCxnSpPr>
      <xdr:spPr>
        <a:xfrm rot="10800000" flipV="1">
          <a:off x="695325" y="32204025"/>
          <a:ext cx="1" cy="12649901"/>
        </a:xfrm>
        <a:prstGeom prst="bentConnector3">
          <a:avLst>
            <a:gd name="adj1" fmla="val 22860100000"/>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139</xdr:row>
      <xdr:rowOff>19050</xdr:rowOff>
    </xdr:from>
    <xdr:to>
      <xdr:col>3</xdr:col>
      <xdr:colOff>781611</xdr:colOff>
      <xdr:row>139</xdr:row>
      <xdr:rowOff>333375</xdr:rowOff>
    </xdr:to>
    <xdr:sp macro="" textlink="">
      <xdr:nvSpPr>
        <xdr:cNvPr id="46" name="正方形/長方形 45"/>
        <xdr:cNvSpPr/>
      </xdr:nvSpPr>
      <xdr:spPr>
        <a:xfrm>
          <a:off x="685800" y="38319075"/>
          <a:ext cx="2257986" cy="3143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139</xdr:row>
      <xdr:rowOff>161925</xdr:rowOff>
    </xdr:from>
    <xdr:to>
      <xdr:col>0</xdr:col>
      <xdr:colOff>680756</xdr:colOff>
      <xdr:row>139</xdr:row>
      <xdr:rowOff>161925</xdr:rowOff>
    </xdr:to>
    <xdr:cxnSp macro="">
      <xdr:nvCxnSpPr>
        <xdr:cNvPr id="47" name="直線コネクタ 46"/>
        <xdr:cNvCxnSpPr/>
      </xdr:nvCxnSpPr>
      <xdr:spPr>
        <a:xfrm>
          <a:off x="209550" y="38461950"/>
          <a:ext cx="471206"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14006</xdr:colOff>
      <xdr:row>161</xdr:row>
      <xdr:rowOff>14850</xdr:rowOff>
    </xdr:from>
    <xdr:to>
      <xdr:col>1</xdr:col>
      <xdr:colOff>1044388</xdr:colOff>
      <xdr:row>163</xdr:row>
      <xdr:rowOff>5605</xdr:rowOff>
    </xdr:to>
    <xdr:sp macro="" textlink="">
      <xdr:nvSpPr>
        <xdr:cNvPr id="48" name="正方形/長方形 47"/>
        <xdr:cNvSpPr/>
      </xdr:nvSpPr>
      <xdr:spPr>
        <a:xfrm>
          <a:off x="699806" y="44582325"/>
          <a:ext cx="1030382" cy="67655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14007</xdr:colOff>
      <xdr:row>183</xdr:row>
      <xdr:rowOff>5045</xdr:rowOff>
    </xdr:from>
    <xdr:to>
      <xdr:col>2</xdr:col>
      <xdr:colOff>6163</xdr:colOff>
      <xdr:row>185</xdr:row>
      <xdr:rowOff>10087</xdr:rowOff>
    </xdr:to>
    <xdr:sp macro="" textlink="">
      <xdr:nvSpPr>
        <xdr:cNvPr id="49" name="正方形/長方形 48"/>
        <xdr:cNvSpPr/>
      </xdr:nvSpPr>
      <xdr:spPr>
        <a:xfrm>
          <a:off x="699807" y="52021070"/>
          <a:ext cx="1039906" cy="690842"/>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0</xdr:col>
      <xdr:colOff>200025</xdr:colOff>
      <xdr:row>139</xdr:row>
      <xdr:rowOff>152400</xdr:rowOff>
    </xdr:from>
    <xdr:to>
      <xdr:col>1</xdr:col>
      <xdr:colOff>14007</xdr:colOff>
      <xdr:row>184</xdr:row>
      <xdr:rowOff>7566</xdr:rowOff>
    </xdr:to>
    <xdr:cxnSp macro="">
      <xdr:nvCxnSpPr>
        <xdr:cNvPr id="50" name="カギ線コネクタ 49"/>
        <xdr:cNvCxnSpPr>
          <a:endCxn id="49" idx="1"/>
        </xdr:cNvCxnSpPr>
      </xdr:nvCxnSpPr>
      <xdr:spPr>
        <a:xfrm rot="16200000" flipH="1">
          <a:off x="-6507117" y="45159567"/>
          <a:ext cx="13914066" cy="499782"/>
        </a:xfrm>
        <a:prstGeom prst="bentConnector2">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200025</xdr:colOff>
      <xdr:row>123</xdr:row>
      <xdr:rowOff>9525</xdr:rowOff>
    </xdr:from>
    <xdr:to>
      <xdr:col>4</xdr:col>
      <xdr:colOff>592932</xdr:colOff>
      <xdr:row>126</xdr:row>
      <xdr:rowOff>327025</xdr:rowOff>
    </xdr:to>
    <xdr:sp macro="" textlink="">
      <xdr:nvSpPr>
        <xdr:cNvPr id="54" name="右中かっこ 53"/>
        <xdr:cNvSpPr/>
      </xdr:nvSpPr>
      <xdr:spPr>
        <a:xfrm>
          <a:off x="3171825" y="34204275"/>
          <a:ext cx="392907" cy="13462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25401</xdr:colOff>
      <xdr:row>123</xdr:row>
      <xdr:rowOff>221191</xdr:rowOff>
    </xdr:from>
    <xdr:to>
      <xdr:col>12</xdr:col>
      <xdr:colOff>131234</xdr:colOff>
      <xdr:row>126</xdr:row>
      <xdr:rowOff>136524</xdr:rowOff>
    </xdr:to>
    <xdr:sp macro="" textlink="">
      <xdr:nvSpPr>
        <xdr:cNvPr id="55" name="テキスト ボックス 54"/>
        <xdr:cNvSpPr txBox="1"/>
      </xdr:nvSpPr>
      <xdr:spPr>
        <a:xfrm>
          <a:off x="3806826" y="34415941"/>
          <a:ext cx="5773208" cy="94403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仕様書等の記載通りに記載してください。</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22</xdr:col>
      <xdr:colOff>20784</xdr:colOff>
      <xdr:row>184</xdr:row>
      <xdr:rowOff>0</xdr:rowOff>
    </xdr:from>
    <xdr:to>
      <xdr:col>23</xdr:col>
      <xdr:colOff>804432</xdr:colOff>
      <xdr:row>185</xdr:row>
      <xdr:rowOff>17318</xdr:rowOff>
    </xdr:to>
    <xdr:sp macro="" textlink="">
      <xdr:nvSpPr>
        <xdr:cNvPr id="56" name="正方形/長方形 55"/>
        <xdr:cNvSpPr/>
      </xdr:nvSpPr>
      <xdr:spPr>
        <a:xfrm>
          <a:off x="17565834" y="52358925"/>
          <a:ext cx="1593273" cy="360218"/>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647700</xdr:colOff>
      <xdr:row>185</xdr:row>
      <xdr:rowOff>272144</xdr:rowOff>
    </xdr:from>
    <xdr:to>
      <xdr:col>20</xdr:col>
      <xdr:colOff>670461</xdr:colOff>
      <xdr:row>190</xdr:row>
      <xdr:rowOff>243938</xdr:rowOff>
    </xdr:to>
    <xdr:sp macro="" textlink="">
      <xdr:nvSpPr>
        <xdr:cNvPr id="52" name="線吹き出し 1 (枠付き) 51"/>
        <xdr:cNvSpPr/>
      </xdr:nvSpPr>
      <xdr:spPr>
        <a:xfrm>
          <a:off x="10096500" y="52973969"/>
          <a:ext cx="6499761" cy="1686294"/>
        </a:xfrm>
        <a:prstGeom prst="borderCallout1">
          <a:avLst>
            <a:gd name="adj1" fmla="val 43044"/>
            <a:gd name="adj2" fmla="val 100183"/>
            <a:gd name="adj3" fmla="val -26023"/>
            <a:gd name="adj4" fmla="val 1146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記載いただいた型番に該当するものを選択してください。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①推奨機器：導入推奨機器に指定されたもの。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②４つ星：統一省エネルギーラベル４つ星以上であるもの。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③その他：（導入推奨機器指定要綱の指定基準又はクレジット算定ガイドラインの認定基準を満たすもの）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39120</xdr:colOff>
      <xdr:row>46</xdr:row>
      <xdr:rowOff>90146</xdr:rowOff>
    </xdr:from>
    <xdr:to>
      <xdr:col>26</xdr:col>
      <xdr:colOff>301057</xdr:colOff>
      <xdr:row>48</xdr:row>
      <xdr:rowOff>268740</xdr:rowOff>
    </xdr:to>
    <xdr:sp macro="" textlink="">
      <xdr:nvSpPr>
        <xdr:cNvPr id="2" name="右中かっこ 1"/>
        <xdr:cNvSpPr/>
      </xdr:nvSpPr>
      <xdr:spPr>
        <a:xfrm>
          <a:off x="20338800" y="13516586"/>
          <a:ext cx="261937" cy="864394"/>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39120</xdr:colOff>
      <xdr:row>27</xdr:row>
      <xdr:rowOff>244927</xdr:rowOff>
    </xdr:from>
    <xdr:to>
      <xdr:col>26</xdr:col>
      <xdr:colOff>321469</xdr:colOff>
      <xdr:row>29</xdr:row>
      <xdr:rowOff>321468</xdr:rowOff>
    </xdr:to>
    <xdr:sp macro="" textlink="">
      <xdr:nvSpPr>
        <xdr:cNvPr id="3" name="右中かっこ 2"/>
        <xdr:cNvSpPr/>
      </xdr:nvSpPr>
      <xdr:spPr>
        <a:xfrm>
          <a:off x="20338800" y="7407727"/>
          <a:ext cx="282349" cy="1120481"/>
        </a:xfrm>
        <a:prstGeom prst="rightBrace">
          <a:avLst>
            <a:gd name="adj1" fmla="val 8333"/>
            <a:gd name="adj2" fmla="val 3517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39</xdr:row>
      <xdr:rowOff>6802</xdr:rowOff>
    </xdr:from>
    <xdr:to>
      <xdr:col>26</xdr:col>
      <xdr:colOff>357187</xdr:colOff>
      <xdr:row>43</xdr:row>
      <xdr:rowOff>0</xdr:rowOff>
    </xdr:to>
    <xdr:sp macro="" textlink="">
      <xdr:nvSpPr>
        <xdr:cNvPr id="4" name="右中かっこ 3"/>
        <xdr:cNvSpPr/>
      </xdr:nvSpPr>
      <xdr:spPr>
        <a:xfrm>
          <a:off x="20338801" y="10590982"/>
          <a:ext cx="318066" cy="1806758"/>
        </a:xfrm>
        <a:prstGeom prst="rightBrace">
          <a:avLst>
            <a:gd name="adj1" fmla="val 8333"/>
            <a:gd name="adj2" fmla="val 37535"/>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304800</xdr:colOff>
      <xdr:row>1</xdr:row>
      <xdr:rowOff>9525</xdr:rowOff>
    </xdr:from>
    <xdr:to>
      <xdr:col>14</xdr:col>
      <xdr:colOff>697707</xdr:colOff>
      <xdr:row>20</xdr:row>
      <xdr:rowOff>219075</xdr:rowOff>
    </xdr:to>
    <xdr:sp macro="" textlink="">
      <xdr:nvSpPr>
        <xdr:cNvPr id="5" name="右中かっこ 4"/>
        <xdr:cNvSpPr/>
      </xdr:nvSpPr>
      <xdr:spPr>
        <a:xfrm>
          <a:off x="11346180" y="253365"/>
          <a:ext cx="392907" cy="484251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68717</xdr:colOff>
      <xdr:row>9</xdr:row>
      <xdr:rowOff>67697</xdr:rowOff>
    </xdr:from>
    <xdr:to>
      <xdr:col>18</xdr:col>
      <xdr:colOff>497683</xdr:colOff>
      <xdr:row>13</xdr:row>
      <xdr:rowOff>20072</xdr:rowOff>
    </xdr:to>
    <xdr:sp macro="" textlink="">
      <xdr:nvSpPr>
        <xdr:cNvPr id="6" name="テキスト ボックス 5"/>
        <xdr:cNvSpPr txBox="1"/>
      </xdr:nvSpPr>
      <xdr:spPr>
        <a:xfrm>
          <a:off x="11917817" y="2262257"/>
          <a:ext cx="2852126" cy="92773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7</xdr:col>
      <xdr:colOff>0</xdr:colOff>
      <xdr:row>24</xdr:row>
      <xdr:rowOff>0</xdr:rowOff>
    </xdr:from>
    <xdr:to>
      <xdr:col>15</xdr:col>
      <xdr:colOff>10885</xdr:colOff>
      <xdr:row>25</xdr:row>
      <xdr:rowOff>0</xdr:rowOff>
    </xdr:to>
    <xdr:sp macro="" textlink="">
      <xdr:nvSpPr>
        <xdr:cNvPr id="8" name="正方形/長方形 7"/>
        <xdr:cNvSpPr/>
      </xdr:nvSpPr>
      <xdr:spPr>
        <a:xfrm>
          <a:off x="5387340" y="5852160"/>
          <a:ext cx="6472645" cy="54102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111</xdr:row>
      <xdr:rowOff>85725</xdr:rowOff>
    </xdr:from>
    <xdr:to>
      <xdr:col>13</xdr:col>
      <xdr:colOff>9525</xdr:colOff>
      <xdr:row>113</xdr:row>
      <xdr:rowOff>238125</xdr:rowOff>
    </xdr:to>
    <xdr:sp macro="" textlink="">
      <xdr:nvSpPr>
        <xdr:cNvPr id="9" name="線吹き出し 1 (枠付き) 8"/>
        <xdr:cNvSpPr/>
      </xdr:nvSpPr>
      <xdr:spPr>
        <a:xfrm>
          <a:off x="7269480" y="29742765"/>
          <a:ext cx="2973705" cy="784860"/>
        </a:xfrm>
        <a:prstGeom prst="borderCallout1">
          <a:avLst>
            <a:gd name="adj1" fmla="val 46240"/>
            <a:gd name="adj2" fmla="val -513"/>
            <a:gd name="adj3" fmla="val 40917"/>
            <a:gd name="adj4" fmla="val -365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空調設備の更新を行う場合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必ず　”</a:t>
          </a:r>
          <a:r>
            <a:rPr kumimoji="1" lang="ja-JP" altLang="en-US" sz="1200">
              <a:solidFill>
                <a:srgbClr val="FF0000"/>
              </a:solidFill>
              <a:latin typeface="メイリオ" panose="020B0604030504040204" pitchFamily="50" charset="-128"/>
              <a:ea typeface="メイリオ" panose="020B0604030504040204" pitchFamily="50" charset="-128"/>
            </a:rPr>
            <a:t>はい</a:t>
          </a:r>
          <a:r>
            <a:rPr kumimoji="1" lang="ja-JP" altLang="en-US" sz="1200">
              <a:solidFill>
                <a:sysClr val="windowText" lastClr="000000"/>
              </a:solidFill>
              <a:latin typeface="メイリオ" panose="020B0604030504040204" pitchFamily="50" charset="-128"/>
              <a:ea typeface="メイリオ" panose="020B0604030504040204" pitchFamily="50" charset="-128"/>
            </a:rPr>
            <a:t>”　を選択してください。</a:t>
          </a:r>
        </a:p>
      </xdr:txBody>
    </xdr:sp>
    <xdr:clientData/>
  </xdr:twoCellAnchor>
  <xdr:twoCellAnchor>
    <xdr:from>
      <xdr:col>7</xdr:col>
      <xdr:colOff>0</xdr:colOff>
      <xdr:row>115</xdr:row>
      <xdr:rowOff>0</xdr:rowOff>
    </xdr:from>
    <xdr:to>
      <xdr:col>15</xdr:col>
      <xdr:colOff>10885</xdr:colOff>
      <xdr:row>116</xdr:row>
      <xdr:rowOff>0</xdr:rowOff>
    </xdr:to>
    <xdr:sp macro="" textlink="">
      <xdr:nvSpPr>
        <xdr:cNvPr id="12" name="正方形/長方形 11"/>
        <xdr:cNvSpPr/>
      </xdr:nvSpPr>
      <xdr:spPr>
        <a:xfrm>
          <a:off x="5387340" y="30731460"/>
          <a:ext cx="6472645" cy="54102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130</xdr:row>
      <xdr:rowOff>28575</xdr:rowOff>
    </xdr:from>
    <xdr:to>
      <xdr:col>4</xdr:col>
      <xdr:colOff>478632</xdr:colOff>
      <xdr:row>131</xdr:row>
      <xdr:rowOff>314629</xdr:rowOff>
    </xdr:to>
    <xdr:sp macro="" textlink="">
      <xdr:nvSpPr>
        <xdr:cNvPr id="16" name="右中かっこ 15"/>
        <xdr:cNvSpPr/>
      </xdr:nvSpPr>
      <xdr:spPr>
        <a:xfrm>
          <a:off x="3030855" y="36756975"/>
          <a:ext cx="411957" cy="628954"/>
        </a:xfrm>
        <a:prstGeom prst="rightBrace">
          <a:avLst>
            <a:gd name="adj1" fmla="val 1075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678090</xdr:colOff>
      <xdr:row>128</xdr:row>
      <xdr:rowOff>200025</xdr:rowOff>
    </xdr:from>
    <xdr:to>
      <xdr:col>11</xdr:col>
      <xdr:colOff>773341</xdr:colOff>
      <xdr:row>131</xdr:row>
      <xdr:rowOff>284692</xdr:rowOff>
    </xdr:to>
    <xdr:sp macro="" textlink="">
      <xdr:nvSpPr>
        <xdr:cNvPr id="17" name="テキスト ボックス 16"/>
        <xdr:cNvSpPr txBox="1"/>
      </xdr:nvSpPr>
      <xdr:spPr>
        <a:xfrm>
          <a:off x="3642270" y="36006405"/>
          <a:ext cx="5749291" cy="1349587"/>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rgbClr val="FF0000"/>
              </a:solidFill>
              <a:latin typeface="メイリオ" panose="020B0604030504040204" pitchFamily="50" charset="-128"/>
              <a:ea typeface="メイリオ" panose="020B0604030504040204" pitchFamily="50" charset="-128"/>
            </a:rPr>
            <a:t>APF</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＞又は＜</a:t>
          </a:r>
          <a:r>
            <a:rPr kumimoji="1" lang="en-US" altLang="ja-JP" sz="1200" baseline="0">
              <a:solidFill>
                <a:srgbClr val="FF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＞どちらかの入力が必須です。</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仕様書等に記載が無い場合は、次の計算式で求めた</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値を記載してください。</a:t>
          </a: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冷房、暖房　各</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能力／消費電力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1</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冷暖平均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 （冷房</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＋暖房</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COP</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2</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aseline="0">
              <a:solidFill>
                <a:sysClr val="windowText" lastClr="000000"/>
              </a:solidFill>
              <a:latin typeface="メイリオ" panose="020B0604030504040204" pitchFamily="50" charset="-128"/>
              <a:ea typeface="メイリオ" panose="020B0604030504040204" pitchFamily="50" charset="-128"/>
            </a:rPr>
            <a:t>2</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a:t>
          </a:r>
        </a:p>
      </xdr:txBody>
    </xdr:sp>
    <xdr:clientData/>
  </xdr:twoCellAnchor>
  <xdr:twoCellAnchor>
    <xdr:from>
      <xdr:col>4</xdr:col>
      <xdr:colOff>104775</xdr:colOff>
      <xdr:row>144</xdr:row>
      <xdr:rowOff>9525</xdr:rowOff>
    </xdr:from>
    <xdr:to>
      <xdr:col>4</xdr:col>
      <xdr:colOff>497682</xdr:colOff>
      <xdr:row>147</xdr:row>
      <xdr:rowOff>327025</xdr:rowOff>
    </xdr:to>
    <xdr:sp macro="" textlink="">
      <xdr:nvSpPr>
        <xdr:cNvPr id="20" name="右中かっこ 19"/>
        <xdr:cNvSpPr/>
      </xdr:nvSpPr>
      <xdr:spPr>
        <a:xfrm>
          <a:off x="3068955" y="40372665"/>
          <a:ext cx="392907" cy="13462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739776</xdr:colOff>
      <xdr:row>144</xdr:row>
      <xdr:rowOff>221191</xdr:rowOff>
    </xdr:from>
    <xdr:to>
      <xdr:col>12</xdr:col>
      <xdr:colOff>35984</xdr:colOff>
      <xdr:row>147</xdr:row>
      <xdr:rowOff>136524</xdr:rowOff>
    </xdr:to>
    <xdr:sp macro="" textlink="">
      <xdr:nvSpPr>
        <xdr:cNvPr id="21" name="テキスト ボックス 20"/>
        <xdr:cNvSpPr txBox="1"/>
      </xdr:nvSpPr>
      <xdr:spPr>
        <a:xfrm>
          <a:off x="3703956" y="40584331"/>
          <a:ext cx="5757968" cy="94403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仕様書等の記載通りに記載してください。</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5</xdr:col>
      <xdr:colOff>2116</xdr:colOff>
      <xdr:row>150</xdr:row>
      <xdr:rowOff>57150</xdr:rowOff>
    </xdr:from>
    <xdr:to>
      <xdr:col>10</xdr:col>
      <xdr:colOff>578908</xdr:colOff>
      <xdr:row>152</xdr:row>
      <xdr:rowOff>143897</xdr:rowOff>
    </xdr:to>
    <xdr:sp macro="" textlink="">
      <xdr:nvSpPr>
        <xdr:cNvPr id="22" name="線吹き出し 1 (枠付き) 21"/>
        <xdr:cNvSpPr/>
      </xdr:nvSpPr>
      <xdr:spPr>
        <a:xfrm>
          <a:off x="3774016" y="42706290"/>
          <a:ext cx="4615392" cy="772547"/>
        </a:xfrm>
        <a:prstGeom prst="borderCallout1">
          <a:avLst>
            <a:gd name="adj1" fmla="val 52707"/>
            <a:gd name="adj2" fmla="val -267"/>
            <a:gd name="adj3" fmla="val 63081"/>
            <a:gd name="adj4" fmla="val -1738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仕様書等に＜</a:t>
          </a:r>
          <a:r>
            <a:rPr kumimoji="1" lang="en-US" altLang="ja-JP" sz="1200">
              <a:solidFill>
                <a:sysClr val="windowText" lastClr="000000"/>
              </a:solidFill>
              <a:latin typeface="メイリオ" panose="020B0604030504040204" pitchFamily="50" charset="-128"/>
              <a:ea typeface="メイリオ" panose="020B0604030504040204" pitchFamily="50" charset="-128"/>
            </a:rPr>
            <a:t>APF</a:t>
          </a:r>
          <a:r>
            <a:rPr kumimoji="1" lang="ja-JP" altLang="en-US" sz="1200">
              <a:solidFill>
                <a:sysClr val="windowText" lastClr="000000"/>
              </a:solidFill>
              <a:latin typeface="メイリオ" panose="020B0604030504040204" pitchFamily="50" charset="-128"/>
              <a:ea typeface="メイリオ" panose="020B0604030504040204" pitchFamily="50" charset="-128"/>
            </a:rPr>
            <a:t>＞と＜</a:t>
          </a:r>
          <a:r>
            <a:rPr kumimoji="1" lang="en-US" altLang="ja-JP" sz="1200">
              <a:solidFill>
                <a:sysClr val="windowText" lastClr="000000"/>
              </a:solidFill>
              <a:latin typeface="メイリオ" panose="020B0604030504040204" pitchFamily="50" charset="-128"/>
              <a:ea typeface="メイリオ" panose="020B0604030504040204" pitchFamily="50" charset="-128"/>
            </a:rPr>
            <a:t>APF2015</a:t>
          </a:r>
          <a:r>
            <a:rPr kumimoji="1" lang="ja-JP" altLang="en-US" sz="1200">
              <a:solidFill>
                <a:sysClr val="windowText" lastClr="000000"/>
              </a:solidFill>
              <a:latin typeface="メイリオ" panose="020B0604030504040204" pitchFamily="50" charset="-128"/>
              <a:ea typeface="メイリオ" panose="020B0604030504040204" pitchFamily="50" charset="-128"/>
            </a:rPr>
            <a:t>＞が記載されている場合は、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a:t>
          </a:r>
          <a:r>
            <a:rPr kumimoji="1" lang="en-US" altLang="ja-JP" sz="1200">
              <a:solidFill>
                <a:srgbClr val="FF0000"/>
              </a:solidFill>
              <a:latin typeface="メイリオ" panose="020B0604030504040204" pitchFamily="50" charset="-128"/>
              <a:ea typeface="メイリオ" panose="020B0604030504040204" pitchFamily="50" charset="-128"/>
            </a:rPr>
            <a:t>APF2015</a:t>
          </a:r>
          <a:r>
            <a:rPr kumimoji="1" lang="ja-JP" altLang="en-US" sz="1200">
              <a:solidFill>
                <a:sysClr val="windowText" lastClr="000000"/>
              </a:solidFill>
              <a:latin typeface="メイリオ" panose="020B0604030504040204" pitchFamily="50" charset="-128"/>
              <a:ea typeface="メイリオ" panose="020B0604030504040204" pitchFamily="50" charset="-128"/>
            </a:rPr>
            <a:t>＞を記入してください。</a:t>
          </a:r>
        </a:p>
      </xdr:txBody>
    </xdr:sp>
    <xdr:clientData/>
  </xdr:twoCellAnchor>
  <xdr:twoCellAnchor>
    <xdr:from>
      <xdr:col>3</xdr:col>
      <xdr:colOff>28575</xdr:colOff>
      <xdr:row>151</xdr:row>
      <xdr:rowOff>4234</xdr:rowOff>
    </xdr:from>
    <xdr:to>
      <xdr:col>4</xdr:col>
      <xdr:colOff>13608</xdr:colOff>
      <xdr:row>152</xdr:row>
      <xdr:rowOff>4234</xdr:rowOff>
    </xdr:to>
    <xdr:sp macro="" textlink="">
      <xdr:nvSpPr>
        <xdr:cNvPr id="23" name="正方形/長方形 22"/>
        <xdr:cNvSpPr/>
      </xdr:nvSpPr>
      <xdr:spPr>
        <a:xfrm>
          <a:off x="2185035" y="42996274"/>
          <a:ext cx="792753" cy="3429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676276</xdr:colOff>
      <xdr:row>27</xdr:row>
      <xdr:rowOff>9525</xdr:rowOff>
    </xdr:from>
    <xdr:to>
      <xdr:col>5</xdr:col>
      <xdr:colOff>19051</xdr:colOff>
      <xdr:row>28</xdr:row>
      <xdr:rowOff>19050</xdr:rowOff>
    </xdr:to>
    <xdr:sp macro="" textlink="">
      <xdr:nvSpPr>
        <xdr:cNvPr id="24" name="正方形/長方形 23"/>
        <xdr:cNvSpPr/>
      </xdr:nvSpPr>
      <xdr:spPr>
        <a:xfrm>
          <a:off x="676276" y="7172325"/>
          <a:ext cx="3114675" cy="25336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67</xdr:row>
      <xdr:rowOff>0</xdr:rowOff>
    </xdr:from>
    <xdr:to>
      <xdr:col>1</xdr:col>
      <xdr:colOff>1038225</xdr:colOff>
      <xdr:row>70</xdr:row>
      <xdr:rowOff>9525</xdr:rowOff>
    </xdr:to>
    <xdr:sp macro="" textlink="">
      <xdr:nvSpPr>
        <xdr:cNvPr id="25" name="正方形/長方形 24"/>
        <xdr:cNvSpPr/>
      </xdr:nvSpPr>
      <xdr:spPr>
        <a:xfrm>
          <a:off x="704850" y="15697200"/>
          <a:ext cx="1019175" cy="103822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676276</xdr:colOff>
      <xdr:row>27</xdr:row>
      <xdr:rowOff>138112</xdr:rowOff>
    </xdr:from>
    <xdr:to>
      <xdr:col>1</xdr:col>
      <xdr:colOff>19050</xdr:colOff>
      <xdr:row>68</xdr:row>
      <xdr:rowOff>176212</xdr:rowOff>
    </xdr:to>
    <xdr:cxnSp macro="">
      <xdr:nvCxnSpPr>
        <xdr:cNvPr id="26" name="カギ線コネクタ 25"/>
        <xdr:cNvCxnSpPr>
          <a:stCxn id="24" idx="1"/>
          <a:endCxn id="25" idx="1"/>
        </xdr:cNvCxnSpPr>
      </xdr:nvCxnSpPr>
      <xdr:spPr>
        <a:xfrm rot="10800000" flipH="1" flipV="1">
          <a:off x="676276" y="7300912"/>
          <a:ext cx="28574" cy="8915400"/>
        </a:xfrm>
        <a:prstGeom prst="bentConnector3">
          <a:avLst>
            <a:gd name="adj1" fmla="val -800028"/>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685799</xdr:colOff>
      <xdr:row>38</xdr:row>
      <xdr:rowOff>9525</xdr:rowOff>
    </xdr:from>
    <xdr:to>
      <xdr:col>8</xdr:col>
      <xdr:colOff>9524</xdr:colOff>
      <xdr:row>39</xdr:row>
      <xdr:rowOff>0</xdr:rowOff>
    </xdr:to>
    <xdr:sp macro="" textlink="">
      <xdr:nvSpPr>
        <xdr:cNvPr id="27" name="正方形/長方形 26"/>
        <xdr:cNvSpPr/>
      </xdr:nvSpPr>
      <xdr:spPr>
        <a:xfrm>
          <a:off x="685799" y="10349865"/>
          <a:ext cx="5518785" cy="23431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xdr:colOff>
      <xdr:row>89</xdr:row>
      <xdr:rowOff>0</xdr:rowOff>
    </xdr:from>
    <xdr:to>
      <xdr:col>2</xdr:col>
      <xdr:colOff>1</xdr:colOff>
      <xdr:row>95</xdr:row>
      <xdr:rowOff>9525</xdr:rowOff>
    </xdr:to>
    <xdr:sp macro="" textlink="">
      <xdr:nvSpPr>
        <xdr:cNvPr id="28" name="正方形/長方形 27"/>
        <xdr:cNvSpPr/>
      </xdr:nvSpPr>
      <xdr:spPr>
        <a:xfrm>
          <a:off x="685801" y="23141940"/>
          <a:ext cx="1043940" cy="20669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0</xdr:col>
      <xdr:colOff>171450</xdr:colOff>
      <xdr:row>38</xdr:row>
      <xdr:rowOff>104774</xdr:rowOff>
    </xdr:from>
    <xdr:to>
      <xdr:col>1</xdr:col>
      <xdr:colOff>1</xdr:colOff>
      <xdr:row>92</xdr:row>
      <xdr:rowOff>4762</xdr:rowOff>
    </xdr:to>
    <xdr:cxnSp macro="">
      <xdr:nvCxnSpPr>
        <xdr:cNvPr id="29" name="カギ線コネクタ 28"/>
        <xdr:cNvCxnSpPr>
          <a:endCxn id="28" idx="1"/>
        </xdr:cNvCxnSpPr>
      </xdr:nvCxnSpPr>
      <xdr:spPr>
        <a:xfrm rot="16200000" flipH="1">
          <a:off x="-6436518" y="17053082"/>
          <a:ext cx="13730288" cy="514351"/>
        </a:xfrm>
        <a:prstGeom prst="bentConnector2">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38</xdr:row>
      <xdr:rowOff>119065</xdr:rowOff>
    </xdr:from>
    <xdr:to>
      <xdr:col>0</xdr:col>
      <xdr:colOff>685799</xdr:colOff>
      <xdr:row>38</xdr:row>
      <xdr:rowOff>123825</xdr:rowOff>
    </xdr:to>
    <xdr:cxnSp macro="">
      <xdr:nvCxnSpPr>
        <xdr:cNvPr id="30" name="直線コネクタ 29"/>
        <xdr:cNvCxnSpPr/>
      </xdr:nvCxnSpPr>
      <xdr:spPr>
        <a:xfrm flipV="1">
          <a:off x="142875" y="10459405"/>
          <a:ext cx="542924" cy="476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314325</xdr:colOff>
      <xdr:row>0</xdr:row>
      <xdr:rowOff>66675</xdr:rowOff>
    </xdr:from>
    <xdr:to>
      <xdr:col>24</xdr:col>
      <xdr:colOff>745672</xdr:colOff>
      <xdr:row>8</xdr:row>
      <xdr:rowOff>235403</xdr:rowOff>
    </xdr:to>
    <xdr:sp macro="" textlink="">
      <xdr:nvSpPr>
        <xdr:cNvPr id="33" name="テキスト ボックス 32"/>
        <xdr:cNvSpPr txBox="1"/>
      </xdr:nvSpPr>
      <xdr:spPr>
        <a:xfrm>
          <a:off x="15430500" y="66675"/>
          <a:ext cx="4479472" cy="2149928"/>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19</xdr:col>
      <xdr:colOff>428625</xdr:colOff>
      <xdr:row>111</xdr:row>
      <xdr:rowOff>66675</xdr:rowOff>
    </xdr:from>
    <xdr:to>
      <xdr:col>24</xdr:col>
      <xdr:colOff>755197</xdr:colOff>
      <xdr:row>117</xdr:row>
      <xdr:rowOff>409575</xdr:rowOff>
    </xdr:to>
    <xdr:sp macro="" textlink="">
      <xdr:nvSpPr>
        <xdr:cNvPr id="35" name="テキスト ボックス 34"/>
        <xdr:cNvSpPr txBox="1"/>
      </xdr:nvSpPr>
      <xdr:spPr>
        <a:xfrm>
          <a:off x="15544800" y="29832300"/>
          <a:ext cx="4374697" cy="2066925"/>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6</xdr:col>
      <xdr:colOff>323850</xdr:colOff>
      <xdr:row>28</xdr:row>
      <xdr:rowOff>114300</xdr:rowOff>
    </xdr:from>
    <xdr:to>
      <xdr:col>14</xdr:col>
      <xdr:colOff>77107</xdr:colOff>
      <xdr:row>31</xdr:row>
      <xdr:rowOff>185965</xdr:rowOff>
    </xdr:to>
    <xdr:sp macro="" textlink="">
      <xdr:nvSpPr>
        <xdr:cNvPr id="36" name="線吹き出し 1 (枠付き) 35"/>
        <xdr:cNvSpPr/>
      </xdr:nvSpPr>
      <xdr:spPr>
        <a:xfrm>
          <a:off x="4914900" y="7620000"/>
          <a:ext cx="6230257" cy="1538515"/>
        </a:xfrm>
        <a:prstGeom prst="borderCallout1">
          <a:avLst>
            <a:gd name="adj1" fmla="val -154"/>
            <a:gd name="adj2" fmla="val 40308"/>
            <a:gd name="adj3" fmla="val -72343"/>
            <a:gd name="adj4" fmla="val 5003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記入内容が要件を満たさない場合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換気設備導入の要件を満たしていないため、申請できません。</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と表示されます。入力内容を確認してください。</a:t>
          </a:r>
        </a:p>
      </xdr:txBody>
    </xdr:sp>
    <xdr:clientData/>
  </xdr:twoCellAnchor>
  <xdr:twoCellAnchor>
    <xdr:from>
      <xdr:col>16</xdr:col>
      <xdr:colOff>466725</xdr:colOff>
      <xdr:row>44</xdr:row>
      <xdr:rowOff>209550</xdr:rowOff>
    </xdr:from>
    <xdr:to>
      <xdr:col>21</xdr:col>
      <xdr:colOff>277815</xdr:colOff>
      <xdr:row>47</xdr:row>
      <xdr:rowOff>121218</xdr:rowOff>
    </xdr:to>
    <xdr:sp macro="" textlink="">
      <xdr:nvSpPr>
        <xdr:cNvPr id="37" name="線吹き出し 1 (枠付き) 36"/>
        <xdr:cNvSpPr/>
      </xdr:nvSpPr>
      <xdr:spPr>
        <a:xfrm>
          <a:off x="13154025" y="13049250"/>
          <a:ext cx="3859215" cy="940368"/>
        </a:xfrm>
        <a:prstGeom prst="borderCallout1">
          <a:avLst>
            <a:gd name="adj1" fmla="val 29953"/>
            <a:gd name="adj2" fmla="val 100229"/>
            <a:gd name="adj3" fmla="val -4282"/>
            <a:gd name="adj4" fmla="val 13458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換気量が既存設備より減少する場合、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セルが</a:t>
          </a:r>
          <a:r>
            <a:rPr kumimoji="1" lang="ja-JP" altLang="en-US" sz="1400">
              <a:solidFill>
                <a:srgbClr val="FF0000"/>
              </a:solidFill>
              <a:latin typeface="メイリオ" panose="020B0604030504040204" pitchFamily="50" charset="-128"/>
              <a:ea typeface="メイリオ" panose="020B0604030504040204" pitchFamily="50" charset="-128"/>
            </a:rPr>
            <a:t>黄色、</a:t>
          </a:r>
          <a:r>
            <a:rPr kumimoji="1" lang="ja-JP" altLang="en-US" sz="1400">
              <a:solidFill>
                <a:sysClr val="windowText" lastClr="000000"/>
              </a:solidFill>
              <a:latin typeface="メイリオ" panose="020B0604030504040204" pitchFamily="50" charset="-128"/>
              <a:ea typeface="メイリオ" panose="020B0604030504040204" pitchFamily="50" charset="-128"/>
            </a:rPr>
            <a:t>文字が</a:t>
          </a:r>
          <a:r>
            <a:rPr kumimoji="1" lang="ja-JP" altLang="en-US" sz="1400">
              <a:solidFill>
                <a:srgbClr val="FF0000"/>
              </a:solidFill>
              <a:latin typeface="メイリオ" panose="020B0604030504040204" pitchFamily="50" charset="-128"/>
              <a:ea typeface="メイリオ" panose="020B0604030504040204" pitchFamily="50" charset="-128"/>
            </a:rPr>
            <a:t>朱色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22</xdr:col>
      <xdr:colOff>809624</xdr:colOff>
      <xdr:row>43</xdr:row>
      <xdr:rowOff>342899</xdr:rowOff>
    </xdr:from>
    <xdr:to>
      <xdr:col>25</xdr:col>
      <xdr:colOff>9524</xdr:colOff>
      <xdr:row>45</xdr:row>
      <xdr:rowOff>9524</xdr:rowOff>
    </xdr:to>
    <xdr:sp macro="" textlink="">
      <xdr:nvSpPr>
        <xdr:cNvPr id="38" name="正方形/長方形 37"/>
        <xdr:cNvSpPr/>
      </xdr:nvSpPr>
      <xdr:spPr>
        <a:xfrm>
          <a:off x="18354674" y="12839699"/>
          <a:ext cx="1628775" cy="35242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118</xdr:row>
      <xdr:rowOff>0</xdr:rowOff>
    </xdr:from>
    <xdr:to>
      <xdr:col>4</xdr:col>
      <xdr:colOff>561</xdr:colOff>
      <xdr:row>118</xdr:row>
      <xdr:rowOff>321609</xdr:rowOff>
    </xdr:to>
    <xdr:sp macro="" textlink="">
      <xdr:nvSpPr>
        <xdr:cNvPr id="39" name="正方形/長方形 38"/>
        <xdr:cNvSpPr/>
      </xdr:nvSpPr>
      <xdr:spPr>
        <a:xfrm>
          <a:off x="695325" y="32023050"/>
          <a:ext cx="2277036" cy="321609"/>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118</xdr:row>
      <xdr:rowOff>161925</xdr:rowOff>
    </xdr:from>
    <xdr:to>
      <xdr:col>1</xdr:col>
      <xdr:colOff>9526</xdr:colOff>
      <xdr:row>161</xdr:row>
      <xdr:rowOff>267401</xdr:rowOff>
    </xdr:to>
    <xdr:cxnSp macro="">
      <xdr:nvCxnSpPr>
        <xdr:cNvPr id="40" name="カギ線コネクタ 39"/>
        <xdr:cNvCxnSpPr>
          <a:stCxn id="39" idx="1"/>
        </xdr:cNvCxnSpPr>
      </xdr:nvCxnSpPr>
      <xdr:spPr>
        <a:xfrm rot="10800000" flipV="1">
          <a:off x="695325" y="32184975"/>
          <a:ext cx="1" cy="12649901"/>
        </a:xfrm>
        <a:prstGeom prst="bentConnector3">
          <a:avLst>
            <a:gd name="adj1" fmla="val 22860100000"/>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14006</xdr:colOff>
      <xdr:row>160</xdr:row>
      <xdr:rowOff>110100</xdr:rowOff>
    </xdr:from>
    <xdr:to>
      <xdr:col>1</xdr:col>
      <xdr:colOff>1044388</xdr:colOff>
      <xdr:row>162</xdr:row>
      <xdr:rowOff>329455</xdr:rowOff>
    </xdr:to>
    <xdr:sp macro="" textlink="">
      <xdr:nvSpPr>
        <xdr:cNvPr id="41" name="正方形/長方形 40"/>
        <xdr:cNvSpPr/>
      </xdr:nvSpPr>
      <xdr:spPr>
        <a:xfrm>
          <a:off x="699806" y="44563275"/>
          <a:ext cx="1030382" cy="676555"/>
        </a:xfrm>
        <a:prstGeom prst="rect">
          <a:avLst/>
        </a:prstGeom>
        <a:noFill/>
        <a:ln w="3810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139</xdr:row>
      <xdr:rowOff>19050</xdr:rowOff>
    </xdr:from>
    <xdr:to>
      <xdr:col>3</xdr:col>
      <xdr:colOff>800661</xdr:colOff>
      <xdr:row>139</xdr:row>
      <xdr:rowOff>333375</xdr:rowOff>
    </xdr:to>
    <xdr:sp macro="" textlink="">
      <xdr:nvSpPr>
        <xdr:cNvPr id="42" name="正方形/長方形 41"/>
        <xdr:cNvSpPr/>
      </xdr:nvSpPr>
      <xdr:spPr>
        <a:xfrm>
          <a:off x="704850" y="38319075"/>
          <a:ext cx="2257986" cy="314325"/>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139</xdr:row>
      <xdr:rowOff>171450</xdr:rowOff>
    </xdr:from>
    <xdr:to>
      <xdr:col>1</xdr:col>
      <xdr:colOff>19050</xdr:colOff>
      <xdr:row>139</xdr:row>
      <xdr:rowOff>176213</xdr:rowOff>
    </xdr:to>
    <xdr:cxnSp macro="">
      <xdr:nvCxnSpPr>
        <xdr:cNvPr id="43" name="直線コネクタ 42"/>
        <xdr:cNvCxnSpPr>
          <a:endCxn id="42" idx="1"/>
        </xdr:cNvCxnSpPr>
      </xdr:nvCxnSpPr>
      <xdr:spPr>
        <a:xfrm>
          <a:off x="180975" y="38471475"/>
          <a:ext cx="523875" cy="4763"/>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4482</xdr:colOff>
      <xdr:row>183</xdr:row>
      <xdr:rowOff>5045</xdr:rowOff>
    </xdr:from>
    <xdr:to>
      <xdr:col>1</xdr:col>
      <xdr:colOff>1044388</xdr:colOff>
      <xdr:row>185</xdr:row>
      <xdr:rowOff>10087</xdr:rowOff>
    </xdr:to>
    <xdr:sp macro="" textlink="">
      <xdr:nvSpPr>
        <xdr:cNvPr id="44" name="正方形/長方形 43"/>
        <xdr:cNvSpPr/>
      </xdr:nvSpPr>
      <xdr:spPr>
        <a:xfrm>
          <a:off x="690282" y="52021070"/>
          <a:ext cx="1039906" cy="690842"/>
        </a:xfrm>
        <a:prstGeom prst="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0</xdr:col>
      <xdr:colOff>190500</xdr:colOff>
      <xdr:row>139</xdr:row>
      <xdr:rowOff>152400</xdr:rowOff>
    </xdr:from>
    <xdr:to>
      <xdr:col>1</xdr:col>
      <xdr:colOff>4482</xdr:colOff>
      <xdr:row>184</xdr:row>
      <xdr:rowOff>7566</xdr:rowOff>
    </xdr:to>
    <xdr:cxnSp macro="">
      <xdr:nvCxnSpPr>
        <xdr:cNvPr id="45" name="カギ線コネクタ 44"/>
        <xdr:cNvCxnSpPr>
          <a:endCxn id="44" idx="1"/>
        </xdr:cNvCxnSpPr>
      </xdr:nvCxnSpPr>
      <xdr:spPr>
        <a:xfrm rot="16200000" flipH="1">
          <a:off x="-6516642" y="45159567"/>
          <a:ext cx="13914066" cy="499782"/>
        </a:xfrm>
        <a:prstGeom prst="bentConnector2">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150</xdr:row>
      <xdr:rowOff>0</xdr:rowOff>
    </xdr:from>
    <xdr:to>
      <xdr:col>24</xdr:col>
      <xdr:colOff>9525</xdr:colOff>
      <xdr:row>150</xdr:row>
      <xdr:rowOff>333375</xdr:rowOff>
    </xdr:to>
    <xdr:sp macro="" textlink="">
      <xdr:nvSpPr>
        <xdr:cNvPr id="48" name="正方形/長方形 47"/>
        <xdr:cNvSpPr/>
      </xdr:nvSpPr>
      <xdr:spPr>
        <a:xfrm>
          <a:off x="18354675" y="42757725"/>
          <a:ext cx="819150" cy="3333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466725</xdr:colOff>
      <xdr:row>150</xdr:row>
      <xdr:rowOff>209550</xdr:rowOff>
    </xdr:from>
    <xdr:to>
      <xdr:col>21</xdr:col>
      <xdr:colOff>277815</xdr:colOff>
      <xdr:row>158</xdr:row>
      <xdr:rowOff>121218</xdr:rowOff>
    </xdr:to>
    <xdr:sp macro="" textlink="">
      <xdr:nvSpPr>
        <xdr:cNvPr id="49" name="線吹き出し 1 (枠付き) 48"/>
        <xdr:cNvSpPr/>
      </xdr:nvSpPr>
      <xdr:spPr>
        <a:xfrm>
          <a:off x="13154025" y="42967275"/>
          <a:ext cx="3859215" cy="940368"/>
        </a:xfrm>
        <a:prstGeom prst="borderCallout1">
          <a:avLst>
            <a:gd name="adj1" fmla="val 29953"/>
            <a:gd name="adj2" fmla="val 100229"/>
            <a:gd name="adj3" fmla="val -4282"/>
            <a:gd name="adj4" fmla="val 13458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省エネ化の要件を満たさない場合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セルが</a:t>
          </a:r>
          <a:r>
            <a:rPr kumimoji="1" lang="ja-JP" altLang="en-US" sz="1400">
              <a:solidFill>
                <a:srgbClr val="FF0000"/>
              </a:solidFill>
              <a:latin typeface="メイリオ" panose="020B0604030504040204" pitchFamily="50" charset="-128"/>
              <a:ea typeface="メイリオ" panose="020B0604030504040204" pitchFamily="50" charset="-128"/>
            </a:rPr>
            <a:t>黄色</a:t>
          </a:r>
          <a:r>
            <a:rPr kumimoji="1" lang="ja-JP" altLang="en-US" sz="1400">
              <a:solidFill>
                <a:sysClr val="windowText" lastClr="000000"/>
              </a:solidFill>
              <a:latin typeface="メイリオ" panose="020B0604030504040204" pitchFamily="50" charset="-128"/>
              <a:ea typeface="メイリオ" panose="020B0604030504040204" pitchFamily="50" charset="-128"/>
            </a:rPr>
            <a:t>、文字が</a:t>
          </a:r>
          <a:r>
            <a:rPr kumimoji="1" lang="ja-JP" altLang="en-US" sz="1400">
              <a:solidFill>
                <a:srgbClr val="FF0000"/>
              </a:solidFill>
              <a:latin typeface="メイリオ" panose="020B0604030504040204" pitchFamily="50" charset="-128"/>
              <a:ea typeface="メイリオ" panose="020B0604030504040204" pitchFamily="50" charset="-128"/>
            </a:rPr>
            <a:t>朱色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22</xdr:col>
      <xdr:colOff>11259</xdr:colOff>
      <xdr:row>184</xdr:row>
      <xdr:rowOff>0</xdr:rowOff>
    </xdr:from>
    <xdr:to>
      <xdr:col>23</xdr:col>
      <xdr:colOff>794907</xdr:colOff>
      <xdr:row>185</xdr:row>
      <xdr:rowOff>17318</xdr:rowOff>
    </xdr:to>
    <xdr:sp macro="" textlink="">
      <xdr:nvSpPr>
        <xdr:cNvPr id="50" name="正方形/長方形 49"/>
        <xdr:cNvSpPr/>
      </xdr:nvSpPr>
      <xdr:spPr>
        <a:xfrm>
          <a:off x="17556309" y="52358925"/>
          <a:ext cx="1593273" cy="360218"/>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733425</xdr:colOff>
      <xdr:row>119</xdr:row>
      <xdr:rowOff>123825</xdr:rowOff>
    </xdr:from>
    <xdr:to>
      <xdr:col>16</xdr:col>
      <xdr:colOff>486682</xdr:colOff>
      <xdr:row>122</xdr:row>
      <xdr:rowOff>176440</xdr:rowOff>
    </xdr:to>
    <xdr:sp macro="" textlink="">
      <xdr:nvSpPr>
        <xdr:cNvPr id="52" name="線吹き出し 1 (枠付き) 51"/>
        <xdr:cNvSpPr/>
      </xdr:nvSpPr>
      <xdr:spPr>
        <a:xfrm>
          <a:off x="6943725" y="32489775"/>
          <a:ext cx="6230257" cy="1538515"/>
        </a:xfrm>
        <a:prstGeom prst="borderCallout1">
          <a:avLst>
            <a:gd name="adj1" fmla="val -154"/>
            <a:gd name="adj2" fmla="val 40460"/>
            <a:gd name="adj3" fmla="val -72961"/>
            <a:gd name="adj4" fmla="val 292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記入内容が要件を満たさない場合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省エネ設備更新の要件を満たしていないため、申請できません。</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と表示されます。入力内容を確認してください。</a:t>
          </a:r>
        </a:p>
      </xdr:txBody>
    </xdr:sp>
    <xdr:clientData/>
  </xdr:twoCellAnchor>
  <xdr:twoCellAnchor>
    <xdr:from>
      <xdr:col>12</xdr:col>
      <xdr:colOff>638175</xdr:colOff>
      <xdr:row>185</xdr:row>
      <xdr:rowOff>276225</xdr:rowOff>
    </xdr:from>
    <xdr:to>
      <xdr:col>20</xdr:col>
      <xdr:colOff>660936</xdr:colOff>
      <xdr:row>190</xdr:row>
      <xdr:rowOff>248019</xdr:rowOff>
    </xdr:to>
    <xdr:sp macro="" textlink="">
      <xdr:nvSpPr>
        <xdr:cNvPr id="47" name="線吹き出し 1 (枠付き) 46"/>
        <xdr:cNvSpPr/>
      </xdr:nvSpPr>
      <xdr:spPr>
        <a:xfrm>
          <a:off x="10086975" y="52978050"/>
          <a:ext cx="6499761" cy="1686294"/>
        </a:xfrm>
        <a:prstGeom prst="borderCallout1">
          <a:avLst>
            <a:gd name="adj1" fmla="val 43044"/>
            <a:gd name="adj2" fmla="val 100183"/>
            <a:gd name="adj3" fmla="val -26023"/>
            <a:gd name="adj4" fmla="val 1146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記載いただいた型番に該当するものを選択してください。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①推奨機器：導入推奨機器に指定されたもの。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②４つ星：統一省エネルギーラベル４つ星以上であるもの。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③その他：（導入推奨機器指定要綱の指定基準又はクレジット算定ガイドラインの認定基準を満たすもの）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304800</xdr:colOff>
      <xdr:row>1</xdr:row>
      <xdr:rowOff>53340</xdr:rowOff>
    </xdr:from>
    <xdr:to>
      <xdr:col>9</xdr:col>
      <xdr:colOff>697707</xdr:colOff>
      <xdr:row>15</xdr:row>
      <xdr:rowOff>127846</xdr:rowOff>
    </xdr:to>
    <xdr:sp macro="" textlink="">
      <xdr:nvSpPr>
        <xdr:cNvPr id="2" name="右中かっこ 1"/>
        <xdr:cNvSpPr/>
      </xdr:nvSpPr>
      <xdr:spPr>
        <a:xfrm>
          <a:off x="8382000" y="274320"/>
          <a:ext cx="392907" cy="348826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906917</xdr:colOff>
      <xdr:row>6</xdr:row>
      <xdr:rowOff>195875</xdr:rowOff>
    </xdr:from>
    <xdr:to>
      <xdr:col>12</xdr:col>
      <xdr:colOff>826159</xdr:colOff>
      <xdr:row>10</xdr:row>
      <xdr:rowOff>103013</xdr:rowOff>
    </xdr:to>
    <xdr:sp macro="" textlink="">
      <xdr:nvSpPr>
        <xdr:cNvPr id="3" name="テキスト ボックス 2"/>
        <xdr:cNvSpPr txBox="1"/>
      </xdr:nvSpPr>
      <xdr:spPr>
        <a:xfrm>
          <a:off x="8984117" y="1636055"/>
          <a:ext cx="2822462" cy="88249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6</xdr:col>
      <xdr:colOff>612776</xdr:colOff>
      <xdr:row>22</xdr:row>
      <xdr:rowOff>72602</xdr:rowOff>
    </xdr:from>
    <xdr:to>
      <xdr:col>12</xdr:col>
      <xdr:colOff>779737</xdr:colOff>
      <xdr:row>24</xdr:row>
      <xdr:rowOff>195391</xdr:rowOff>
    </xdr:to>
    <xdr:sp macro="" textlink="">
      <xdr:nvSpPr>
        <xdr:cNvPr id="6" name="線吹き出し 1 (枠付き) 5"/>
        <xdr:cNvSpPr/>
      </xdr:nvSpPr>
      <xdr:spPr>
        <a:xfrm>
          <a:off x="5786756" y="5688542"/>
          <a:ext cx="5973401" cy="839069"/>
        </a:xfrm>
        <a:prstGeom prst="borderCallout1">
          <a:avLst>
            <a:gd name="adj1" fmla="val -2083"/>
            <a:gd name="adj2" fmla="val 33334"/>
            <a:gd name="adj3" fmla="val -97016"/>
            <a:gd name="adj4" fmla="val 454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中小規模事業所に該当します。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6</xdr:col>
      <xdr:colOff>0</xdr:colOff>
      <xdr:row>18</xdr:row>
      <xdr:rowOff>0</xdr:rowOff>
    </xdr:from>
    <xdr:to>
      <xdr:col>13</xdr:col>
      <xdr:colOff>950595</xdr:colOff>
      <xdr:row>19</xdr:row>
      <xdr:rowOff>2208</xdr:rowOff>
    </xdr:to>
    <xdr:sp macro="" textlink="">
      <xdr:nvSpPr>
        <xdr:cNvPr id="7" name="正方形/長方形 6"/>
        <xdr:cNvSpPr/>
      </xdr:nvSpPr>
      <xdr:spPr>
        <a:xfrm>
          <a:off x="5173980" y="4343400"/>
          <a:ext cx="7724775" cy="543228"/>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661882</xdr:colOff>
      <xdr:row>23</xdr:row>
      <xdr:rowOff>31962</xdr:rowOff>
    </xdr:from>
    <xdr:to>
      <xdr:col>6</xdr:col>
      <xdr:colOff>127848</xdr:colOff>
      <xdr:row>25</xdr:row>
      <xdr:rowOff>157479</xdr:rowOff>
    </xdr:to>
    <xdr:sp macro="" textlink="">
      <xdr:nvSpPr>
        <xdr:cNvPr id="8" name="線吹き出し 1 (枠付き) 7"/>
        <xdr:cNvSpPr/>
      </xdr:nvSpPr>
      <xdr:spPr>
        <a:xfrm>
          <a:off x="1964902" y="6127962"/>
          <a:ext cx="3336926" cy="597957"/>
        </a:xfrm>
        <a:prstGeom prst="borderCallout1">
          <a:avLst>
            <a:gd name="adj1" fmla="val 36112"/>
            <a:gd name="adj2" fmla="val 234"/>
            <a:gd name="adj3" fmla="val -85638"/>
            <a:gd name="adj4" fmla="val -274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　選択漏れのセルがないか確認してください。</a:t>
          </a:r>
        </a:p>
      </xdr:txBody>
    </xdr:sp>
    <xdr:clientData/>
  </xdr:twoCellAnchor>
  <xdr:twoCellAnchor>
    <xdr:from>
      <xdr:col>1</xdr:col>
      <xdr:colOff>0</xdr:colOff>
      <xdr:row>21</xdr:row>
      <xdr:rowOff>0</xdr:rowOff>
    </xdr:from>
    <xdr:to>
      <xdr:col>1</xdr:col>
      <xdr:colOff>1078442</xdr:colOff>
      <xdr:row>22</xdr:row>
      <xdr:rowOff>846</xdr:rowOff>
    </xdr:to>
    <xdr:sp macro="" textlink="">
      <xdr:nvSpPr>
        <xdr:cNvPr id="9" name="正方形/長方形 8"/>
        <xdr:cNvSpPr/>
      </xdr:nvSpPr>
      <xdr:spPr>
        <a:xfrm>
          <a:off x="213360" y="5379720"/>
          <a:ext cx="1078442" cy="237066"/>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562611</xdr:colOff>
      <xdr:row>35</xdr:row>
      <xdr:rowOff>40428</xdr:rowOff>
    </xdr:from>
    <xdr:to>
      <xdr:col>6</xdr:col>
      <xdr:colOff>28577</xdr:colOff>
      <xdr:row>37</xdr:row>
      <xdr:rowOff>148589</xdr:rowOff>
    </xdr:to>
    <xdr:sp macro="" textlink="">
      <xdr:nvSpPr>
        <xdr:cNvPr id="10" name="線吹き出し 1 (枠付き) 9"/>
        <xdr:cNvSpPr/>
      </xdr:nvSpPr>
      <xdr:spPr>
        <a:xfrm>
          <a:off x="1865631" y="8704368"/>
          <a:ext cx="3336926" cy="595841"/>
        </a:xfrm>
        <a:prstGeom prst="borderCallout1">
          <a:avLst>
            <a:gd name="adj1" fmla="val 36112"/>
            <a:gd name="adj2" fmla="val 234"/>
            <a:gd name="adj3" fmla="val -85638"/>
            <a:gd name="adj4" fmla="val -274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　選択漏れのセルがないか確認してください。</a:t>
          </a:r>
        </a:p>
      </xdr:txBody>
    </xdr:sp>
    <xdr:clientData/>
  </xdr:twoCellAnchor>
  <xdr:twoCellAnchor>
    <xdr:from>
      <xdr:col>0</xdr:col>
      <xdr:colOff>205740</xdr:colOff>
      <xdr:row>32</xdr:row>
      <xdr:rowOff>220981</xdr:rowOff>
    </xdr:from>
    <xdr:to>
      <xdr:col>1</xdr:col>
      <xdr:colOff>1068705</xdr:colOff>
      <xdr:row>33</xdr:row>
      <xdr:rowOff>237914</xdr:rowOff>
    </xdr:to>
    <xdr:sp macro="" textlink="">
      <xdr:nvSpPr>
        <xdr:cNvPr id="11" name="正方形/長方形 10"/>
        <xdr:cNvSpPr/>
      </xdr:nvSpPr>
      <xdr:spPr>
        <a:xfrm>
          <a:off x="205740" y="7932421"/>
          <a:ext cx="1076325" cy="245533"/>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963296</xdr:colOff>
      <xdr:row>32</xdr:row>
      <xdr:rowOff>0</xdr:rowOff>
    </xdr:from>
    <xdr:to>
      <xdr:col>6</xdr:col>
      <xdr:colOff>1</xdr:colOff>
      <xdr:row>32</xdr:row>
      <xdr:rowOff>219075</xdr:rowOff>
    </xdr:to>
    <xdr:sp macro="" textlink="">
      <xdr:nvSpPr>
        <xdr:cNvPr id="12" name="正方形/長方形 11"/>
        <xdr:cNvSpPr/>
      </xdr:nvSpPr>
      <xdr:spPr>
        <a:xfrm>
          <a:off x="3234056" y="7711440"/>
          <a:ext cx="1939925" cy="2190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906780</xdr:colOff>
      <xdr:row>32</xdr:row>
      <xdr:rowOff>220980</xdr:rowOff>
    </xdr:from>
    <xdr:to>
      <xdr:col>4</xdr:col>
      <xdr:colOff>951864</xdr:colOff>
      <xdr:row>35</xdr:row>
      <xdr:rowOff>19745</xdr:rowOff>
    </xdr:to>
    <xdr:cxnSp macro="">
      <xdr:nvCxnSpPr>
        <xdr:cNvPr id="13" name="直線コネクタ 12"/>
        <xdr:cNvCxnSpPr/>
      </xdr:nvCxnSpPr>
      <xdr:spPr>
        <a:xfrm flipH="1">
          <a:off x="3177540" y="7932420"/>
          <a:ext cx="1012824" cy="75126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423333</xdr:colOff>
      <xdr:row>0</xdr:row>
      <xdr:rowOff>67734</xdr:rowOff>
    </xdr:from>
    <xdr:to>
      <xdr:col>16</xdr:col>
      <xdr:colOff>118533</xdr:colOff>
      <xdr:row>6</xdr:row>
      <xdr:rowOff>8467</xdr:rowOff>
    </xdr:to>
    <xdr:sp macro="" textlink="">
      <xdr:nvSpPr>
        <xdr:cNvPr id="14" name="テキスト ボックス 13"/>
        <xdr:cNvSpPr txBox="1"/>
      </xdr:nvSpPr>
      <xdr:spPr>
        <a:xfrm>
          <a:off x="12344400" y="67734"/>
          <a:ext cx="2590800" cy="1388533"/>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適合例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304800</xdr:colOff>
      <xdr:row>1</xdr:row>
      <xdr:rowOff>53340</xdr:rowOff>
    </xdr:from>
    <xdr:to>
      <xdr:col>9</xdr:col>
      <xdr:colOff>697707</xdr:colOff>
      <xdr:row>15</xdr:row>
      <xdr:rowOff>127846</xdr:rowOff>
    </xdr:to>
    <xdr:sp macro="" textlink="">
      <xdr:nvSpPr>
        <xdr:cNvPr id="2" name="右中かっこ 1"/>
        <xdr:cNvSpPr/>
      </xdr:nvSpPr>
      <xdr:spPr>
        <a:xfrm>
          <a:off x="8382000" y="274320"/>
          <a:ext cx="392907" cy="348826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906917</xdr:colOff>
      <xdr:row>6</xdr:row>
      <xdr:rowOff>195875</xdr:rowOff>
    </xdr:from>
    <xdr:to>
      <xdr:col>12</xdr:col>
      <xdr:colOff>826159</xdr:colOff>
      <xdr:row>10</xdr:row>
      <xdr:rowOff>103013</xdr:rowOff>
    </xdr:to>
    <xdr:sp macro="" textlink="">
      <xdr:nvSpPr>
        <xdr:cNvPr id="3" name="テキスト ボックス 2"/>
        <xdr:cNvSpPr txBox="1"/>
      </xdr:nvSpPr>
      <xdr:spPr>
        <a:xfrm>
          <a:off x="8984117" y="1636055"/>
          <a:ext cx="2822462" cy="88249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6</xdr:col>
      <xdr:colOff>0</xdr:colOff>
      <xdr:row>18</xdr:row>
      <xdr:rowOff>0</xdr:rowOff>
    </xdr:from>
    <xdr:to>
      <xdr:col>13</xdr:col>
      <xdr:colOff>950595</xdr:colOff>
      <xdr:row>19</xdr:row>
      <xdr:rowOff>2208</xdr:rowOff>
    </xdr:to>
    <xdr:sp macro="" textlink="">
      <xdr:nvSpPr>
        <xdr:cNvPr id="5" name="正方形/長方形 4"/>
        <xdr:cNvSpPr/>
      </xdr:nvSpPr>
      <xdr:spPr>
        <a:xfrm>
          <a:off x="5173980" y="4343400"/>
          <a:ext cx="7724775" cy="543228"/>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585047</xdr:colOff>
      <xdr:row>25</xdr:row>
      <xdr:rowOff>146744</xdr:rowOff>
    </xdr:from>
    <xdr:to>
      <xdr:col>4</xdr:col>
      <xdr:colOff>8466</xdr:colOff>
      <xdr:row>33</xdr:row>
      <xdr:rowOff>16933</xdr:rowOff>
    </xdr:to>
    <xdr:cxnSp macro="">
      <xdr:nvCxnSpPr>
        <xdr:cNvPr id="11" name="直線コネクタ 10"/>
        <xdr:cNvCxnSpPr/>
      </xdr:nvCxnSpPr>
      <xdr:spPr>
        <a:xfrm flipH="1" flipV="1">
          <a:off x="1888914" y="6750744"/>
          <a:ext cx="1353819" cy="12417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414867</xdr:colOff>
      <xdr:row>0</xdr:row>
      <xdr:rowOff>67733</xdr:rowOff>
    </xdr:from>
    <xdr:to>
      <xdr:col>16</xdr:col>
      <xdr:colOff>118534</xdr:colOff>
      <xdr:row>6</xdr:row>
      <xdr:rowOff>8466</xdr:rowOff>
    </xdr:to>
    <xdr:sp macro="" textlink="">
      <xdr:nvSpPr>
        <xdr:cNvPr id="14" name="テキスト ボックス 13"/>
        <xdr:cNvSpPr txBox="1"/>
      </xdr:nvSpPr>
      <xdr:spPr>
        <a:xfrm>
          <a:off x="12335934" y="67733"/>
          <a:ext cx="2599267" cy="1388533"/>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b="1">
              <a:solidFill>
                <a:srgbClr val="FF0000"/>
              </a:solidFill>
              <a:latin typeface="メイリオ" panose="020B0604030504040204" pitchFamily="50" charset="-128"/>
              <a:ea typeface="メイリオ" panose="020B0604030504040204" pitchFamily="50" charset="-128"/>
            </a:rPr>
            <a:t>入力不足</a:t>
          </a:r>
          <a:endParaRPr kumimoji="1" lang="en-US" altLang="ja-JP" sz="44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220135</xdr:colOff>
      <xdr:row>23</xdr:row>
      <xdr:rowOff>0</xdr:rowOff>
    </xdr:from>
    <xdr:to>
      <xdr:col>4</xdr:col>
      <xdr:colOff>820630</xdr:colOff>
      <xdr:row>25</xdr:row>
      <xdr:rowOff>349399</xdr:rowOff>
    </xdr:to>
    <xdr:sp macro="" textlink="">
      <xdr:nvSpPr>
        <xdr:cNvPr id="15" name="線吹き出し 1 (枠付き) 14"/>
        <xdr:cNvSpPr/>
      </xdr:nvSpPr>
      <xdr:spPr>
        <a:xfrm>
          <a:off x="431802" y="6129867"/>
          <a:ext cx="3623095" cy="823532"/>
        </a:xfrm>
        <a:prstGeom prst="borderCallout1">
          <a:avLst>
            <a:gd name="adj1" fmla="val -67"/>
            <a:gd name="adj2" fmla="val 82914"/>
            <a:gd name="adj3" fmla="val -74882"/>
            <a:gd name="adj4" fmla="val 1037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記入漏れがあるセルの番号欄が黄色になります。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未記入欄を確認してください。</a:t>
          </a:r>
        </a:p>
      </xdr:txBody>
    </xdr:sp>
    <xdr:clientData/>
  </xdr:twoCellAnchor>
  <xdr:twoCellAnchor>
    <xdr:from>
      <xdr:col>7</xdr:col>
      <xdr:colOff>465664</xdr:colOff>
      <xdr:row>22</xdr:row>
      <xdr:rowOff>152402</xdr:rowOff>
    </xdr:from>
    <xdr:to>
      <xdr:col>12</xdr:col>
      <xdr:colOff>516465</xdr:colOff>
      <xdr:row>25</xdr:row>
      <xdr:rowOff>338669</xdr:rowOff>
    </xdr:to>
    <xdr:sp macro="" textlink="">
      <xdr:nvSpPr>
        <xdr:cNvPr id="20" name="線吹き出し 1 (枠付き) 19"/>
        <xdr:cNvSpPr/>
      </xdr:nvSpPr>
      <xdr:spPr>
        <a:xfrm>
          <a:off x="6595531" y="5799669"/>
          <a:ext cx="4876801" cy="1143000"/>
        </a:xfrm>
        <a:prstGeom prst="borderCallout1">
          <a:avLst>
            <a:gd name="adj1" fmla="val -911"/>
            <a:gd name="adj2" fmla="val 39696"/>
            <a:gd name="adj3" fmla="val -76841"/>
            <a:gd name="adj4" fmla="val 4383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必要事項の記入漏れがある場合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未入力欄が有ります。確認してください。</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　と表示されます。</a:t>
          </a:r>
        </a:p>
      </xdr:txBody>
    </xdr:sp>
    <xdr:clientData/>
  </xdr:twoCellAnchor>
  <xdr:twoCellAnchor>
    <xdr:from>
      <xdr:col>6</xdr:col>
      <xdr:colOff>253999</xdr:colOff>
      <xdr:row>31</xdr:row>
      <xdr:rowOff>110067</xdr:rowOff>
    </xdr:from>
    <xdr:to>
      <xdr:col>9</xdr:col>
      <xdr:colOff>755766</xdr:colOff>
      <xdr:row>34</xdr:row>
      <xdr:rowOff>356170</xdr:rowOff>
    </xdr:to>
    <xdr:sp macro="" textlink="">
      <xdr:nvSpPr>
        <xdr:cNvPr id="21" name="線吹き出し 1 (枠付き) 20"/>
        <xdr:cNvSpPr/>
      </xdr:nvSpPr>
      <xdr:spPr>
        <a:xfrm>
          <a:off x="5418666" y="7636934"/>
          <a:ext cx="3397367" cy="940369"/>
        </a:xfrm>
        <a:prstGeom prst="borderCallout1">
          <a:avLst>
            <a:gd name="adj1" fmla="val 59196"/>
            <a:gd name="adj2" fmla="val -560"/>
            <a:gd name="adj3" fmla="val 169202"/>
            <a:gd name="adj4" fmla="val -365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選択や記入漏れのセルを確認の上、</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適切に記入してください。</a:t>
          </a:r>
        </a:p>
      </xdr:txBody>
    </xdr:sp>
    <xdr:clientData/>
  </xdr:twoCellAnchor>
  <xdr:twoCellAnchor>
    <xdr:from>
      <xdr:col>4</xdr:col>
      <xdr:colOff>965199</xdr:colOff>
      <xdr:row>20</xdr:row>
      <xdr:rowOff>245535</xdr:rowOff>
    </xdr:from>
    <xdr:to>
      <xdr:col>6</xdr:col>
      <xdr:colOff>0</xdr:colOff>
      <xdr:row>21</xdr:row>
      <xdr:rowOff>228601</xdr:rowOff>
    </xdr:to>
    <xdr:sp macro="" textlink="">
      <xdr:nvSpPr>
        <xdr:cNvPr id="23" name="正方形/長方形 22"/>
        <xdr:cNvSpPr/>
      </xdr:nvSpPr>
      <xdr:spPr>
        <a:xfrm>
          <a:off x="4199466" y="5401735"/>
          <a:ext cx="965201" cy="237066"/>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33</xdr:row>
      <xdr:rowOff>0</xdr:rowOff>
    </xdr:from>
    <xdr:to>
      <xdr:col>5</xdr:col>
      <xdr:colOff>0</xdr:colOff>
      <xdr:row>33</xdr:row>
      <xdr:rowOff>237067</xdr:rowOff>
    </xdr:to>
    <xdr:sp macro="" textlink="">
      <xdr:nvSpPr>
        <xdr:cNvPr id="27" name="正方形/長方形 26"/>
        <xdr:cNvSpPr/>
      </xdr:nvSpPr>
      <xdr:spPr>
        <a:xfrm>
          <a:off x="3234267" y="7975600"/>
          <a:ext cx="965200" cy="237067"/>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23</xdr:row>
      <xdr:rowOff>0</xdr:rowOff>
    </xdr:from>
    <xdr:to>
      <xdr:col>6</xdr:col>
      <xdr:colOff>0</xdr:colOff>
      <xdr:row>25</xdr:row>
      <xdr:rowOff>8467</xdr:rowOff>
    </xdr:to>
    <xdr:sp macro="" textlink="">
      <xdr:nvSpPr>
        <xdr:cNvPr id="28" name="正方形/長方形 27"/>
        <xdr:cNvSpPr/>
      </xdr:nvSpPr>
      <xdr:spPr>
        <a:xfrm>
          <a:off x="4199467" y="6129867"/>
          <a:ext cx="965200" cy="4826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37</xdr:row>
      <xdr:rowOff>0</xdr:rowOff>
    </xdr:from>
    <xdr:to>
      <xdr:col>5</xdr:col>
      <xdr:colOff>0</xdr:colOff>
      <xdr:row>38</xdr:row>
      <xdr:rowOff>0</xdr:rowOff>
    </xdr:to>
    <xdr:sp macro="" textlink="">
      <xdr:nvSpPr>
        <xdr:cNvPr id="29" name="正方形/長方形 28"/>
        <xdr:cNvSpPr/>
      </xdr:nvSpPr>
      <xdr:spPr>
        <a:xfrm>
          <a:off x="3234267" y="9194800"/>
          <a:ext cx="965200" cy="48260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956734</xdr:colOff>
      <xdr:row>24</xdr:row>
      <xdr:rowOff>220135</xdr:rowOff>
    </xdr:from>
    <xdr:to>
      <xdr:col>6</xdr:col>
      <xdr:colOff>609600</xdr:colOff>
      <xdr:row>31</xdr:row>
      <xdr:rowOff>118533</xdr:rowOff>
    </xdr:to>
    <xdr:cxnSp macro="">
      <xdr:nvCxnSpPr>
        <xdr:cNvPr id="30" name="直線コネクタ 29"/>
        <xdr:cNvCxnSpPr/>
      </xdr:nvCxnSpPr>
      <xdr:spPr>
        <a:xfrm flipH="1" flipV="1">
          <a:off x="5156201" y="6587068"/>
          <a:ext cx="618066" cy="105833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0107;&#26989;&#25903;&#25588;&#12481;&#12540;&#12512;\&#65330;&#65300;\200_&#20491;&#20154;&#29992;\&#21644;&#30000;\&#21644;&#30000;&#32232;&#38598;&#9670;&#25563;&#27671;&#37327;&#12539;&#30465;&#12456;&#12493;&#35336;&#31639;&#12471;&#12540;&#12488;&#65288;R4_Ver5.5&#65289;_&#35352;&#20837;&#2036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0107;&#26989;&#25903;&#25588;&#12481;&#12540;&#12512;\&#65330;&#65300;\200_&#20491;&#20154;&#29992;\&#21644;&#30000;\&#9670;&#25563;&#27671;&#37327;&#12539;&#30465;&#12456;&#12493;&#35336;&#31639;&#12471;&#12540;&#12488;&#65288;R4_Ver5.5&#65289;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1.換気～比較表(適合例)"/>
      <sheetName val="1.換気～比較表(入力不足)"/>
      <sheetName val="1.換気～比較表 (不適合)"/>
      <sheetName val="2-3.設備仕様入力(適合例)"/>
      <sheetName val="2-3.設備仕様入力 (入力不足)"/>
      <sheetName val="2-3.設備仕様入力 (不適合)"/>
      <sheetName val="4.エネルギー使用量(適合例)"/>
      <sheetName val="4.エネルギー使用量 (入力不足)"/>
      <sheetName val="計算"/>
      <sheetName val="計算式"/>
      <sheetName val="4.エネルギー使用量 (不適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1.換気～比較表(適合例)"/>
      <sheetName val="1.換気～比較表(入力不足)"/>
      <sheetName val="1.換気～比較表 (不適合)"/>
      <sheetName val="2-3.設備仕様入力(適合例)"/>
      <sheetName val="2-3.設備仕様入力 (入力不足)"/>
      <sheetName val="2-3.設備仕様入力 (不適合)"/>
      <sheetName val="4.エネルギー使用量(適合例)"/>
      <sheetName val="4.エネルギー使用量 (入力不足)"/>
      <sheetName val="計算"/>
      <sheetName val="計算式"/>
      <sheetName val="4.エネルギー使用量 (不適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80" zoomScaleNormal="80" workbookViewId="0">
      <selection sqref="A1:XFD1048576"/>
    </sheetView>
  </sheetViews>
  <sheetFormatPr defaultRowHeight="19.2" x14ac:dyDescent="0.55000000000000004"/>
  <cols>
    <col min="1" max="16384" width="8.6640625" style="18"/>
  </cols>
  <sheetData>
    <row r="1" spans="1:1" ht="33" customHeight="1" x14ac:dyDescent="0.55000000000000004">
      <c r="A1" s="278" t="s">
        <v>567</v>
      </c>
    </row>
  </sheetData>
  <sheetProtection algorithmName="SHA-512" hashValue="PDF4BUt09BFY9XjGFV9U83REYWb2M6Vc/0XVoV8gQz6HUd5SggSV8TQX60xvpEtsLMNt+z5qCxgKfH+LC1Eh9Q==" saltValue="A96Ftz0pkT6LLIRH0GjMLA==" spinCount="100000" sheet="1" objects="1" scenarios="1" selectLockedCells="1" selectUnlockedCells="1"/>
  <phoneticPr fontId="2"/>
  <pageMargins left="0.7" right="0.7" top="0.75" bottom="0.75" header="0.3" footer="0.3"/>
  <pageSetup paperSize="9"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D76"/>
  <sheetViews>
    <sheetView topLeftCell="A7" zoomScale="90" zoomScaleNormal="90" workbookViewId="0">
      <selection activeCell="E9" sqref="E9"/>
    </sheetView>
  </sheetViews>
  <sheetFormatPr defaultColWidth="8.83203125" defaultRowHeight="17.399999999999999" x14ac:dyDescent="0.55000000000000004"/>
  <cols>
    <col min="1" max="1" width="8.83203125" style="2"/>
    <col min="2" max="2" width="22.1640625" style="2" customWidth="1"/>
    <col min="3" max="3" width="10.33203125" style="2" customWidth="1"/>
    <col min="4" max="4" width="8.58203125" style="2" bestFit="1" customWidth="1"/>
    <col min="5" max="5" width="10.5" style="5" bestFit="1" customWidth="1"/>
    <col min="6" max="6" width="11.4140625" style="2" bestFit="1" customWidth="1"/>
    <col min="7" max="7" width="7" style="2" customWidth="1"/>
    <col min="8" max="9" width="5.33203125" style="2" customWidth="1"/>
    <col min="10" max="10" width="7.9140625" style="2" customWidth="1"/>
    <col min="11" max="11" width="9.4140625" style="2" bestFit="1" customWidth="1"/>
    <col min="12" max="13" width="8.83203125" style="2"/>
    <col min="14" max="14" width="13.9140625" style="2" customWidth="1"/>
    <col min="15" max="15" width="11.9140625" style="2" customWidth="1"/>
    <col min="16" max="16" width="19.08203125" style="2" customWidth="1"/>
    <col min="17" max="17" width="16.08203125" style="2" customWidth="1"/>
    <col min="18" max="19" width="19.4140625" style="2" customWidth="1"/>
    <col min="20" max="20" width="14.33203125" style="2" customWidth="1"/>
    <col min="21" max="21" width="23" style="2" customWidth="1"/>
    <col min="22" max="22" width="11.1640625" style="2" customWidth="1"/>
    <col min="23" max="23" width="8.83203125" style="2"/>
    <col min="24" max="24" width="13.83203125" style="2" customWidth="1"/>
    <col min="25" max="25" width="15.1640625" style="2" customWidth="1"/>
    <col min="26" max="26" width="16.9140625" style="2" customWidth="1"/>
    <col min="27" max="27" width="12.1640625" style="2" customWidth="1"/>
    <col min="28" max="28" width="12.33203125" style="2" customWidth="1"/>
    <col min="29" max="16384" width="8.83203125" style="2"/>
  </cols>
  <sheetData>
    <row r="1" spans="1:29" ht="18" thickBot="1" x14ac:dyDescent="0.6">
      <c r="J1" s="273" t="s">
        <v>172</v>
      </c>
      <c r="K1" s="273"/>
    </row>
    <row r="2" spans="1:29" x14ac:dyDescent="0.55000000000000004">
      <c r="B2" s="2" t="s">
        <v>90</v>
      </c>
      <c r="C2" s="2" t="s">
        <v>89</v>
      </c>
      <c r="I2" s="82" t="s">
        <v>447</v>
      </c>
      <c r="J2" s="15" t="s">
        <v>20</v>
      </c>
      <c r="K2" s="14" t="s">
        <v>19</v>
      </c>
      <c r="N2" s="2" t="s">
        <v>88</v>
      </c>
      <c r="Q2" s="188" t="s">
        <v>495</v>
      </c>
      <c r="Y2" s="100" t="s">
        <v>255</v>
      </c>
      <c r="Z2" s="2" t="s">
        <v>262</v>
      </c>
    </row>
    <row r="3" spans="1:29" x14ac:dyDescent="0.55000000000000004">
      <c r="B3" s="2" t="s">
        <v>87</v>
      </c>
      <c r="C3" s="3">
        <v>9.76</v>
      </c>
      <c r="D3" s="2" t="s">
        <v>86</v>
      </c>
      <c r="E3" s="2">
        <v>0.48899999999999999</v>
      </c>
      <c r="F3" s="2" t="s">
        <v>85</v>
      </c>
      <c r="I3" s="82" t="s">
        <v>449</v>
      </c>
      <c r="J3" s="16">
        <f>IF(ISERROR('4.エネルギー使用量(適合例)'!$O$24/1000*$C$3*$C$7),"",ROUND('4.エネルギー使用量(適合例)'!$O$24/1000*$C$3*$C$7,2))</f>
        <v>3.42</v>
      </c>
      <c r="K3" s="10">
        <f>IF(ISERROR('4.エネルギー使用量(適合例)'!$O$24/1000*$E$3),"",ROUND('4.エネルギー使用量(適合例)'!$O$24/1000*$E$3,2))</f>
        <v>6.64</v>
      </c>
      <c r="N3" s="2" t="s">
        <v>84</v>
      </c>
      <c r="O3" s="2" t="s">
        <v>188</v>
      </c>
      <c r="P3" s="2" t="s">
        <v>254</v>
      </c>
      <c r="Q3" s="2" t="s">
        <v>254</v>
      </c>
      <c r="R3" s="2" t="s">
        <v>112</v>
      </c>
      <c r="S3" s="2" t="s">
        <v>112</v>
      </c>
      <c r="T3" s="2" t="s">
        <v>113</v>
      </c>
      <c r="U3" s="1" t="s">
        <v>112</v>
      </c>
      <c r="V3" s="1" t="s">
        <v>227</v>
      </c>
      <c r="X3" s="2" t="s">
        <v>114</v>
      </c>
      <c r="Y3" s="100" t="s">
        <v>115</v>
      </c>
      <c r="Z3" s="2" t="s">
        <v>115</v>
      </c>
      <c r="AA3" s="2" t="s">
        <v>84</v>
      </c>
      <c r="AB3" s="2" t="s">
        <v>232</v>
      </c>
      <c r="AC3" s="2" t="s">
        <v>237</v>
      </c>
    </row>
    <row r="4" spans="1:29" ht="22.2" thickBot="1" x14ac:dyDescent="0.6">
      <c r="A4" s="195" t="s">
        <v>499</v>
      </c>
      <c r="B4" s="2" t="s">
        <v>500</v>
      </c>
      <c r="C4" s="3">
        <v>1.36</v>
      </c>
      <c r="D4" s="2" t="s">
        <v>83</v>
      </c>
      <c r="E4" s="2">
        <v>5.7000000000000002E-2</v>
      </c>
      <c r="F4" s="2" t="s">
        <v>82</v>
      </c>
      <c r="N4" s="2" t="s">
        <v>81</v>
      </c>
      <c r="O4" s="2" t="s">
        <v>186</v>
      </c>
      <c r="P4" s="2" t="s">
        <v>80</v>
      </c>
      <c r="Q4" s="2" t="s">
        <v>441</v>
      </c>
      <c r="R4" s="2" t="s">
        <v>207</v>
      </c>
      <c r="S4" s="2" t="s">
        <v>207</v>
      </c>
      <c r="T4" s="2" t="s">
        <v>91</v>
      </c>
      <c r="U4" s="1" t="s">
        <v>14</v>
      </c>
      <c r="V4" s="2" t="s">
        <v>238</v>
      </c>
      <c r="X4" s="2" t="s">
        <v>174</v>
      </c>
      <c r="Y4" s="100" t="s">
        <v>98</v>
      </c>
      <c r="Z4" s="2" t="s">
        <v>98</v>
      </c>
      <c r="AA4" s="2" t="s">
        <v>97</v>
      </c>
      <c r="AB4" s="2" t="s">
        <v>233</v>
      </c>
      <c r="AC4" s="93">
        <v>0.9</v>
      </c>
    </row>
    <row r="5" spans="1:29" ht="21.6" x14ac:dyDescent="0.55000000000000004">
      <c r="B5" s="17" t="s">
        <v>501</v>
      </c>
      <c r="C5" s="3">
        <v>1.02</v>
      </c>
      <c r="D5" s="2" t="s">
        <v>79</v>
      </c>
      <c r="E5" s="2">
        <v>0.06</v>
      </c>
      <c r="F5" s="2" t="s">
        <v>78</v>
      </c>
      <c r="I5" s="82" t="s">
        <v>448</v>
      </c>
      <c r="J5" s="15" t="s">
        <v>20</v>
      </c>
      <c r="K5" s="14" t="s">
        <v>19</v>
      </c>
      <c r="N5" s="2" t="s">
        <v>77</v>
      </c>
      <c r="O5" s="2" t="s">
        <v>187</v>
      </c>
      <c r="P5" s="2" t="s">
        <v>76</v>
      </c>
      <c r="Q5" s="2" t="s">
        <v>488</v>
      </c>
      <c r="R5" s="2" t="s">
        <v>6</v>
      </c>
      <c r="S5" s="2" t="s">
        <v>6</v>
      </c>
      <c r="T5" s="2" t="s">
        <v>92</v>
      </c>
      <c r="U5" s="1" t="s">
        <v>15</v>
      </c>
      <c r="V5" s="2" t="s">
        <v>239</v>
      </c>
      <c r="X5" s="2" t="s">
        <v>182</v>
      </c>
      <c r="Y5" s="100" t="s">
        <v>109</v>
      </c>
      <c r="Z5" s="2" t="s">
        <v>109</v>
      </c>
      <c r="AA5" s="2" t="s">
        <v>81</v>
      </c>
      <c r="AB5" s="2" t="s">
        <v>234</v>
      </c>
      <c r="AC5" s="93">
        <v>2.6</v>
      </c>
    </row>
    <row r="6" spans="1:29" ht="21.6" x14ac:dyDescent="0.55000000000000004">
      <c r="B6" s="17" t="s">
        <v>502</v>
      </c>
      <c r="C6" s="3">
        <v>1.36</v>
      </c>
      <c r="D6" s="2" t="s">
        <v>79</v>
      </c>
      <c r="E6" s="2">
        <v>5.7000000000000002E-2</v>
      </c>
      <c r="F6" s="2" t="s">
        <v>78</v>
      </c>
      <c r="I6" s="82" t="s">
        <v>453</v>
      </c>
      <c r="J6" s="11">
        <f>IF(ISERROR('4.エネルギー使用量(適合例)'!$O$36/1000*$C$10*$C$7*$C$15),"",ROUND('4.エネルギー使用量(適合例)'!$O$36/1000*$C$10*$C$7*$C$15,2))</f>
        <v>4.0599999999999996</v>
      </c>
      <c r="K6" s="10">
        <f>IF(ISERROR('4.エネルギー使用量(適合例)'!$O$36/1000*$C$10*$E$10*$E$7),"",ROUND('4.エネルギー使用量(適合例)'!$O$36/1000*$C$10*$E$10*$E$7,2))</f>
        <v>8.1199999999999992</v>
      </c>
      <c r="L6" s="2" t="s">
        <v>454</v>
      </c>
      <c r="N6" s="2" t="s">
        <v>43</v>
      </c>
      <c r="O6" s="163" t="s">
        <v>441</v>
      </c>
      <c r="P6" s="2" t="s">
        <v>133</v>
      </c>
      <c r="Q6" s="2" t="s">
        <v>489</v>
      </c>
      <c r="R6" s="2" t="s">
        <v>208</v>
      </c>
      <c r="S6" s="2" t="s">
        <v>209</v>
      </c>
      <c r="T6" s="2" t="s">
        <v>93</v>
      </c>
      <c r="U6" s="1" t="s">
        <v>17</v>
      </c>
      <c r="V6" s="2" t="s">
        <v>240</v>
      </c>
      <c r="X6" s="2" t="s">
        <v>102</v>
      </c>
      <c r="Y6" s="100" t="s">
        <v>108</v>
      </c>
      <c r="Z6" s="2" t="s">
        <v>108</v>
      </c>
      <c r="AA6" s="2" t="s">
        <v>77</v>
      </c>
      <c r="AB6" s="2" t="s">
        <v>235</v>
      </c>
      <c r="AC6" s="93">
        <v>1.5</v>
      </c>
    </row>
    <row r="7" spans="1:29" ht="21.6" x14ac:dyDescent="0.55000000000000004">
      <c r="B7" s="2" t="s">
        <v>75</v>
      </c>
      <c r="C7" s="5">
        <v>2.58E-2</v>
      </c>
      <c r="D7" s="2" t="s">
        <v>74</v>
      </c>
      <c r="E7" s="2">
        <f>44/12</f>
        <v>3.6666666666666665</v>
      </c>
      <c r="F7" s="2" t="s">
        <v>73</v>
      </c>
      <c r="I7" s="82" t="s">
        <v>451</v>
      </c>
      <c r="J7" s="11">
        <f>IF(ISERROR('4.エネルギー使用量(適合例)'!$O$36/$G$11*$C$11*$C$7),"",ROUND('4.エネルギー使用量(適合例)'!$O$36/$G$11*$C$11*$C$7,2))</f>
        <v>9.84</v>
      </c>
      <c r="K7" s="10">
        <f>IF(ISERROR('4.エネルギー使用量(適合例)'!$O$36/$G$11*$C$11*$E$11*$E$7),"",ROUND('4.エネルギー使用量(適合例)'!$O$36/$G$11*$C$11*$E$11*$E$7,2))</f>
        <v>22.5</v>
      </c>
      <c r="L7" s="57">
        <f>IF(ISERROR('4.エネルギー使用量(適合例)'!$O$36/1000*$C$11*$C$7),"",'4.エネルギー使用量(適合例)'!$O$36/1000*$C$11*$C$7)</f>
        <v>4.7405848799999992</v>
      </c>
      <c r="M7" s="2" t="s">
        <v>250</v>
      </c>
      <c r="N7" s="2" t="s">
        <v>72</v>
      </c>
      <c r="O7" s="2" t="s">
        <v>188</v>
      </c>
      <c r="P7" s="2" t="s">
        <v>71</v>
      </c>
      <c r="Q7" s="2" t="s">
        <v>490</v>
      </c>
      <c r="R7" s="2" t="s">
        <v>209</v>
      </c>
      <c r="S7" s="2" t="s">
        <v>210</v>
      </c>
      <c r="T7" s="1" t="s">
        <v>94</v>
      </c>
      <c r="Y7" s="100" t="s">
        <v>107</v>
      </c>
      <c r="Z7" s="2" t="s">
        <v>107</v>
      </c>
      <c r="AA7" s="2" t="s">
        <v>43</v>
      </c>
      <c r="AB7" s="2" t="s">
        <v>236</v>
      </c>
      <c r="AC7" s="93">
        <v>1</v>
      </c>
    </row>
    <row r="8" spans="1:29" ht="21.6" x14ac:dyDescent="0.55000000000000004">
      <c r="I8" s="82" t="s">
        <v>452</v>
      </c>
      <c r="J8" s="11">
        <f>IF(ISERROR('4.エネルギー使用量(適合例)'!$O$36*$C$28*$C$12*$C$7),"",ROUND('4.エネルギー使用量(適合例)'!$O$36*$C$28*$C$12*$C$7,2))</f>
        <v>2.3199999999999998</v>
      </c>
      <c r="K8" s="10">
        <f>IF(ISERROR('4.エネルギー使用量(適合例)'!$O$36*$C$28*$C$12*$E$12*$E$7),"",ROUND('4.エネルギー使用量(適合例)'!$O$36*$C$28*$C$12*$E$12*$E$7,2))</f>
        <v>4.46</v>
      </c>
      <c r="N8" s="2" t="s">
        <v>44</v>
      </c>
      <c r="O8" s="2" t="s">
        <v>442</v>
      </c>
      <c r="P8" s="2" t="s">
        <v>69</v>
      </c>
      <c r="Q8" s="2" t="s">
        <v>491</v>
      </c>
      <c r="R8" s="2" t="s">
        <v>210</v>
      </c>
      <c r="S8" s="2" t="s">
        <v>11</v>
      </c>
      <c r="Y8" s="100" t="s">
        <v>106</v>
      </c>
      <c r="Z8" s="2" t="s">
        <v>256</v>
      </c>
      <c r="AA8" s="2" t="s">
        <v>72</v>
      </c>
      <c r="AB8" s="2" t="s">
        <v>11</v>
      </c>
      <c r="AC8" s="93">
        <v>1.2</v>
      </c>
    </row>
    <row r="9" spans="1:29" x14ac:dyDescent="0.55000000000000004">
      <c r="C9" s="2" t="s">
        <v>70</v>
      </c>
      <c r="I9" s="82" t="s">
        <v>455</v>
      </c>
      <c r="J9" s="11">
        <f>IF(ISERROR('4.エネルギー使用量(適合例)'!$O$36/1000*$C$13*$C$7),"",ROUND('4.エネルギー使用量(適合例)'!$O$36/1000*$C$13*$C$7,2))</f>
        <v>4.1900000000000004</v>
      </c>
      <c r="K9" s="10">
        <f>IF(ISERROR('4.エネルギー使用量(適合例)'!$O$36/1000*$C$12*$E$12*$E$7),"",ROUND('4.エネルギー使用量(適合例)'!$O$36/1000*$C$12*$E$12*$E$7,2))</f>
        <v>9.7799999999999994</v>
      </c>
      <c r="O9" s="164" t="s">
        <v>450</v>
      </c>
      <c r="P9" s="2" t="s">
        <v>67</v>
      </c>
      <c r="Q9" s="2" t="s">
        <v>492</v>
      </c>
      <c r="R9" s="2" t="s">
        <v>11</v>
      </c>
      <c r="Y9" s="100" t="s">
        <v>105</v>
      </c>
      <c r="Z9" s="2" t="s">
        <v>259</v>
      </c>
      <c r="AA9" s="2" t="s">
        <v>44</v>
      </c>
    </row>
    <row r="10" spans="1:29" ht="18" thickBot="1" x14ac:dyDescent="0.6">
      <c r="B10" s="2" t="s">
        <v>68</v>
      </c>
      <c r="C10" s="9">
        <v>45</v>
      </c>
      <c r="D10" s="2" t="s">
        <v>59</v>
      </c>
      <c r="E10" s="5">
        <v>1.3599999999999999E-2</v>
      </c>
      <c r="F10" s="2" t="s">
        <v>56</v>
      </c>
      <c r="I10" s="82" t="s">
        <v>456</v>
      </c>
      <c r="J10" s="8">
        <f>IF(ISERROR('4.エネルギー使用量(適合例)'!$O$36/1000*$C$14*$C$7),"",ROUND('4.エネルギー使用量(適合例)'!$O$36/1000*$C$14*$C$7,2))</f>
        <v>4.0599999999999996</v>
      </c>
      <c r="K10" s="7">
        <f>IF(ISERROR('4.エネルギー使用量(適合例)'!$O$36/1000*$C$14*$E$14*$E$7),"",ROUND('4.エネルギー使用量(適合例)'!$O$36/1000*$C$14*$E$14*$E$7,2))</f>
        <v>8.02</v>
      </c>
      <c r="O10" s="2" t="s">
        <v>188</v>
      </c>
      <c r="P10" s="2" t="s">
        <v>64</v>
      </c>
      <c r="Q10" s="2" t="s">
        <v>493</v>
      </c>
      <c r="Y10" s="100" t="s">
        <v>104</v>
      </c>
      <c r="Z10" s="2" t="s">
        <v>105</v>
      </c>
    </row>
    <row r="11" spans="1:29" x14ac:dyDescent="0.55000000000000004">
      <c r="B11" s="2" t="s">
        <v>66</v>
      </c>
      <c r="C11" s="9">
        <v>50.8</v>
      </c>
      <c r="D11" s="2" t="s">
        <v>62</v>
      </c>
      <c r="E11" s="5">
        <v>1.61E-2</v>
      </c>
      <c r="F11" s="2" t="s">
        <v>56</v>
      </c>
      <c r="G11" s="4">
        <v>482</v>
      </c>
      <c r="H11" s="2" t="s">
        <v>65</v>
      </c>
      <c r="O11" s="2" t="s">
        <v>442</v>
      </c>
      <c r="Q11" s="2" t="s">
        <v>494</v>
      </c>
      <c r="Y11" s="100" t="s">
        <v>103</v>
      </c>
      <c r="Z11" s="2" t="s">
        <v>104</v>
      </c>
    </row>
    <row r="12" spans="1:29" x14ac:dyDescent="0.55000000000000004">
      <c r="B12" s="2" t="s">
        <v>63</v>
      </c>
      <c r="C12" s="9">
        <v>54.6</v>
      </c>
      <c r="D12" s="2" t="s">
        <v>62</v>
      </c>
      <c r="E12" s="5">
        <v>1.35E-2</v>
      </c>
      <c r="F12" s="2" t="s">
        <v>56</v>
      </c>
      <c r="G12" s="2">
        <f>1000/G11</f>
        <v>2.0746887966804981</v>
      </c>
      <c r="O12" s="2" t="s">
        <v>461</v>
      </c>
      <c r="Z12" s="2" t="s">
        <v>257</v>
      </c>
    </row>
    <row r="13" spans="1:29" ht="19.2" x14ac:dyDescent="0.55000000000000004">
      <c r="B13" s="2" t="s">
        <v>61</v>
      </c>
      <c r="C13" s="9">
        <v>44.9</v>
      </c>
      <c r="D13" s="2" t="s">
        <v>59</v>
      </c>
      <c r="E13" s="5">
        <v>1.4200000000000001E-2</v>
      </c>
      <c r="F13" s="2" t="s">
        <v>56</v>
      </c>
      <c r="G13" s="40" t="s">
        <v>180</v>
      </c>
      <c r="N13" s="1" t="s">
        <v>111</v>
      </c>
      <c r="O13" s="1"/>
      <c r="P13" s="1"/>
      <c r="Z13" s="2" t="s">
        <v>258</v>
      </c>
    </row>
    <row r="14" spans="1:29" ht="19.2" x14ac:dyDescent="0.55000000000000004">
      <c r="B14" s="2" t="s">
        <v>60</v>
      </c>
      <c r="C14" s="9">
        <v>43.5</v>
      </c>
      <c r="D14" s="2" t="s">
        <v>59</v>
      </c>
      <c r="E14" s="5">
        <v>1.3899999999999999E-2</v>
      </c>
      <c r="F14" s="2" t="s">
        <v>56</v>
      </c>
      <c r="G14" s="40" t="s">
        <v>181</v>
      </c>
      <c r="N14" s="101" t="s">
        <v>110</v>
      </c>
      <c r="O14" s="101"/>
      <c r="P14" s="101"/>
      <c r="Z14" s="2" t="s">
        <v>103</v>
      </c>
    </row>
    <row r="15" spans="1:29" ht="19.8" thickBot="1" x14ac:dyDescent="0.6">
      <c r="B15" s="2" t="s">
        <v>242</v>
      </c>
      <c r="C15" s="2">
        <v>0.9666547347078589</v>
      </c>
      <c r="J15" s="3"/>
      <c r="K15" s="3"/>
      <c r="N15" s="49"/>
      <c r="O15" s="49" t="s">
        <v>101</v>
      </c>
      <c r="P15" s="49" t="s">
        <v>100</v>
      </c>
      <c r="Q15" s="1"/>
      <c r="R15" s="45" t="s">
        <v>183</v>
      </c>
      <c r="U15" s="39" t="s">
        <v>113</v>
      </c>
    </row>
    <row r="16" spans="1:29" ht="19.2" x14ac:dyDescent="0.55000000000000004">
      <c r="I16" s="82" t="s">
        <v>457</v>
      </c>
      <c r="J16" s="13" t="s">
        <v>20</v>
      </c>
      <c r="K16" s="12" t="s">
        <v>19</v>
      </c>
      <c r="N16" s="49" t="s">
        <v>98</v>
      </c>
      <c r="O16" s="49">
        <v>800</v>
      </c>
      <c r="P16" s="49">
        <v>400</v>
      </c>
      <c r="Q16" s="1"/>
      <c r="U16" s="39" t="s">
        <v>91</v>
      </c>
    </row>
    <row r="17" spans="2:30" ht="19.2" x14ac:dyDescent="0.55000000000000004">
      <c r="B17" s="2" t="s">
        <v>58</v>
      </c>
      <c r="C17" s="9">
        <v>38.200000000000003</v>
      </c>
      <c r="D17" s="2" t="s">
        <v>57</v>
      </c>
      <c r="E17" s="5">
        <v>1.8700000000000001E-2</v>
      </c>
      <c r="F17" s="2" t="s">
        <v>56</v>
      </c>
      <c r="I17" s="82" t="s">
        <v>453</v>
      </c>
      <c r="J17" s="11">
        <f>IF(ISERROR('4.エネルギー使用量(適合例)'!$O$36/1000*$C$10*$C$7*$C$15),"",ROUND('4.エネルギー使用量(適合例)'!$O$36/1000*$C$10*$C$7*$C$15,2))</f>
        <v>4.0599999999999996</v>
      </c>
      <c r="K17" s="10">
        <f>IF(ISERROR('4.エネルギー使用量(適合例)'!$O$36/1000*$C$10*$E$10*$E$7),"",ROUND('4.エネルギー使用量(適合例)'!$O$36/1000*$C$10*$E$10*$E$7,2))</f>
        <v>8.1199999999999992</v>
      </c>
      <c r="L17" s="2" t="s">
        <v>454</v>
      </c>
      <c r="N17" s="49" t="s">
        <v>109</v>
      </c>
      <c r="O17" s="49">
        <v>900</v>
      </c>
      <c r="P17" s="49">
        <v>400</v>
      </c>
      <c r="Q17" s="1"/>
      <c r="R17" s="45" t="s">
        <v>139</v>
      </c>
      <c r="S17" s="39"/>
      <c r="T17" s="39" t="s">
        <v>140</v>
      </c>
      <c r="U17" s="39" t="s">
        <v>92</v>
      </c>
    </row>
    <row r="18" spans="2:30" ht="19.2" x14ac:dyDescent="0.55000000000000004">
      <c r="B18" s="2" t="s">
        <v>55</v>
      </c>
      <c r="C18" s="9">
        <v>36.700000000000003</v>
      </c>
      <c r="D18" s="2" t="s">
        <v>51</v>
      </c>
      <c r="E18" s="5">
        <v>1.8499999999999999E-2</v>
      </c>
      <c r="F18" s="2" t="s">
        <v>50</v>
      </c>
      <c r="I18" s="82" t="s">
        <v>197</v>
      </c>
      <c r="J18" s="16" t="str">
        <f>IF(ISERROR('4.エネルギー使用量(適合例)'!$O$47/1000*$C$4*$C$7),"",ROUND('4.エネルギー使用量(適合例)'!$O$47/1000*$C$4*$C$7,2))</f>
        <v/>
      </c>
      <c r="K18" s="10" t="str">
        <f>IF(ISERROR('4.エネルギー使用量(適合例)'!$O$47/1000*$C$4*$E$4),"",ROUND('4.エネルギー使用量(適合例)'!$O$47/1000*$C$4*$E$4,2))</f>
        <v/>
      </c>
      <c r="L18" s="82"/>
      <c r="N18" s="49" t="s">
        <v>108</v>
      </c>
      <c r="O18" s="49">
        <v>1000</v>
      </c>
      <c r="P18" s="49">
        <v>500</v>
      </c>
      <c r="Q18" s="1"/>
      <c r="R18" s="45" t="s">
        <v>142</v>
      </c>
      <c r="S18" s="39"/>
      <c r="T18" s="39" t="s">
        <v>143</v>
      </c>
      <c r="U18" s="39" t="s">
        <v>93</v>
      </c>
    </row>
    <row r="19" spans="2:30" ht="19.2" x14ac:dyDescent="0.55000000000000004">
      <c r="B19" s="2" t="s">
        <v>54</v>
      </c>
      <c r="C19" s="9">
        <v>37.700000000000003</v>
      </c>
      <c r="D19" s="2" t="s">
        <v>51</v>
      </c>
      <c r="E19" s="5">
        <v>1.8700000000000001E-2</v>
      </c>
      <c r="F19" s="2" t="s">
        <v>50</v>
      </c>
      <c r="I19" s="82" t="s">
        <v>198</v>
      </c>
      <c r="J19" s="16" t="str">
        <f>IF(ISERROR('4.エネルギー使用量(適合例)'!$O$47/1000*$C$5*$C$7),"",ROUND('4.エネルギー使用量(適合例)'!$O$47/1000*$C$5*$C$7,2))</f>
        <v/>
      </c>
      <c r="K19" s="10" t="str">
        <f>IF(ISERROR('4.エネルギー使用量(適合例)'!$O$47/1000*$C$5*$E$5),"",ROUND('4.エネルギー使用量(適合例)'!$O$47/1000*$C$5*$E$5,2))</f>
        <v/>
      </c>
      <c r="N19" s="49" t="s">
        <v>107</v>
      </c>
      <c r="O19" s="49">
        <v>1000</v>
      </c>
      <c r="P19" s="49">
        <v>1200</v>
      </c>
      <c r="Q19" s="1"/>
      <c r="R19" s="45" t="s">
        <v>145</v>
      </c>
      <c r="S19" s="39"/>
      <c r="T19" s="39"/>
      <c r="U19" s="39" t="s">
        <v>94</v>
      </c>
    </row>
    <row r="20" spans="2:30" ht="19.2" x14ac:dyDescent="0.55000000000000004">
      <c r="B20" s="2" t="s">
        <v>53</v>
      </c>
      <c r="C20" s="9">
        <v>39.1</v>
      </c>
      <c r="D20" s="2" t="s">
        <v>51</v>
      </c>
      <c r="E20" s="5">
        <v>1.89E-2</v>
      </c>
      <c r="F20" s="2" t="s">
        <v>50</v>
      </c>
      <c r="I20" s="82" t="s">
        <v>199</v>
      </c>
      <c r="J20" s="16" t="str">
        <f>IF(ISERROR('4.エネルギー使用量(適合例)'!$O$47/1000*$C$6*$C$7),"",ROUND('4.エネルギー使用量(適合例)'!$O$47/1000*$C$6*$C$7,2))</f>
        <v/>
      </c>
      <c r="K20" s="10" t="str">
        <f>IF(ISERROR('4.エネルギー使用量(適合例)'!$O$47/1000*$C$6*$E$6),"",'4.エネルギー使用量(適合例)'!$O$47/1000*$C$6*$E$6)</f>
        <v/>
      </c>
      <c r="N20" s="49" t="s">
        <v>256</v>
      </c>
      <c r="O20" s="49">
        <v>400</v>
      </c>
      <c r="P20" s="49">
        <v>500</v>
      </c>
      <c r="Q20" s="1"/>
      <c r="R20" s="45" t="s">
        <v>146</v>
      </c>
      <c r="S20" s="39"/>
      <c r="T20" s="39" t="s">
        <v>477</v>
      </c>
      <c r="U20" s="39" t="s">
        <v>484</v>
      </c>
    </row>
    <row r="21" spans="2:30" ht="19.2" x14ac:dyDescent="0.55000000000000004">
      <c r="B21" s="2" t="s">
        <v>52</v>
      </c>
      <c r="C21" s="9">
        <v>41.9</v>
      </c>
      <c r="D21" s="2" t="s">
        <v>51</v>
      </c>
      <c r="E21" s="5">
        <v>1.95E-2</v>
      </c>
      <c r="F21" s="2" t="s">
        <v>50</v>
      </c>
      <c r="I21" s="82" t="s">
        <v>193</v>
      </c>
      <c r="J21" s="11" t="str">
        <f>IF(ISERROR('4.エネルギー使用量(適合例)'!$O$47/1000*$C$18*$C$7),"",ROUND('4.エネルギー使用量(適合例)'!$O$47/1000*$C$18*$C$7,2))</f>
        <v/>
      </c>
      <c r="K21" s="10" t="str">
        <f>IF(ISERROR('4.エネルギー使用量(適合例)'!$O$47/1000*$C$18*$E$18*$E$7),"",ROUND('4.エネルギー使用量(適合例)'!$O$47/1000*$C$18*$E$18*$E$7,2))</f>
        <v/>
      </c>
      <c r="N21" s="49" t="s">
        <v>259</v>
      </c>
      <c r="O21" s="49">
        <v>400</v>
      </c>
      <c r="P21" s="49">
        <v>500</v>
      </c>
      <c r="Q21" s="1"/>
      <c r="R21" s="45" t="s">
        <v>148</v>
      </c>
      <c r="S21" s="39"/>
      <c r="T21" s="39" t="s">
        <v>478</v>
      </c>
      <c r="U21" s="39"/>
    </row>
    <row r="22" spans="2:30" ht="19.2" x14ac:dyDescent="0.55000000000000004">
      <c r="I22" s="82" t="s">
        <v>194</v>
      </c>
      <c r="J22" s="11" t="str">
        <f>IF(ISERROR('4.エネルギー使用量(適合例)'!$O$47/1000*$C$19*$C$7),"",ROUND('4.エネルギー使用量(適合例)'!$O$47/1000*$C$19*$C$7,2))</f>
        <v/>
      </c>
      <c r="K22" s="10" t="str">
        <f>IF(ISERROR('4.エネルギー使用量(適合例)'!$O$47/1000*$C$19*$E$19*$E$7),"",ROUND('4.エネルギー使用量(適合例)'!$O$47/1000*$C$19*$E$19*$E$7,2))</f>
        <v/>
      </c>
      <c r="N22" s="49" t="s">
        <v>105</v>
      </c>
      <c r="O22" s="49">
        <v>1000</v>
      </c>
      <c r="P22" s="49">
        <v>900</v>
      </c>
      <c r="Q22" s="1"/>
      <c r="R22" s="45" t="s">
        <v>149</v>
      </c>
      <c r="S22" s="39"/>
      <c r="T22" s="39" t="s">
        <v>503</v>
      </c>
      <c r="U22" s="39"/>
    </row>
    <row r="23" spans="2:30" ht="19.2" x14ac:dyDescent="0.55000000000000004">
      <c r="B23" s="2" t="s">
        <v>49</v>
      </c>
      <c r="C23" s="2" t="s">
        <v>48</v>
      </c>
      <c r="I23" s="82" t="s">
        <v>195</v>
      </c>
      <c r="J23" s="11" t="str">
        <f>IF(ISERROR('4.エネルギー使用量(適合例)'!$O$47/1000*$C$20*$C$7),"",ROUND('4.エネルギー使用量(適合例)'!$O$47/1000*$C$20*$C$7,2))</f>
        <v/>
      </c>
      <c r="K23" s="10" t="str">
        <f>IF(ISERROR('4.エネルギー使用量(適合例)'!$O$47/1000*$C$20*$E$20*$E$7),"",ROUND('4.エネルギー使用量(適合例)'!$O$47/1000*$C$20*$E$20*$E$7,2))</f>
        <v/>
      </c>
      <c r="N23" s="49" t="s">
        <v>104</v>
      </c>
      <c r="O23" s="49">
        <v>1000</v>
      </c>
      <c r="P23" s="49">
        <v>500</v>
      </c>
      <c r="Q23" s="1"/>
      <c r="R23" s="45" t="s">
        <v>150</v>
      </c>
      <c r="S23" s="39"/>
      <c r="T23" s="39" t="s">
        <v>504</v>
      </c>
    </row>
    <row r="24" spans="2:30" ht="19.8" thickBot="1" x14ac:dyDescent="0.6">
      <c r="B24" s="2" t="s">
        <v>47</v>
      </c>
      <c r="C24" s="6">
        <f>1/502</f>
        <v>1.9920318725099601E-3</v>
      </c>
      <c r="D24" s="2" t="s">
        <v>41</v>
      </c>
      <c r="I24" s="82" t="s">
        <v>196</v>
      </c>
      <c r="J24" s="8" t="str">
        <f>IF(ISERROR('4.エネルギー使用量(適合例)'!$O$47/1000*$C$21*$C$7),"",ROUND('4.エネルギー使用量(適合例)'!$O$47/1000*$C$21*$C$7,2))</f>
        <v/>
      </c>
      <c r="K24" s="7" t="str">
        <f>IF(ISERROR('4.エネルギー使用量(適合例)'!$O$47/1000*$C$21*$E$21*$E$7),"",ROUND('4.エネルギー使用量(適合例)'!$O$47/1000*$C$21*$E$21*$E$7,2))</f>
        <v/>
      </c>
      <c r="N24" s="49" t="s">
        <v>263</v>
      </c>
      <c r="O24" s="49">
        <v>800</v>
      </c>
      <c r="P24" s="49">
        <v>400</v>
      </c>
      <c r="Q24" s="1"/>
      <c r="R24" s="45" t="s">
        <v>138</v>
      </c>
      <c r="S24" s="39"/>
      <c r="T24" s="39"/>
    </row>
    <row r="25" spans="2:30" ht="18" thickBot="1" x14ac:dyDescent="0.6">
      <c r="B25" s="2" t="s">
        <v>46</v>
      </c>
      <c r="C25" s="6">
        <f>1/355</f>
        <v>2.8169014084507044E-3</v>
      </c>
      <c r="D25" s="2" t="s">
        <v>41</v>
      </c>
      <c r="N25" s="49" t="s">
        <v>258</v>
      </c>
      <c r="O25" s="49">
        <v>800</v>
      </c>
      <c r="P25" s="49">
        <v>400</v>
      </c>
      <c r="Q25" s="1"/>
      <c r="R25" s="1"/>
    </row>
    <row r="26" spans="2:30" ht="19.2" x14ac:dyDescent="0.55000000000000004">
      <c r="B26" s="2" t="s">
        <v>45</v>
      </c>
      <c r="C26" s="6">
        <f>1/458</f>
        <v>2.1834061135371178E-3</v>
      </c>
      <c r="D26" s="2" t="s">
        <v>41</v>
      </c>
      <c r="I26" s="82" t="s">
        <v>458</v>
      </c>
      <c r="J26" s="13" t="s">
        <v>20</v>
      </c>
      <c r="K26" s="12" t="s">
        <v>19</v>
      </c>
      <c r="N26" s="49" t="s">
        <v>103</v>
      </c>
      <c r="O26" s="49">
        <v>800</v>
      </c>
      <c r="P26" s="49">
        <v>400</v>
      </c>
      <c r="Q26" s="1"/>
      <c r="T26" s="39" t="s">
        <v>223</v>
      </c>
    </row>
    <row r="27" spans="2:30" x14ac:dyDescent="0.55000000000000004">
      <c r="B27" s="2" t="s">
        <v>44</v>
      </c>
      <c r="C27" s="6">
        <f>1/1220</f>
        <v>8.1967213114754098E-4</v>
      </c>
      <c r="D27" s="2" t="s">
        <v>41</v>
      </c>
      <c r="E27" s="3">
        <f>C33/C32</f>
        <v>1208.955223880597</v>
      </c>
      <c r="F27" s="2" t="s">
        <v>40</v>
      </c>
      <c r="I27" s="82" t="s">
        <v>197</v>
      </c>
      <c r="J27" s="16" t="str">
        <f>IF(ISERROR('4.エネルギー使用量(適合例)'!$O$58/1000*$C$4*$C$7),"",ROUND('4.エネルギー使用量(適合例)'!$O$58/1000*$C$4*$C$7,2))</f>
        <v/>
      </c>
      <c r="K27" s="10" t="str">
        <f>IF(ISERROR('4.エネルギー使用量(適合例)'!$O$58/1000*$C$4*$E$4),"",ROUND('4.エネルギー使用量(適合例)'!$O$58/1000*$C$4*$E$4,2))</f>
        <v/>
      </c>
      <c r="N27" s="1"/>
      <c r="O27" s="1"/>
      <c r="P27" s="1"/>
      <c r="Q27" s="1"/>
    </row>
    <row r="28" spans="2:30" ht="19.2" x14ac:dyDescent="0.55000000000000004">
      <c r="B28" s="2" t="s">
        <v>43</v>
      </c>
      <c r="C28" s="6">
        <f>1/E28</f>
        <v>4.557823129251701E-4</v>
      </c>
      <c r="D28" s="2" t="s">
        <v>41</v>
      </c>
      <c r="E28" s="3">
        <f>C31/C32*1000</f>
        <v>2194.0298507462685</v>
      </c>
      <c r="F28" s="2" t="s">
        <v>40</v>
      </c>
      <c r="I28" s="82" t="s">
        <v>198</v>
      </c>
      <c r="J28" s="16" t="str">
        <f>IF(ISERROR('4.エネルギー使用量(適合例)'!$O$58/1000*$C$5*$C$7),"",ROUND('4.エネルギー使用量(適合例)'!$O$58/1000*$C$5*$C$7,2))</f>
        <v/>
      </c>
      <c r="K28" s="10" t="str">
        <f>IF(ISERROR('4.エネルギー使用量(適合例)'!$O$58/1000*$C$5*$E$5),"",ROUND('4.エネルギー使用量(適合例)'!$O$58/1000*$C$5*$E$5,2))</f>
        <v/>
      </c>
      <c r="N28" s="18"/>
      <c r="O28" s="18"/>
      <c r="P28" s="274" t="s">
        <v>173</v>
      </c>
      <c r="Q28" s="275"/>
      <c r="R28" s="275"/>
      <c r="S28" s="275"/>
      <c r="T28" s="275"/>
      <c r="U28" s="275"/>
      <c r="V28" s="275"/>
      <c r="W28" s="275"/>
      <c r="X28" s="275"/>
      <c r="Y28" s="275"/>
      <c r="Z28" s="275"/>
      <c r="AA28" s="275"/>
      <c r="AB28" s="275"/>
      <c r="AC28" s="275"/>
      <c r="AD28" s="276"/>
    </row>
    <row r="29" spans="2:30" ht="19.2" x14ac:dyDescent="0.55000000000000004">
      <c r="I29" s="82" t="s">
        <v>199</v>
      </c>
      <c r="J29" s="16" t="str">
        <f>IF(ISERROR('4.エネルギー使用量(適合例)'!$O$58/1000*$C$6*$C$7),"",ROUND('4.エネルギー使用量(適合例)'!$O$58/1000*$C$6*$C$7,2))</f>
        <v/>
      </c>
      <c r="K29" s="10" t="str">
        <f>IF(ISERROR('4.エネルギー使用量(適合例)'!$O$58/1000*$C$6*$E$6),"",ROUND('4.エネルギー使用量(適合例)'!$O$58/1000*$C$6*$E$6,2))</f>
        <v/>
      </c>
      <c r="N29" s="18"/>
      <c r="O29" s="18"/>
      <c r="P29" s="277" t="s">
        <v>176</v>
      </c>
      <c r="Q29" s="277"/>
      <c r="R29" s="277"/>
      <c r="S29" s="277" t="s">
        <v>175</v>
      </c>
      <c r="T29" s="277"/>
      <c r="U29" s="277"/>
      <c r="V29" s="277" t="s">
        <v>117</v>
      </c>
      <c r="W29" s="277"/>
      <c r="X29" s="277"/>
      <c r="Y29" s="277" t="s">
        <v>118</v>
      </c>
      <c r="Z29" s="277"/>
      <c r="AA29" s="277"/>
      <c r="AB29" s="277" t="s">
        <v>119</v>
      </c>
      <c r="AC29" s="277"/>
      <c r="AD29" s="277"/>
    </row>
    <row r="30" spans="2:30" ht="19.2" x14ac:dyDescent="0.55000000000000004">
      <c r="B30" s="2" t="s">
        <v>42</v>
      </c>
      <c r="I30" s="82" t="s">
        <v>193</v>
      </c>
      <c r="J30" s="11" t="str">
        <f>IF(ISERROR('4.エネルギー使用量(適合例)'!$O$58/1000*$C$18*$C$7),"",ROUND('4.エネルギー使用量(適合例)'!$O$58/1000*$C$18*$C$7,2))</f>
        <v/>
      </c>
      <c r="K30" s="10" t="str">
        <f>IF(ISERROR('4.エネルギー使用量(適合例)'!$O$58/1000*$C$18*$E$18*$E$7),"",ROUND('4.エネルギー使用量(適合例)'!$O$58/1000*$C$18*$E$18*$E$7,2))</f>
        <v/>
      </c>
      <c r="N30" s="18"/>
      <c r="O30" s="18"/>
      <c r="P30" s="44" t="s">
        <v>101</v>
      </c>
      <c r="Q30" s="44" t="s">
        <v>100</v>
      </c>
      <c r="R30" s="44" t="s">
        <v>99</v>
      </c>
      <c r="S30" s="44" t="s">
        <v>101</v>
      </c>
      <c r="T30" s="44" t="s">
        <v>100</v>
      </c>
      <c r="U30" s="44" t="s">
        <v>99</v>
      </c>
      <c r="V30" s="44" t="s">
        <v>101</v>
      </c>
      <c r="W30" s="44" t="s">
        <v>100</v>
      </c>
      <c r="X30" s="44" t="s">
        <v>99</v>
      </c>
      <c r="Y30" s="44" t="s">
        <v>101</v>
      </c>
      <c r="Z30" s="44" t="s">
        <v>100</v>
      </c>
      <c r="AA30" s="44" t="s">
        <v>99</v>
      </c>
      <c r="AB30" s="44" t="s">
        <v>101</v>
      </c>
      <c r="AC30" s="44" t="s">
        <v>100</v>
      </c>
      <c r="AD30" s="44" t="s">
        <v>99</v>
      </c>
    </row>
    <row r="31" spans="2:30" ht="19.2" x14ac:dyDescent="0.55000000000000004">
      <c r="C31" s="4">
        <f>147000</f>
        <v>147000</v>
      </c>
      <c r="D31" s="2" t="s">
        <v>40</v>
      </c>
      <c r="I31" s="82" t="s">
        <v>194</v>
      </c>
      <c r="J31" s="11" t="str">
        <f>IF(ISERROR('4.エネルギー使用量(適合例)'!$O$58/1000*$C$19*$C$7),"",ROUND('4.エネルギー使用量(適合例)'!$O$58/1000*$C$19*$C$7,2))</f>
        <v/>
      </c>
      <c r="K31" s="10" t="str">
        <f>IF(ISERROR('4.エネルギー使用量(適合例)'!$O$58/1000*$C$19*$E$19*$E$7),"",ROUND('4.エネルギー使用量(適合例)'!$O$58/1000*$C$19*$E$19*$E$7,2))</f>
        <v/>
      </c>
      <c r="N31" s="80" t="s">
        <v>152</v>
      </c>
      <c r="O31" s="34">
        <f>IF(AND('2-3.設備仕様入力(適合例)'!D$122="電気",'2-3.設備仕様入力(適合例)'!D$128="kW"),1,IF(AND('2-3.設備仕様入力(適合例)'!D$122="都市ガス",'2-3.設備仕様入力(適合例)'!D$128="kW"),2,IF(AND('2-3.設備仕様入力(適合例)'!D$122="都市ガス",'2-3.設備仕様入力(適合例)'!D$128="ｍ3N/h"),3,IF(AND('2-3.設備仕様入力(適合例)'!D$122="LPG",'2-3.設備仕様入力(適合例)'!D$128="kW"),4,IF(AND('2-3.設備仕様入力(適合例)'!D$122="LPG",'2-3.設備仕様入力(適合例)'!D$128="kg/h"),5,"")))))</f>
        <v>1</v>
      </c>
      <c r="P31" s="41">
        <f>IF(OR('2-3.設備仕様入力(適合例)'!$D$120="電気式パッケージ形空調機",'2-3.設備仕様入力(適合例)'!$D$120="ルームエアコン"),ROUND('2-3.設備仕様入力(適合例)'!$D$126*'2-3.設備仕様入力(適合例)'!$D$121*計算!$C$3*VLOOKUP('2-3.設備仕様入力(適合例)'!$D$123,計算!$N$16:$P$26,2,FALSE)/1000,1),"")</f>
        <v>28.1</v>
      </c>
      <c r="Q31" s="41">
        <f>IF(OR('2-3.設備仕様入力(適合例)'!$D$120="電気式パッケージ形空調機",'2-3.設備仕様入力(適合例)'!$D$120="ルームエアコン"),ROUND('2-3.設備仕様入力(適合例)'!$D$127*'2-3.設備仕様入力(適合例)'!$D$121*計算!$C$3*VLOOKUP('2-3.設備仕様入力(適合例)'!$D$123,計算!$N$16:$P$26,3,FALSE)/1000,1),"")</f>
        <v>14.8</v>
      </c>
      <c r="R31" s="41">
        <f t="shared" ref="R31:R40" si="0">IF(AND(P31="",Q31=""),"",P31+Q31)</f>
        <v>42.900000000000006</v>
      </c>
      <c r="S31" s="41" t="str">
        <f>IF('2-3.設備仕様入力(適合例)'!$D$120="ガスヒートポンプ式空調機",IF('2-3.設備仕様入力(適合例)'!$D$122="都市ガス",IF('2-3.設備仕様入力(適合例)'!$D$128="kW",ROUND('2-3.設備仕様入力(適合例)'!$D$121*'2-3.設備仕様入力(適合例)'!$D$126*3.6/1000*VLOOKUP('2-3.設備仕様入力(適合例)'!$D$123,計算!$N$16:$P$26,2,FALSE),1),""),""),"")</f>
        <v/>
      </c>
      <c r="T31" s="41" t="str">
        <f>IF('2-3.設備仕様入力(適合例)'!$D$120="ガスヒートポンプ式空調機",IF('2-3.設備仕様入力(適合例)'!$D$122="都市ガス",IF('2-3.設備仕様入力(適合例)'!$D$128="kW",ROUND('2-3.設備仕様入力(適合例)'!$D$121*'2-3.設備仕様入力(適合例)'!$D$127*3.6/1000*VLOOKUP('2-3.設備仕様入力(適合例)'!$D$123,計算!$N$16:$P$26,3,FALSE),1),""),""),"")</f>
        <v/>
      </c>
      <c r="U31" s="41" t="str">
        <f t="shared" ref="U31:U40" si="1">IF(AND(S31="",T31=""),"",S31+T31)</f>
        <v/>
      </c>
      <c r="V31" s="41" t="str">
        <f>IF('2-3.設備仕様入力(適合例)'!$D$120="ガスヒートポンプ式空調機",IF('2-3.設備仕様入力(適合例)'!$D$128="ｍ3N/h",ROUND('2-3.設備仕様入力(適合例)'!$D$121*'2-3.設備仕様入力(適合例)'!$D$126*計算!$C$10/1000*VLOOKUP('2-3.設備仕様入力(適合例)'!$D$123,計算!$N$16:$P$26,2,FALSE),1),""),"")</f>
        <v/>
      </c>
      <c r="W31" s="41" t="str">
        <f>IF('2-3.設備仕様入力(適合例)'!$D$120="ガスヒートポンプ式空調機",IF('2-3.設備仕様入力(適合例)'!$D$128="ｍ3N/h",ROUND('2-3.設備仕様入力(適合例)'!$D$121*'2-3.設備仕様入力(適合例)'!$D$127*計算!$C$10/1000*VLOOKUP('2-3.設備仕様入力(適合例)'!$D$123,計算!$N$16:$P$26,3,FALSE),1),""),"")</f>
        <v/>
      </c>
      <c r="X31" s="41" t="str">
        <f t="shared" ref="X31:X40" si="2">IF(AND(V31="",W31=""),"",V31+W31)</f>
        <v/>
      </c>
      <c r="Y31" s="41" t="str">
        <f>IF('2-3.設備仕様入力(適合例)'!$D$120="ガスヒートポンプ式空調機",IF('2-3.設備仕様入力(適合例)'!$D$122="LPG",IF('2-3.設備仕様入力(適合例)'!$D$128="kW",ROUND('2-3.設備仕様入力(適合例)'!$D$121*'2-3.設備仕様入力(適合例)'!$D$126*3.6/1000*VLOOKUP('2-3.設備仕様入力(適合例)'!$D$123,計算!$N$16:$P$26,2,FALSE),1),""),""),"")</f>
        <v/>
      </c>
      <c r="Z31" s="41" t="str">
        <f>IF('2-3.設備仕様入力(適合例)'!$D$120="ガスヒートポンプ式空調機",IF('2-3.設備仕様入力(適合例)'!$D$122="LPG",IF('2-3.設備仕様入力(適合例)'!$D$128="kW",ROUND('2-3.設備仕様入力(適合例)'!$D$121*'2-3.設備仕様入力(適合例)'!$D$127*3.6/1000*VLOOKUP('2-3.設備仕様入力(適合例)'!$D$123,計算!$N$16:$P$26,3,FALSE),1),""),""),"")</f>
        <v/>
      </c>
      <c r="AA31" s="41" t="str">
        <f t="shared" ref="AA31:AA40" si="3">IF(AND(Y31="",Z31=""),"",Y31+Z31)</f>
        <v/>
      </c>
      <c r="AB31" s="41" t="str">
        <f>IF('2-3.設備仕様入力(適合例)'!$D$120="ガスヒートポンプ式空調機",IF('2-3.設備仕様入力(適合例)'!$D$122="LPG",IF('2-3.設備仕様入力(適合例)'!$D$128="kg/h",ROUND('2-3.設備仕様入力(適合例)'!$D$121*'2-3.設備仕様入力(適合例)'!$D$126*計算!$C$11/1000*VLOOKUP('2-3.設備仕様入力(適合例)'!$D$123,計算!$N$16:$P$26,2,FALSE),1),""),""),"")</f>
        <v/>
      </c>
      <c r="AC31" s="41" t="str">
        <f>IF('2-3.設備仕様入力(適合例)'!$D$120="ガスヒートポンプ式空調機",IF('2-3.設備仕様入力(適合例)'!$D$122="LPG",IF('2-3.設備仕様入力(適合例)'!$D$128="kg/h",ROUND('2-3.設備仕様入力(適合例)'!$D$121*'2-3.設備仕様入力(適合例)'!$D$127*計算!$C$11/1000*VLOOKUP('2-3.設備仕様入力(適合例)'!$D$123,計算!$N$16:$P$26,3,FALSE),1),""),""),"")</f>
        <v/>
      </c>
      <c r="AD31" s="41" t="str">
        <f t="shared" ref="AD31:AD40" si="4">IF(AND(AB31="",AC31=""),"",AB31+AC31)</f>
        <v/>
      </c>
    </row>
    <row r="32" spans="2:30" ht="19.2" x14ac:dyDescent="0.55000000000000004">
      <c r="C32" s="4">
        <f>67000</f>
        <v>67000</v>
      </c>
      <c r="D32" s="2" t="s">
        <v>41</v>
      </c>
      <c r="I32" s="82" t="s">
        <v>195</v>
      </c>
      <c r="J32" s="11" t="str">
        <f>IF(ISERROR('4.エネルギー使用量(適合例)'!$O$58/1000*$C$20*$C$7),"",ROUND('4.エネルギー使用量(適合例)'!$O$58/1000*$C$20*$C$7,2))</f>
        <v/>
      </c>
      <c r="K32" s="10" t="str">
        <f>IF(ISERROR('4.エネルギー使用量(適合例)'!$O$58/1000*$C$20*$E$20*$E$7),"",ROUND('4.エネルギー使用量(適合例)'!$O$58/1000*$C$20*$E$20*$E$7,2))</f>
        <v/>
      </c>
      <c r="N32" s="80" t="s">
        <v>120</v>
      </c>
      <c r="O32" s="34" t="str">
        <f>IF(AND('2-3.設備仕様入力(適合例)'!E$122="電気",'2-3.設備仕様入力(適合例)'!E$128="kW"),1,IF(AND('2-3.設備仕様入力(適合例)'!E$122="都市ガス",'2-3.設備仕様入力(適合例)'!E$128="kW"),2,IF(AND('2-3.設備仕様入力(適合例)'!E$122="都市ガス",'2-3.設備仕様入力(適合例)'!E$128="ｍ3N/h"),3,IF(AND('2-3.設備仕様入力(適合例)'!E$122="LPG",'2-3.設備仕様入力(適合例)'!E$128="kW"),4,IF(AND('2-3.設備仕様入力(適合例)'!E$122="LPG",'2-3.設備仕様入力(適合例)'!E$128="kg/h"),5,"")))))</f>
        <v/>
      </c>
      <c r="P32" s="41" t="str">
        <f>IF(OR('2-3.設備仕様入力(適合例)'!$E$120="電気式パッケージ形空調機",'2-3.設備仕様入力(適合例)'!$E$120="ルームエアコン"),ROUND('2-3.設備仕様入力(適合例)'!$E$126*'2-3.設備仕様入力(適合例)'!$E$121*計算!$C$3*VLOOKUP('2-3.設備仕様入力(適合例)'!$E$123,計算!$N$16:$P$26,2,FALSE)/1000,1),"")</f>
        <v/>
      </c>
      <c r="Q32" s="41" t="str">
        <f>IF(OR('2-3.設備仕様入力(適合例)'!$E$120="電気式パッケージ形空調機",'2-3.設備仕様入力(適合例)'!$E$120="ルームエアコン"),ROUND('2-3.設備仕様入力(適合例)'!$E$127*'2-3.設備仕様入力(適合例)'!$E$121*計算!$C$3*VLOOKUP('2-3.設備仕様入力(適合例)'!$E$123,計算!$N$16:$P$26,3,FALSE)/1000,1),"")</f>
        <v/>
      </c>
      <c r="R32" s="41" t="str">
        <f t="shared" si="0"/>
        <v/>
      </c>
      <c r="S32" s="41" t="str">
        <f>IF('2-3.設備仕様入力(適合例)'!$E$120="ガスヒートポンプ式空調機",IF('2-3.設備仕様入力(適合例)'!$E$122="都市ガス",IF('2-3.設備仕様入力(適合例)'!$E$128="kW",ROUND('2-3.設備仕様入力(適合例)'!$E$121*'2-3.設備仕様入力(適合例)'!$E$126*3.6/1000*VLOOKUP('2-3.設備仕様入力(適合例)'!$E$123,計算!$N$16:$P$26,2,FALSE),1),""),""),"")</f>
        <v/>
      </c>
      <c r="T32" s="41" t="str">
        <f>IF('2-3.設備仕様入力(適合例)'!$E$120="ガスヒートポンプ式空調機",IF('2-3.設備仕様入力(適合例)'!$E$122="都市ガス",IF('2-3.設備仕様入力(適合例)'!$E$128="kW",ROUND('2-3.設備仕様入力(適合例)'!$E$121*'2-3.設備仕様入力(適合例)'!$E$127*3.6/1000*VLOOKUP('2-3.設備仕様入力(適合例)'!$E$123,計算!$N$16:$P$26,3,FALSE),1),""),""),"")</f>
        <v/>
      </c>
      <c r="U32" s="41" t="str">
        <f t="shared" si="1"/>
        <v/>
      </c>
      <c r="V32" s="41" t="str">
        <f>IF('2-3.設備仕様入力(適合例)'!$E$120="ガスヒートポンプ式空調機",IF('2-3.設備仕様入力(適合例)'!$E$128="ｍ3N/h",ROUND('2-3.設備仕様入力(適合例)'!$E$121*'2-3.設備仕様入力(適合例)'!$E$126*計算!$C$10/1000*VLOOKUP('2-3.設備仕様入力(適合例)'!$E$123,計算!$N$16:$P$26,2,FALSE),1),""),"")</f>
        <v/>
      </c>
      <c r="W32" s="41" t="str">
        <f>IF('2-3.設備仕様入力(適合例)'!$E$120="ガスヒートポンプ式空調機",IF('2-3.設備仕様入力(適合例)'!$E$128="ｍ3N/h",ROUND('2-3.設備仕様入力(適合例)'!$E$121*'2-3.設備仕様入力(適合例)'!$E$127*計算!$C$10/1000*VLOOKUP('2-3.設備仕様入力(適合例)'!$E$123,計算!$N$16:$P$26,3,FALSE),1),""),"")</f>
        <v/>
      </c>
      <c r="X32" s="41" t="str">
        <f t="shared" si="2"/>
        <v/>
      </c>
      <c r="Y32" s="41" t="str">
        <f>IF('2-3.設備仕様入力(適合例)'!$E$120="ガスヒートポンプ式空調機",IF('2-3.設備仕様入力(適合例)'!$E$122="LPG",IF('2-3.設備仕様入力(適合例)'!$E$128="kW",ROUND('2-3.設備仕様入力(適合例)'!$E$121*'2-3.設備仕様入力(適合例)'!$E$126*3.6/1000*VLOOKUP('2-3.設備仕様入力(適合例)'!$E$123,計算!$N$16:$P$26,2,FALSE),1),""),""),"")</f>
        <v/>
      </c>
      <c r="Z32" s="41" t="str">
        <f>IF('2-3.設備仕様入力(適合例)'!$E$120="ガスヒートポンプ式空調機",IF('2-3.設備仕様入力(適合例)'!$E$122="LPG",IF('2-3.設備仕様入力(適合例)'!$E$128="kW",ROUND('2-3.設備仕様入力(適合例)'!$E$121*'2-3.設備仕様入力(適合例)'!$E$127*3.6/1000*VLOOKUP('2-3.設備仕様入力(適合例)'!$E$123,計算!$N$16:$P$26,3,FALSE),1),""),""),"")</f>
        <v/>
      </c>
      <c r="AA32" s="41" t="str">
        <f t="shared" si="3"/>
        <v/>
      </c>
      <c r="AB32" s="41" t="str">
        <f>IF('2-3.設備仕様入力(適合例)'!$E$120="ガスヒートポンプ式空調機",IF('2-3.設備仕様入力(適合例)'!$E$122="LPG",IF('2-3.設備仕様入力(適合例)'!$E$128="kg/h",ROUND('2-3.設備仕様入力(適合例)'!$E$121*'2-3.設備仕様入力(適合例)'!$E$126*計算!$C$11/1000*VLOOKUP('2-3.設備仕様入力(適合例)'!$E$123,計算!$N$16:$P$26,2,FALSE),1),""),""),"")</f>
        <v/>
      </c>
      <c r="AC32" s="41" t="str">
        <f>IF('2-3.設備仕様入力(適合例)'!$E$120="ガスヒートポンプ式空調機",IF('2-3.設備仕様入力(適合例)'!$E$122="LPG",IF('2-3.設備仕様入力(適合例)'!$E$128="kg/h",ROUND('2-3.設備仕様入力(適合例)'!$E$121*'2-3.設備仕様入力(適合例)'!$E$127*計算!$C$11/1000*VLOOKUP('2-3.設備仕様入力(適合例)'!$E$123,計算!$N$16:$P$26,3,FALSE),1),""),""),"")</f>
        <v/>
      </c>
      <c r="AD32" s="41" t="str">
        <f t="shared" si="4"/>
        <v/>
      </c>
    </row>
    <row r="33" spans="3:30" ht="19.8" thickBot="1" x14ac:dyDescent="0.6">
      <c r="C33" s="4">
        <f>81000000</f>
        <v>81000000</v>
      </c>
      <c r="D33" s="2" t="s">
        <v>40</v>
      </c>
      <c r="E33" s="3">
        <f>C33/C31</f>
        <v>551.0204081632653</v>
      </c>
      <c r="F33" s="2" t="s">
        <v>39</v>
      </c>
      <c r="I33" s="82" t="s">
        <v>196</v>
      </c>
      <c r="J33" s="8" t="str">
        <f>IF(ISERROR('4.エネルギー使用量(適合例)'!$O$58/1000*$C$21*$C$7),"",ROUND('4.エネルギー使用量(適合例)'!$O$58/1000*$C$21*$C$7,2))</f>
        <v/>
      </c>
      <c r="K33" s="7" t="str">
        <f>IF(ISERROR('4.エネルギー使用量(適合例)'!$O$58/1000*$C$21*$E$21*$E$7),"",ROUND('4.エネルギー使用量(適合例)'!$O$58/1000*$C$21*$E$21*$E$7,2))</f>
        <v/>
      </c>
      <c r="N33" s="80" t="s">
        <v>121</v>
      </c>
      <c r="O33" s="34" t="str">
        <f>IF(AND('2-3.設備仕様入力(適合例)'!F$122="電気",'2-3.設備仕様入力(適合例)'!F$128="kW"),1,IF(AND('2-3.設備仕様入力(適合例)'!F$122="都市ガス",'2-3.設備仕様入力(適合例)'!F$128="kW"),2,IF(AND('2-3.設備仕様入力(適合例)'!F$122="都市ガス",'2-3.設備仕様入力(適合例)'!F$128="ｍ3N/h"),3,IF(AND('2-3.設備仕様入力(適合例)'!F$122="LPG",'2-3.設備仕様入力(適合例)'!F$128="kW"),4,IF(AND('2-3.設備仕様入力(適合例)'!F$122="LPG",'2-3.設備仕様入力(適合例)'!F$128="kg/h"),5,"")))))</f>
        <v/>
      </c>
      <c r="P33" s="41" t="str">
        <f>IF(OR('2-3.設備仕様入力(適合例)'!$F$120="電気式パッケージ形空調機",'2-3.設備仕様入力(適合例)'!$F$120="ルームエアコン"),ROUND('2-3.設備仕様入力(適合例)'!$F$126*'2-3.設備仕様入力(適合例)'!$F$121*計算!$C$3*VLOOKUP('2-3.設備仕様入力(適合例)'!$F$123,計算!$N$16:$P$26,2,FALSE)/1000,1),"")</f>
        <v/>
      </c>
      <c r="Q33" s="41" t="str">
        <f>IF(OR('2-3.設備仕様入力(適合例)'!$F$120="電気式パッケージ形空調機",'2-3.設備仕様入力(適合例)'!$F$120="ルームエアコン"),ROUND('2-3.設備仕様入力(適合例)'!$F$127*'2-3.設備仕様入力(適合例)'!$F$121*計算!$C$3*VLOOKUP('2-3.設備仕様入力(適合例)'!$F$123,計算!$N$16:$P$26,3,FALSE)/1000,1),"")</f>
        <v/>
      </c>
      <c r="R33" s="41" t="str">
        <f t="shared" si="0"/>
        <v/>
      </c>
      <c r="S33" s="41" t="str">
        <f>IF('2-3.設備仕様入力(適合例)'!$F$120="ガスヒートポンプ式空調機",IF('2-3.設備仕様入力(適合例)'!$F$122="都市ガス",IF('2-3.設備仕様入力(適合例)'!$F$128="kW",ROUND('2-3.設備仕様入力(適合例)'!$F$121*'2-3.設備仕様入力(適合例)'!$F$126*3.6/1000*VLOOKUP('2-3.設備仕様入力(適合例)'!$F$123,計算!$N$16:$P$26,2,FALSE),1),""),""),"")</f>
        <v/>
      </c>
      <c r="T33" s="41" t="str">
        <f>IF('2-3.設備仕様入力(適合例)'!$F$120="ガスヒートポンプ式空調機",IF('2-3.設備仕様入力(適合例)'!$F$122="都市ガス",IF('2-3.設備仕様入力(適合例)'!$F$128="kW",ROUND('2-3.設備仕様入力(適合例)'!$F$121*'2-3.設備仕様入力(適合例)'!$F$127*3.6/1000*VLOOKUP('2-3.設備仕様入力(適合例)'!$F$123,計算!$N$16:$P$26,3,FALSE),1),""),""),"")</f>
        <v/>
      </c>
      <c r="U33" s="41" t="str">
        <f t="shared" si="1"/>
        <v/>
      </c>
      <c r="V33" s="41" t="str">
        <f>IF('2-3.設備仕様入力(適合例)'!$F$120="ガスヒートポンプ式空調機",IF('2-3.設備仕様入力(適合例)'!$F$128="ｍ3N/h",ROUND('2-3.設備仕様入力(適合例)'!$F$121*'2-3.設備仕様入力(適合例)'!$F$126*計算!$C$10/1000*VLOOKUP('2-3.設備仕様入力(適合例)'!$F$123,計算!$N$16:$P$26,2,FALSE),1),""),"")</f>
        <v/>
      </c>
      <c r="W33" s="41" t="str">
        <f>IF('2-3.設備仕様入力(適合例)'!$F$120="ガスヒートポンプ式空調機",IF('2-3.設備仕様入力(適合例)'!$F$128="ｍ3N/h",ROUND('2-3.設備仕様入力(適合例)'!$F$121*'2-3.設備仕様入力(適合例)'!$F$127*計算!$C$10/1000*VLOOKUP('2-3.設備仕様入力(適合例)'!$F$123,計算!$N$16:$P$26,3,FALSE),1),""),"")</f>
        <v/>
      </c>
      <c r="X33" s="41" t="str">
        <f t="shared" si="2"/>
        <v/>
      </c>
      <c r="Y33" s="41" t="str">
        <f>IF('2-3.設備仕様入力(適合例)'!$F$120="ガスヒートポンプ式空調機",IF('2-3.設備仕様入力(適合例)'!$F$122="LPG",IF('2-3.設備仕様入力(適合例)'!$F$128="kW",ROUND('2-3.設備仕様入力(適合例)'!$F$121*'2-3.設備仕様入力(適合例)'!$F$126*3.6/1000*VLOOKUP('2-3.設備仕様入力(適合例)'!$F$123,計算!$N$16:$P$26,2,FALSE),1),""),""),"")</f>
        <v/>
      </c>
      <c r="Z33" s="41" t="str">
        <f>IF('2-3.設備仕様入力(適合例)'!$F$120="ガスヒートポンプ式空調機",IF('2-3.設備仕様入力(適合例)'!$F$122="LPG",IF('2-3.設備仕様入力(適合例)'!$F$128="kW",ROUND('2-3.設備仕様入力(適合例)'!$F$121*'2-3.設備仕様入力(適合例)'!$F$127*3.6/1000*VLOOKUP('2-3.設備仕様入力(適合例)'!$F$123,計算!$N$16:$P$26,3,FALSE),1),""),""),"")</f>
        <v/>
      </c>
      <c r="AA33" s="41" t="str">
        <f t="shared" si="3"/>
        <v/>
      </c>
      <c r="AB33" s="41" t="str">
        <f>IF('2-3.設備仕様入力(適合例)'!$F$120="ガスヒートポンプ式空調機",IF('2-3.設備仕様入力(適合例)'!$F$122="LPG",IF('2-3.設備仕様入力(適合例)'!$F$128="kg/h",ROUND('2-3.設備仕様入力(適合例)'!$F$121*'2-3.設備仕様入力(適合例)'!$F$126*計算!$C$11/1000*VLOOKUP('2-3.設備仕様入力(適合例)'!$F$123,計算!$N$16:$P$26,2,FALSE),1),""),""),"")</f>
        <v/>
      </c>
      <c r="AC33" s="41" t="str">
        <f>IF('2-3.設備仕様入力(適合例)'!$F$120="ガスヒートポンプ式空調機",IF('2-3.設備仕様入力(適合例)'!$F$122="LPG",IF('2-3.設備仕様入力(適合例)'!$F$128="kg/h",ROUND('2-3.設備仕様入力(適合例)'!$F$121*'2-3.設備仕様入力(適合例)'!$F$127*計算!$C$11/1000*VLOOKUP('2-3.設備仕様入力(適合例)'!$F$123,計算!$N$16:$P$26,3,FALSE),1),""),""),"")</f>
        <v/>
      </c>
      <c r="AD33" s="41" t="str">
        <f t="shared" si="4"/>
        <v/>
      </c>
    </row>
    <row r="34" spans="3:30" ht="19.8" thickBot="1" x14ac:dyDescent="0.6">
      <c r="N34" s="80" t="s">
        <v>122</v>
      </c>
      <c r="O34" s="34" t="str">
        <f>IF(AND('2-3.設備仕様入力(適合例)'!G$122="電気",'2-3.設備仕様入力(適合例)'!G$128="kW"),1,IF(AND('2-3.設備仕様入力(適合例)'!G$122="都市ガス",'2-3.設備仕様入力(適合例)'!G$128="kW"),2,IF(AND('2-3.設備仕様入力(適合例)'!G$122="都市ガス",'2-3.設備仕様入力(適合例)'!G$128="ｍ3N/h"),3,IF(AND('2-3.設備仕様入力(適合例)'!G$122="LPG",'2-3.設備仕様入力(適合例)'!G$128="kW"),4,IF(AND('2-3.設備仕様入力(適合例)'!G$122="LPG",'2-3.設備仕様入力(適合例)'!G$128="kg/h"),5,"")))))</f>
        <v/>
      </c>
      <c r="P34" s="41" t="str">
        <f>IF(OR('2-3.設備仕様入力(適合例)'!$G$120="電気式パッケージ形空調機",'2-3.設備仕様入力(適合例)'!$G$120="ルームエアコン"),ROUND('2-3.設備仕様入力(適合例)'!$G$126*'2-3.設備仕様入力(適合例)'!$G$121*計算!$C$3*VLOOKUP('2-3.設備仕様入力(適合例)'!$G$123,計算!$N$16:$P$26,2,FALSE)/1000,1),"")</f>
        <v/>
      </c>
      <c r="Q34" s="41" t="str">
        <f>IF(OR('2-3.設備仕様入力(適合例)'!$G$120="電気式パッケージ形空調機",'2-3.設備仕様入力(適合例)'!$G$120="ルームエアコン"),ROUND('2-3.設備仕様入力(適合例)'!$G$127*'2-3.設備仕様入力(適合例)'!$G$121*計算!$C$3*VLOOKUP('2-3.設備仕様入力(適合例)'!$G$123,計算!$N$16:$P$26,3,FALSE)/1000,1),"")</f>
        <v/>
      </c>
      <c r="R34" s="41" t="str">
        <f t="shared" si="0"/>
        <v/>
      </c>
      <c r="S34" s="41" t="str">
        <f>IF('2-3.設備仕様入力(適合例)'!$G$120="ガスヒートポンプ式空調機",IF('2-3.設備仕様入力(適合例)'!$G$122="都市ガス",IF('2-3.設備仕様入力(適合例)'!$G$128="kW",ROUND('2-3.設備仕様入力(適合例)'!$G$121*'2-3.設備仕様入力(適合例)'!$G$126*3.6/1000*VLOOKUP('2-3.設備仕様入力(適合例)'!$G$123,計算!$N$16:$P$26,2,FALSE),1),""),""),"")</f>
        <v/>
      </c>
      <c r="T34" s="41" t="str">
        <f>IF('2-3.設備仕様入力(適合例)'!$G$120="ガスヒートポンプ式空調機",IF('2-3.設備仕様入力(適合例)'!$G$122="都市ガス",IF('2-3.設備仕様入力(適合例)'!$G$128="kW",ROUND('2-3.設備仕様入力(適合例)'!$G$121*'2-3.設備仕様入力(適合例)'!$G$127*3.6/1000*VLOOKUP('2-3.設備仕様入力(適合例)'!$G$123,計算!$N$16:$P$26,3,FALSE),1),""),""),"")</f>
        <v/>
      </c>
      <c r="U34" s="41" t="str">
        <f t="shared" si="1"/>
        <v/>
      </c>
      <c r="V34" s="41" t="str">
        <f>IF('2-3.設備仕様入力(適合例)'!$G$120="ガスヒートポンプ式空調機",IF('2-3.設備仕様入力(適合例)'!$G$128="ｍ3N/h",ROUND('2-3.設備仕様入力(適合例)'!$G$121*'2-3.設備仕様入力(適合例)'!$G$126*計算!$C$10/1000*VLOOKUP('2-3.設備仕様入力(適合例)'!$G$123,計算!$N$16:$P$26,2,FALSE),1),""),"")</f>
        <v/>
      </c>
      <c r="W34" s="41" t="str">
        <f>IF('2-3.設備仕様入力(適合例)'!$G$120="ガスヒートポンプ式空調機",IF('2-3.設備仕様入力(適合例)'!$G$128="ｍ3N/h",ROUND('2-3.設備仕様入力(適合例)'!$G$121*'2-3.設備仕様入力(適合例)'!$G$127*計算!$C$10/1000*VLOOKUP('2-3.設備仕様入力(適合例)'!$G$123,計算!$N$16:$P$26,3,FALSE),1),""),"")</f>
        <v/>
      </c>
      <c r="X34" s="41" t="str">
        <f t="shared" si="2"/>
        <v/>
      </c>
      <c r="Y34" s="41" t="str">
        <f>IF('2-3.設備仕様入力(適合例)'!$G$120="ガスヒートポンプ式空調機",IF('2-3.設備仕様入力(適合例)'!$G$122="LPG",IF('2-3.設備仕様入力(適合例)'!$G$128="kW",ROUND('2-3.設備仕様入力(適合例)'!$G$121*'2-3.設備仕様入力(適合例)'!$G$126*3.6/1000*VLOOKUP('2-3.設備仕様入力(適合例)'!$G$123,計算!$N$16:$P$26,2,FALSE),1),""),""),"")</f>
        <v/>
      </c>
      <c r="Z34" s="41" t="str">
        <f>IF('2-3.設備仕様入力(適合例)'!$G$120="ガスヒートポンプ式空調機",IF('2-3.設備仕様入力(適合例)'!$G$122="LPG",IF('2-3.設備仕様入力(適合例)'!$G$128="kW",ROUND('2-3.設備仕様入力(適合例)'!$G$121*'2-3.設備仕様入力(適合例)'!$G$127*3.6/1000*VLOOKUP('2-3.設備仕様入力(適合例)'!$G$123,計算!$N$16:$P$26,3,FALSE),1),""),""),"")</f>
        <v/>
      </c>
      <c r="AA34" s="41" t="str">
        <f t="shared" si="3"/>
        <v/>
      </c>
      <c r="AB34" s="41" t="str">
        <f>IF('2-3.設備仕様入力(適合例)'!$G$120="ガスヒートポンプ式空調機",IF('2-3.設備仕様入力(適合例)'!$G$122="LPG",IF('2-3.設備仕様入力(適合例)'!$G$128="kg/h",ROUND('2-3.設備仕様入力(適合例)'!$G$121*'2-3.設備仕様入力(適合例)'!$G$126*計算!$C$11/1000*VLOOKUP('2-3.設備仕様入力(適合例)'!$G$123,計算!$N$16:$P$26,2,FALSE),1),""),""),"")</f>
        <v/>
      </c>
      <c r="AC34" s="41" t="str">
        <f>IF('2-3.設備仕様入力(適合例)'!$G$120="ガスヒートポンプ式空調機",IF('2-3.設備仕様入力(適合例)'!$G$122="LPG",IF('2-3.設備仕様入力(適合例)'!$G$128="kg/h",ROUND('2-3.設備仕様入力(適合例)'!$G$121*'2-3.設備仕様入力(適合例)'!$G$127*計算!$C$11/1000*VLOOKUP('2-3.設備仕様入力(適合例)'!$G$123,計算!$N$16:$P$26,3,FALSE),1),""),""),"")</f>
        <v/>
      </c>
      <c r="AD34" s="41" t="str">
        <f t="shared" si="4"/>
        <v/>
      </c>
    </row>
    <row r="35" spans="3:30" ht="19.2" x14ac:dyDescent="0.55000000000000004">
      <c r="I35" s="82" t="s">
        <v>459</v>
      </c>
      <c r="J35" s="13" t="s">
        <v>20</v>
      </c>
      <c r="K35" s="12" t="s">
        <v>19</v>
      </c>
      <c r="N35" s="80" t="s">
        <v>123</v>
      </c>
      <c r="O35" s="34" t="str">
        <f>IF(AND('2-3.設備仕様入力(適合例)'!H$122="電気",'2-3.設備仕様入力(適合例)'!H$128="kW"),1,IF(AND('2-3.設備仕様入力(適合例)'!H$122="都市ガス",'2-3.設備仕様入力(適合例)'!H$128="kW"),2,IF(AND('2-3.設備仕様入力(適合例)'!H$122="都市ガス",'2-3.設備仕様入力(適合例)'!H$128="ｍ3N/h"),3,IF(AND('2-3.設備仕様入力(適合例)'!H$122="LPG",'2-3.設備仕様入力(適合例)'!H$128="kW"),4,IF(AND('2-3.設備仕様入力(適合例)'!H$122="LPG",'2-3.設備仕様入力(適合例)'!H$128="kg/h"),5,"")))))</f>
        <v/>
      </c>
      <c r="P35" s="41" t="str">
        <f>IF(OR('2-3.設備仕様入力(適合例)'!$H$120="電気式パッケージ形空調機",'2-3.設備仕様入力(適合例)'!$H$120="ルームエアコン"),ROUND('2-3.設備仕様入力(適合例)'!$H$126*'2-3.設備仕様入力(適合例)'!$H$121*計算!$C$3*VLOOKUP('2-3.設備仕様入力(適合例)'!$H$123,計算!$N$16:$P$26,2,FALSE)/1000,1),"")</f>
        <v/>
      </c>
      <c r="Q35" s="41" t="str">
        <f>IF(OR('2-3.設備仕様入力(適合例)'!$H$120="電気式パッケージ形空調機",'2-3.設備仕様入力(適合例)'!$H$120="ルームエアコン"),ROUND('2-3.設備仕様入力(適合例)'!$H$127*'2-3.設備仕様入力(適合例)'!$H$121*計算!$C$3*VLOOKUP('2-3.設備仕様入力(適合例)'!$H$123,計算!$N$16:$P$26,3,FALSE)/1000,1),"")</f>
        <v/>
      </c>
      <c r="R35" s="41" t="str">
        <f t="shared" si="0"/>
        <v/>
      </c>
      <c r="S35" s="41" t="str">
        <f>IF('2-3.設備仕様入力(適合例)'!$H$120="ガスヒートポンプ式空調機",IF('2-3.設備仕様入力(適合例)'!$H$122="都市ガス",IF('2-3.設備仕様入力(適合例)'!$H$128="kW",ROUND('2-3.設備仕様入力(適合例)'!$H$121*'2-3.設備仕様入力(適合例)'!$H$126*3.6/1000*VLOOKUP('2-3.設備仕様入力(適合例)'!$H$123,計算!$N$16:$P$26,2,FALSE),1),""),""),"")</f>
        <v/>
      </c>
      <c r="T35" s="41" t="str">
        <f>IF('2-3.設備仕様入力(適合例)'!$H$120="ガスヒートポンプ式空調機",IF('2-3.設備仕様入力(適合例)'!$H$122="都市ガス",IF('2-3.設備仕様入力(適合例)'!$H$128="kW",ROUND('2-3.設備仕様入力(適合例)'!$H$121*'2-3.設備仕様入力(適合例)'!$H$127*3.6/1000*VLOOKUP('2-3.設備仕様入力(適合例)'!$H$123,計算!$N$16:$P$26,3,FALSE),1),""),""),"")</f>
        <v/>
      </c>
      <c r="U35" s="41" t="str">
        <f t="shared" si="1"/>
        <v/>
      </c>
      <c r="V35" s="41" t="str">
        <f>IF('2-3.設備仕様入力(適合例)'!$H$120="ガスヒートポンプ式空調機",IF('2-3.設備仕様入力(適合例)'!$H$128="ｍ3N/h",ROUND('2-3.設備仕様入力(適合例)'!$H$121*'2-3.設備仕様入力(適合例)'!$H$126*計算!$C$10/1000*VLOOKUP('2-3.設備仕様入力(適合例)'!$H$123,計算!$N$16:$P$26,2,FALSE),1),""),"")</f>
        <v/>
      </c>
      <c r="W35" s="41" t="str">
        <f>IF('2-3.設備仕様入力(適合例)'!$H$120="ガスヒートポンプ式空調機",IF('2-3.設備仕様入力(適合例)'!$H$128="ｍ3N/h",ROUND('2-3.設備仕様入力(適合例)'!$H$121*'2-3.設備仕様入力(適合例)'!$H$127*計算!$C$10/1000*VLOOKUP('2-3.設備仕様入力(適合例)'!$H$123,計算!$N$16:$P$26,3,FALSE),1),""),"")</f>
        <v/>
      </c>
      <c r="X35" s="41" t="str">
        <f t="shared" si="2"/>
        <v/>
      </c>
      <c r="Y35" s="41" t="str">
        <f>IF('2-3.設備仕様入力(適合例)'!$H$120="ガスヒートポンプ式空調機",IF('2-3.設備仕様入力(適合例)'!$H$122="LPG",IF('2-3.設備仕様入力(適合例)'!$H$128="kW",ROUND('2-3.設備仕様入力(適合例)'!$H$121*'2-3.設備仕様入力(適合例)'!$H$126*3.6/1000*VLOOKUP('2-3.設備仕様入力(適合例)'!$H$123,計算!$N$16:$P$26,2,FALSE),1),""),""),"")</f>
        <v/>
      </c>
      <c r="Z35" s="41" t="str">
        <f>IF('2-3.設備仕様入力(適合例)'!$H$120="ガスヒートポンプ式空調機",IF('2-3.設備仕様入力(適合例)'!$H$122="LPG",IF('2-3.設備仕様入力(適合例)'!$H$128="kW",ROUND('2-3.設備仕様入力(適合例)'!$H$121*'2-3.設備仕様入力(適合例)'!$H$127*3.6/1000*VLOOKUP('2-3.設備仕様入力(適合例)'!$H$123,計算!$N$16:$P$26,3,FALSE),1),""),""),"")</f>
        <v/>
      </c>
      <c r="AA35" s="41" t="str">
        <f t="shared" si="3"/>
        <v/>
      </c>
      <c r="AB35" s="41" t="str">
        <f>IF('2-3.設備仕様入力(適合例)'!$H$120="ガスヒートポンプ式空調機",IF('2-3.設備仕様入力(適合例)'!$H$122="LPG",IF('2-3.設備仕様入力(適合例)'!$H$128="kg/h",ROUND('2-3.設備仕様入力(適合例)'!$H$121*'2-3.設備仕様入力(適合例)'!$H$126*計算!$C$11/1000*VLOOKUP('2-3.設備仕様入力(適合例)'!$H$123,計算!$N$16:$P$26,2,FALSE),1),""),""),"")</f>
        <v/>
      </c>
      <c r="AC35" s="41" t="str">
        <f>IF('2-3.設備仕様入力(適合例)'!$H$120="ガスヒートポンプ式空調機",IF('2-3.設備仕様入力(適合例)'!$H$122="LPG",IF('2-3.設備仕様入力(適合例)'!$H$128="kg/h",ROUND('2-3.設備仕様入力(適合例)'!$H$121*'2-3.設備仕様入力(適合例)'!$H$127*計算!$C$11/1000*VLOOKUP('2-3.設備仕様入力(適合例)'!$H$123,計算!$N$16:$P$26,3,FALSE),1),""),""),"")</f>
        <v/>
      </c>
      <c r="AD35" s="41" t="str">
        <f t="shared" si="4"/>
        <v/>
      </c>
    </row>
    <row r="36" spans="3:30" ht="19.2" x14ac:dyDescent="0.55000000000000004">
      <c r="I36" s="82" t="s">
        <v>197</v>
      </c>
      <c r="J36" s="16" t="str">
        <f>IF(ISERROR('4.エネルギー使用量(適合例)'!$O$69/1000*$C$4*$C$7),"",ROUND('4.エネルギー使用量(適合例)'!$O$69/1000*$C$4*$C$7,2))</f>
        <v/>
      </c>
      <c r="K36" s="10" t="str">
        <f>IF(ISERROR('4.エネルギー使用量(適合例)'!$O$69/1000*$C$4*$E$4),"",ROUND('4.エネルギー使用量(適合例)'!$O$69/1000*$C$4*$E$4,2))</f>
        <v/>
      </c>
      <c r="N36" s="80" t="s">
        <v>124</v>
      </c>
      <c r="O36" s="34" t="str">
        <f>IF(AND('2-3.設備仕様入力(適合例)'!I$122="電気",'2-3.設備仕様入力(適合例)'!I$128="kW"),1,IF(AND('2-3.設備仕様入力(適合例)'!I$122="都市ガス",'2-3.設備仕様入力(適合例)'!I$128="kW"),2,IF(AND('2-3.設備仕様入力(適合例)'!I$122="都市ガス",'2-3.設備仕様入力(適合例)'!I$128="ｍ3N/h"),3,IF(AND('2-3.設備仕様入力(適合例)'!I$122="LPG",'2-3.設備仕様入力(適合例)'!I$128="kW"),4,IF(AND('2-3.設備仕様入力(適合例)'!I$122="LPG",'2-3.設備仕様入力(適合例)'!I$128="kg/h"),5,"")))))</f>
        <v/>
      </c>
      <c r="P36" s="41" t="str">
        <f>IF(OR('2-3.設備仕様入力(適合例)'!$I$120="電気式パッケージ形空調機",'2-3.設備仕様入力(適合例)'!$I$120="ルームエアコン"),ROUND('2-3.設備仕様入力(適合例)'!$I$126*'2-3.設備仕様入力(適合例)'!$I$121*計算!$C$3*VLOOKUP('2-3.設備仕様入力(適合例)'!$I$123,計算!$N$16:$P$26,2,FALSE)/1000,1),"")</f>
        <v/>
      </c>
      <c r="Q36" s="41" t="str">
        <f>IF(OR('2-3.設備仕様入力(適合例)'!$I$120="電気式パッケージ形空調機",'2-3.設備仕様入力(適合例)'!$I$120="ルームエアコン"),ROUND('2-3.設備仕様入力(適合例)'!$I$127*'2-3.設備仕様入力(適合例)'!$I$121*計算!$C$3*VLOOKUP('2-3.設備仕様入力(適合例)'!$I$123,計算!$N$16:$P$26,3,FALSE)/1000,1),"")</f>
        <v/>
      </c>
      <c r="R36" s="41" t="str">
        <f t="shared" si="0"/>
        <v/>
      </c>
      <c r="S36" s="41" t="str">
        <f>IF('2-3.設備仕様入力(適合例)'!$I$120="ガスヒートポンプ式空調機",IF('2-3.設備仕様入力(適合例)'!$I$122="都市ガス",IF('2-3.設備仕様入力(適合例)'!$I$128="kW",ROUND('2-3.設備仕様入力(適合例)'!$I$121*'2-3.設備仕様入力(適合例)'!$I$126*3.6/1000*VLOOKUP('2-3.設備仕様入力(適合例)'!$I$123,計算!$N$16:$P$26,2,FALSE),1),""),""),"")</f>
        <v/>
      </c>
      <c r="T36" s="41" t="str">
        <f>IF('2-3.設備仕様入力(適合例)'!$I$120="ガスヒートポンプ式空調機",IF('2-3.設備仕様入力(適合例)'!$I$122="都市ガス",IF('2-3.設備仕様入力(適合例)'!$I$128="kW",ROUND('2-3.設備仕様入力(適合例)'!$I$121*'2-3.設備仕様入力(適合例)'!$I$127*3.6/1000*VLOOKUP('2-3.設備仕様入力(適合例)'!$I$123,計算!$N$16:$P$26,3,FALSE),1),""),""),"")</f>
        <v/>
      </c>
      <c r="U36" s="41" t="str">
        <f t="shared" si="1"/>
        <v/>
      </c>
      <c r="V36" s="41" t="str">
        <f>IF('2-3.設備仕様入力(適合例)'!$I$120="ガスヒートポンプ式空調機",IF('2-3.設備仕様入力(適合例)'!$I$128="ｍ3N/h",ROUND('2-3.設備仕様入力(適合例)'!$I$121*'2-3.設備仕様入力(適合例)'!$I$126*計算!$C$10/1000*VLOOKUP('2-3.設備仕様入力(適合例)'!$I$123,計算!$N$16:$P$26,2,FALSE),1),""),"")</f>
        <v/>
      </c>
      <c r="W36" s="41" t="str">
        <f>IF('2-3.設備仕様入力(適合例)'!$I$120="ガスヒートポンプ式空調機",IF('2-3.設備仕様入力(適合例)'!$I$128="ｍ3N/h",ROUND('2-3.設備仕様入力(適合例)'!$I$121*'2-3.設備仕様入力(適合例)'!$I$127*計算!$C$10/1000*VLOOKUP('2-3.設備仕様入力(適合例)'!$I$123,計算!$N$16:$P$26,3,FALSE),1),""),"")</f>
        <v/>
      </c>
      <c r="X36" s="41" t="str">
        <f t="shared" si="2"/>
        <v/>
      </c>
      <c r="Y36" s="41" t="str">
        <f>IF('2-3.設備仕様入力(適合例)'!$I$120="ガスヒートポンプ式空調機",IF('2-3.設備仕様入力(適合例)'!$I$122="LPG",IF('2-3.設備仕様入力(適合例)'!$I$128="kW",ROUND('2-3.設備仕様入力(適合例)'!$I$121*'2-3.設備仕様入力(適合例)'!$I$126*3.6/1000*VLOOKUP('2-3.設備仕様入力(適合例)'!$I$123,計算!$N$16:$P$26,2,FALSE),1),""),""),"")</f>
        <v/>
      </c>
      <c r="Z36" s="41" t="str">
        <f>IF('2-3.設備仕様入力(適合例)'!$I$120="ガスヒートポンプ式空調機",IF('2-3.設備仕様入力(適合例)'!$I$122="LPG",IF('2-3.設備仕様入力(適合例)'!$I$128="kW",ROUND('2-3.設備仕様入力(適合例)'!$I$121*'2-3.設備仕様入力(適合例)'!$I$127*3.6/1000*VLOOKUP('2-3.設備仕様入力(適合例)'!$I$123,計算!$N$16:$P$26,3,FALSE),1),""),""),"")</f>
        <v/>
      </c>
      <c r="AA36" s="41" t="str">
        <f t="shared" si="3"/>
        <v/>
      </c>
      <c r="AB36" s="41" t="str">
        <f>IF('2-3.設備仕様入力(適合例)'!$I$120="ガスヒートポンプ式空調機",IF('2-3.設備仕様入力(適合例)'!$I$122="LPG",IF('2-3.設備仕様入力(適合例)'!$I$128="kg/h",ROUND('2-3.設備仕様入力(適合例)'!$I$121*'2-3.設備仕様入力(適合例)'!$I$126*計算!$C$11/1000*VLOOKUP('2-3.設備仕様入力(適合例)'!$I$123,計算!$N$16:$P$26,2,FALSE),1),""),""),"")</f>
        <v/>
      </c>
      <c r="AC36" s="41" t="str">
        <f>IF('2-3.設備仕様入力(適合例)'!$I$120="ガスヒートポンプ式空調機",IF('2-3.設備仕様入力(適合例)'!$I$122="LPG",IF('2-3.設備仕様入力(適合例)'!$I$128="kg/h",ROUND('2-3.設備仕様入力(適合例)'!$I$121*'2-3.設備仕様入力(適合例)'!$I$127*計算!$C$11/1000*VLOOKUP('2-3.設備仕様入力(適合例)'!$I$123,計算!$N$16:$P$26,3,FALSE),1),""),""),"")</f>
        <v/>
      </c>
      <c r="AD36" s="41" t="str">
        <f t="shared" si="4"/>
        <v/>
      </c>
    </row>
    <row r="37" spans="3:30" ht="19.2" x14ac:dyDescent="0.55000000000000004">
      <c r="F37" s="4"/>
      <c r="I37" s="82" t="s">
        <v>198</v>
      </c>
      <c r="J37" s="16" t="str">
        <f>IF(ISERROR('4.エネルギー使用量(適合例)'!$O$69/1000*$C$5*$C$7),"",ROUND('4.エネルギー使用量(適合例)'!$O$69/1000*$C$5*$C$7,2))</f>
        <v/>
      </c>
      <c r="K37" s="10" t="str">
        <f>IF(ISERROR('4.エネルギー使用量(適合例)'!$O$69/1000*$C$5*$E$5),"",ROUND('4.エネルギー使用量(適合例)'!$O$69/1000*$C$5*$E$5,2))</f>
        <v/>
      </c>
      <c r="N37" s="80" t="s">
        <v>125</v>
      </c>
      <c r="O37" s="34" t="str">
        <f>IF(AND('2-3.設備仕様入力(適合例)'!J$122="電気",'2-3.設備仕様入力(適合例)'!J$128="kW"),1,IF(AND('2-3.設備仕様入力(適合例)'!J$122="都市ガス",'2-3.設備仕様入力(適合例)'!J$128="kW"),2,IF(AND('2-3.設備仕様入力(適合例)'!J$122="都市ガス",'2-3.設備仕様入力(適合例)'!J$128="ｍ3N/h"),3,IF(AND('2-3.設備仕様入力(適合例)'!J$122="LPG",'2-3.設備仕様入力(適合例)'!J$128="kW"),4,IF(AND('2-3.設備仕様入力(適合例)'!J$122="LPG",'2-3.設備仕様入力(適合例)'!J$128="kg/h"),5,"")))))</f>
        <v/>
      </c>
      <c r="P37" s="41" t="str">
        <f>IF(OR('2-3.設備仕様入力(適合例)'!$J$120="電気式パッケージ形空調機",'2-3.設備仕様入力(適合例)'!$J$120="ルームエアコン"),ROUND('2-3.設備仕様入力(適合例)'!$J$126*'2-3.設備仕様入力(適合例)'!$J$121*計算!$C$3*VLOOKUP('2-3.設備仕様入力(適合例)'!$J$123,計算!$N$16:$P$26,2,FALSE)/1000,1),"")</f>
        <v/>
      </c>
      <c r="Q37" s="41" t="str">
        <f>IF(OR('2-3.設備仕様入力(適合例)'!$J$120="電気式パッケージ形空調機",'2-3.設備仕様入力(適合例)'!$J$120="ルームエアコン"),ROUND('2-3.設備仕様入力(適合例)'!$J$127*'2-3.設備仕様入力(適合例)'!$J$121*計算!$C$3*VLOOKUP('2-3.設備仕様入力(適合例)'!$J$123,計算!$N$16:$P$26,3,FALSE)/1000,1),"")</f>
        <v/>
      </c>
      <c r="R37" s="41" t="str">
        <f t="shared" si="0"/>
        <v/>
      </c>
      <c r="S37" s="41" t="str">
        <f>IF('2-3.設備仕様入力(適合例)'!$J$120="ガスヒートポンプ式空調機",IF('2-3.設備仕様入力(適合例)'!$J$122="都市ガス",IF('2-3.設備仕様入力(適合例)'!$J$128="kW",ROUND('2-3.設備仕様入力(適合例)'!$J$121*'2-3.設備仕様入力(適合例)'!$J$126*3.6/1000*VLOOKUP('2-3.設備仕様入力(適合例)'!$J$123,計算!$N$16:$P$26,2,FALSE),1),""),""),"")</f>
        <v/>
      </c>
      <c r="T37" s="41" t="str">
        <f>IF('2-3.設備仕様入力(適合例)'!$J$120="ガスヒートポンプ式空調機",IF('2-3.設備仕様入力(適合例)'!$J$122="都市ガス",IF('2-3.設備仕様入力(適合例)'!$J$128="kW",ROUND('2-3.設備仕様入力(適合例)'!$J$121*'2-3.設備仕様入力(適合例)'!$J$127*3.6/1000*VLOOKUP('2-3.設備仕様入力(適合例)'!$J$123,計算!$N$16:$P$26,3,FALSE),1),""),""),"")</f>
        <v/>
      </c>
      <c r="U37" s="41" t="str">
        <f t="shared" si="1"/>
        <v/>
      </c>
      <c r="V37" s="41" t="str">
        <f>IF('2-3.設備仕様入力(適合例)'!$J$120="ガスヒートポンプ式空調機",IF('2-3.設備仕様入力(適合例)'!$J$128="ｍ3N/h",ROUND('2-3.設備仕様入力(適合例)'!$J$121*'2-3.設備仕様入力(適合例)'!$J$126*計算!$C$10/1000*VLOOKUP('2-3.設備仕様入力(適合例)'!$J$123,計算!$N$16:$P$26,2,FALSE),1),""),"")</f>
        <v/>
      </c>
      <c r="W37" s="41" t="str">
        <f>IF('2-3.設備仕様入力(適合例)'!$J$120="ガスヒートポンプ式空調機",IF('2-3.設備仕様入力(適合例)'!$J$128="ｍ3N/h",ROUND('2-3.設備仕様入力(適合例)'!$J$121*'2-3.設備仕様入力(適合例)'!$J$127*計算!$C$10/1000*VLOOKUP('2-3.設備仕様入力(適合例)'!$J$123,計算!$N$16:$P$26,3,FALSE),1),""),"")</f>
        <v/>
      </c>
      <c r="X37" s="41" t="str">
        <f t="shared" si="2"/>
        <v/>
      </c>
      <c r="Y37" s="41" t="str">
        <f>IF('2-3.設備仕様入力(適合例)'!$J$120="ガスヒートポンプ式空調機",IF('2-3.設備仕様入力(適合例)'!$J$122="LPG",IF('2-3.設備仕様入力(適合例)'!$J$128="kW",ROUND('2-3.設備仕様入力(適合例)'!$J$121*'2-3.設備仕様入力(適合例)'!$J$126*3.6/1000*VLOOKUP('2-3.設備仕様入力(適合例)'!$J$123,計算!$N$16:$P$26,2,FALSE),1),""),""),"")</f>
        <v/>
      </c>
      <c r="Z37" s="41" t="str">
        <f>IF('2-3.設備仕様入力(適合例)'!$J$120="ガスヒートポンプ式空調機",IF('2-3.設備仕様入力(適合例)'!$J$122="LPG",IF('2-3.設備仕様入力(適合例)'!$J$128="kW",ROUND('2-3.設備仕様入力(適合例)'!$J$121*'2-3.設備仕様入力(適合例)'!$J$127*3.6/1000*VLOOKUP('2-3.設備仕様入力(適合例)'!$J$123,計算!$N$16:$P$26,3,FALSE),1),""),""),"")</f>
        <v/>
      </c>
      <c r="AA37" s="41" t="str">
        <f t="shared" si="3"/>
        <v/>
      </c>
      <c r="AB37" s="41" t="str">
        <f>IF('2-3.設備仕様入力(適合例)'!$J$120="ガスヒートポンプ式空調機",IF('2-3.設備仕様入力(適合例)'!$J$122="LPG",IF('2-3.設備仕様入力(適合例)'!$J$128="kg/h",ROUND('2-3.設備仕様入力(適合例)'!$J$121*'2-3.設備仕様入力(適合例)'!$J$126*計算!$C$11/1000*VLOOKUP('2-3.設備仕様入力(適合例)'!$J$123,計算!$N$16:$P$26,2,FALSE),1),""),""),"")</f>
        <v/>
      </c>
      <c r="AC37" s="41" t="str">
        <f>IF('2-3.設備仕様入力(適合例)'!$J$120="ガスヒートポンプ式空調機",IF('2-3.設備仕様入力(適合例)'!$J$122="LPG",IF('2-3.設備仕様入力(適合例)'!$J$128="kg/h",ROUND('2-3.設備仕様入力(適合例)'!$J$121*'2-3.設備仕様入力(適合例)'!$J$127*計算!$C$11/1000*VLOOKUP('2-3.設備仕様入力(適合例)'!$J$123,計算!$N$16:$P$26,3,FALSE),1),""),""),"")</f>
        <v/>
      </c>
      <c r="AD37" s="41" t="str">
        <f t="shared" si="4"/>
        <v/>
      </c>
    </row>
    <row r="38" spans="3:30" ht="19.2" x14ac:dyDescent="0.55000000000000004">
      <c r="F38" s="4"/>
      <c r="I38" s="82" t="s">
        <v>199</v>
      </c>
      <c r="J38" s="16" t="str">
        <f>IF(ISERROR('4.エネルギー使用量(適合例)'!$O$69/1000*$C$6*$C$7),"",ROUND('4.エネルギー使用量(適合例)'!$O$69/1000*$C$6*$C$7,2))</f>
        <v/>
      </c>
      <c r="K38" s="10" t="str">
        <f>IF(ISERROR('4.エネルギー使用量(適合例)'!$O$69/1000*$C$6*$E$6),"",ROUND('4.エネルギー使用量(適合例)'!$O$69/1000*$C$6*$E$6,2))</f>
        <v/>
      </c>
      <c r="N38" s="80" t="s">
        <v>126</v>
      </c>
      <c r="O38" s="34" t="str">
        <f>IF(AND('2-3.設備仕様入力(適合例)'!K$122="電気",'2-3.設備仕様入力(適合例)'!K$128="kW"),1,IF(AND('2-3.設備仕様入力(適合例)'!K$122="都市ガス",'2-3.設備仕様入力(適合例)'!K$128="kW"),2,IF(AND('2-3.設備仕様入力(適合例)'!K$122="都市ガス",'2-3.設備仕様入力(適合例)'!K$128="ｍ3N/h"),3,IF(AND('2-3.設備仕様入力(適合例)'!K$122="LPG",'2-3.設備仕様入力(適合例)'!K$128="kW"),4,IF(AND('2-3.設備仕様入力(適合例)'!K$122="LPG",'2-3.設備仕様入力(適合例)'!K$128="kg/h"),5,"")))))</f>
        <v/>
      </c>
      <c r="P38" s="41" t="str">
        <f>IF(OR('2-3.設備仕様入力(適合例)'!$K$120="電気式パッケージ形空調機",'2-3.設備仕様入力(適合例)'!$K$120="ルームエアコン"),ROUND('2-3.設備仕様入力(適合例)'!$K$126*'2-3.設備仕様入力(適合例)'!$K$121*計算!$C$3*VLOOKUP('2-3.設備仕様入力(適合例)'!$K$123,計算!$N$16:$P$26,2,FALSE)/1000,1),"")</f>
        <v/>
      </c>
      <c r="Q38" s="41" t="str">
        <f>IF(OR('2-3.設備仕様入力(適合例)'!$K$120="電気式パッケージ形空調機",'2-3.設備仕様入力(適合例)'!$K$120="ルームエアコン"),ROUND('2-3.設備仕様入力(適合例)'!$K$127*'2-3.設備仕様入力(適合例)'!$K$121*計算!$C$3*VLOOKUP('2-3.設備仕様入力(適合例)'!$K$123,計算!$N$16:$P$26,3,FALSE)/1000,1),"")</f>
        <v/>
      </c>
      <c r="R38" s="41" t="str">
        <f t="shared" si="0"/>
        <v/>
      </c>
      <c r="S38" s="41" t="str">
        <f>IF('2-3.設備仕様入力(適合例)'!$K$120="ガスヒートポンプ式空調機",IF('2-3.設備仕様入力(適合例)'!$K$122="都市ガス",IF('2-3.設備仕様入力(適合例)'!$K$128="kW",ROUND('2-3.設備仕様入力(適合例)'!$K$121*'2-3.設備仕様入力(適合例)'!$K$126*3.6/1000*VLOOKUP('2-3.設備仕様入力(適合例)'!$K$123,計算!$N$16:$P$26,2,FALSE),1),""),""),"")</f>
        <v/>
      </c>
      <c r="T38" s="41" t="str">
        <f>IF('2-3.設備仕様入力(適合例)'!$K$120="ガスヒートポンプ式空調機",IF('2-3.設備仕様入力(適合例)'!$K$122="都市ガス",IF('2-3.設備仕様入力(適合例)'!$K$128="kW",ROUND('2-3.設備仕様入力(適合例)'!$K$121*'2-3.設備仕様入力(適合例)'!$K$127*3.6/1000*VLOOKUP('2-3.設備仕様入力(適合例)'!$K$123,計算!$N$16:$P$26,3,FALSE),1),""),""),"")</f>
        <v/>
      </c>
      <c r="U38" s="41" t="str">
        <f t="shared" si="1"/>
        <v/>
      </c>
      <c r="V38" s="41" t="str">
        <f>IF('2-3.設備仕様入力(適合例)'!$K$120="ガスヒートポンプ式空調機",IF('2-3.設備仕様入力(適合例)'!$K$128="ｍ3N/h",ROUND('2-3.設備仕様入力(適合例)'!$K$121*'2-3.設備仕様入力(適合例)'!$K$126*計算!$C$10/1000*VLOOKUP('2-3.設備仕様入力(適合例)'!$K$123,計算!$N$16:$P$26,2,FALSE),1),""),"")</f>
        <v/>
      </c>
      <c r="W38" s="41" t="str">
        <f>IF('2-3.設備仕様入力(適合例)'!$K$120="ガスヒートポンプ式空調機",IF('2-3.設備仕様入力(適合例)'!$K$128="ｍ3N/h",ROUND('2-3.設備仕様入力(適合例)'!$K$121*'2-3.設備仕様入力(適合例)'!$K$127*計算!$C$10/1000*VLOOKUP('2-3.設備仕様入力(適合例)'!$K$123,計算!$N$16:$P$26,3,FALSE),1),""),"")</f>
        <v/>
      </c>
      <c r="X38" s="41" t="str">
        <f t="shared" si="2"/>
        <v/>
      </c>
      <c r="Y38" s="41" t="str">
        <f>IF('2-3.設備仕様入力(適合例)'!$K$120="ガスヒートポンプ式空調機",IF('2-3.設備仕様入力(適合例)'!$K$122="LPG",IF('2-3.設備仕様入力(適合例)'!$K$128="kW",ROUND('2-3.設備仕様入力(適合例)'!$K$121*'2-3.設備仕様入力(適合例)'!$K$126*3.6/1000*VLOOKUP('2-3.設備仕様入力(適合例)'!$K$123,計算!$N$16:$P$26,2,FALSE),1),""),""),"")</f>
        <v/>
      </c>
      <c r="Z38" s="41" t="str">
        <f>IF('2-3.設備仕様入力(適合例)'!$K$120="ガスヒートポンプ式空調機",IF('2-3.設備仕様入力(適合例)'!$K$122="LPG",IF('2-3.設備仕様入力(適合例)'!$K$128="kW",ROUND('2-3.設備仕様入力(適合例)'!$K$121*'2-3.設備仕様入力(適合例)'!$K$127*3.6/1000*VLOOKUP('2-3.設備仕様入力(適合例)'!$K$123,計算!$N$16:$P$26,3,FALSE),1),""),""),"")</f>
        <v/>
      </c>
      <c r="AA38" s="41" t="str">
        <f t="shared" si="3"/>
        <v/>
      </c>
      <c r="AB38" s="41" t="str">
        <f>IF('2-3.設備仕様入力(適合例)'!$K$120="ガスヒートポンプ式空調機",IF('2-3.設備仕様入力(適合例)'!$K$122="LPG",IF('2-3.設備仕様入力(適合例)'!$K$128="kg/h",ROUND('2-3.設備仕様入力(適合例)'!$K$121*'2-3.設備仕様入力(適合例)'!$K$126*計算!$C$11/1000*VLOOKUP('2-3.設備仕様入力(適合例)'!$K$123,計算!$N$16:$P$26,2,FALSE),1),""),""),"")</f>
        <v/>
      </c>
      <c r="AC38" s="41" t="str">
        <f>IF('2-3.設備仕様入力(適合例)'!$K$120="ガスヒートポンプ式空調機",IF('2-3.設備仕様入力(適合例)'!$K$122="LPG",IF('2-3.設備仕様入力(適合例)'!$K$128="kg/h",ROUND('2-3.設備仕様入力(適合例)'!$K$121*'2-3.設備仕様入力(適合例)'!$K$127*計算!$C$11/1000*VLOOKUP('2-3.設備仕様入力(適合例)'!$K$123,計算!$N$16:$P$26,3,FALSE),1),""),""),"")</f>
        <v/>
      </c>
      <c r="AD38" s="41" t="str">
        <f t="shared" si="4"/>
        <v/>
      </c>
    </row>
    <row r="39" spans="3:30" ht="19.2" x14ac:dyDescent="0.55000000000000004">
      <c r="F39" s="4"/>
      <c r="I39" s="82" t="s">
        <v>193</v>
      </c>
      <c r="J39" s="11" t="str">
        <f>IF(ISERROR('4.エネルギー使用量(適合例)'!$O$69/1000*$C$18*$C$7),"",ROUND('4.エネルギー使用量(適合例)'!$O$69/1000*$C$18*$C$7,2))</f>
        <v/>
      </c>
      <c r="K39" s="10" t="str">
        <f>IF(ISERROR('4.エネルギー使用量(適合例)'!$O$69/1000*$C$18*$E$18*$E$7),"",ROUND('4.エネルギー使用量(適合例)'!$O$69/1000*$C$18*$E$18*$E$7,2))</f>
        <v/>
      </c>
      <c r="N39" s="80" t="s">
        <v>127</v>
      </c>
      <c r="O39" s="34" t="str">
        <f>IF(AND('2-3.設備仕様入力(適合例)'!L$122="電気",'2-3.設備仕様入力(適合例)'!L$128="kW"),1,IF(AND('2-3.設備仕様入力(適合例)'!L$122="都市ガス",'2-3.設備仕様入力(適合例)'!L$128="kW"),2,IF(AND('2-3.設備仕様入力(適合例)'!L$122="都市ガス",'2-3.設備仕様入力(適合例)'!L$128="ｍ3N/h"),3,IF(AND('2-3.設備仕様入力(適合例)'!L$122="LPG",'2-3.設備仕様入力(適合例)'!L$128="kW"),4,IF(AND('2-3.設備仕様入力(適合例)'!L$122="LPG",'2-3.設備仕様入力(適合例)'!L$128="kg/h"),5,"")))))</f>
        <v/>
      </c>
      <c r="P39" s="41" t="str">
        <f>IF(OR('2-3.設備仕様入力(適合例)'!$L$120="電気式パッケージ形空調機",'2-3.設備仕様入力(適合例)'!$L$120="ルームエアコン"),ROUND('2-3.設備仕様入力(適合例)'!$L$126*'2-3.設備仕様入力(適合例)'!$L$121*計算!$C$3*VLOOKUP('2-3.設備仕様入力(適合例)'!$L$123,計算!$N$16:$P$26,2,FALSE)/1000,1),"")</f>
        <v/>
      </c>
      <c r="Q39" s="41" t="str">
        <f>IF(OR('2-3.設備仕様入力(適合例)'!$L$120="電気式パッケージ形空調機",'2-3.設備仕様入力(適合例)'!$L$120="ルームエアコン"),ROUND('2-3.設備仕様入力(適合例)'!$L$127*'2-3.設備仕様入力(適合例)'!$L$121*計算!$C$3*VLOOKUP('2-3.設備仕様入力(適合例)'!$L$123,計算!$N$16:$P$26,3,FALSE)/1000,1),"")</f>
        <v/>
      </c>
      <c r="R39" s="41" t="str">
        <f t="shared" si="0"/>
        <v/>
      </c>
      <c r="S39" s="41" t="str">
        <f>IF('2-3.設備仕様入力(適合例)'!$L$120="ガスヒートポンプ式空調機",IF('2-3.設備仕様入力(適合例)'!$L$122="都市ガス",IF('2-3.設備仕様入力(適合例)'!$L$128="kW",ROUND('2-3.設備仕様入力(適合例)'!$L$121*'2-3.設備仕様入力(適合例)'!$L$126*3.6/1000*VLOOKUP('2-3.設備仕様入力(適合例)'!$L$123,計算!$N$16:$P$26,2,FALSE),1),""),""),"")</f>
        <v/>
      </c>
      <c r="T39" s="41" t="str">
        <f>IF('2-3.設備仕様入力(適合例)'!$L$120="ガスヒートポンプ式空調機",IF('2-3.設備仕様入力(適合例)'!$L$122="都市ガス",IF('2-3.設備仕様入力(適合例)'!$L$128="kW",ROUND('2-3.設備仕様入力(適合例)'!$L$121*'2-3.設備仕様入力(適合例)'!$L$127*3.6/1000*VLOOKUP('2-3.設備仕様入力(適合例)'!$L$123,計算!$N$16:$P$26,3,FALSE),1),""),""),"")</f>
        <v/>
      </c>
      <c r="U39" s="41" t="str">
        <f t="shared" si="1"/>
        <v/>
      </c>
      <c r="V39" s="41" t="str">
        <f>IF('2-3.設備仕様入力(適合例)'!$L$120="ガスヒートポンプ式空調機",IF('2-3.設備仕様入力(適合例)'!$L$128="ｍ3N/h",ROUND('2-3.設備仕様入力(適合例)'!$L$121*'2-3.設備仕様入力(適合例)'!$L$126*計算!$C$10/1000*VLOOKUP('2-3.設備仕様入力(適合例)'!$L$123,計算!$N$16:$P$26,2,FALSE),1),""),"")</f>
        <v/>
      </c>
      <c r="W39" s="41" t="str">
        <f>IF('2-3.設備仕様入力(適合例)'!$L$120="ガスヒートポンプ式空調機",IF('2-3.設備仕様入力(適合例)'!$L$128="ｍ3N/h",ROUND('2-3.設備仕様入力(適合例)'!$L$121*'2-3.設備仕様入力(適合例)'!$L$127*計算!$C$10/1000*VLOOKUP('2-3.設備仕様入力(適合例)'!$L$123,計算!$N$16:$P$26,3,FALSE),1),""),"")</f>
        <v/>
      </c>
      <c r="X39" s="41" t="str">
        <f t="shared" si="2"/>
        <v/>
      </c>
      <c r="Y39" s="41" t="str">
        <f>IF('2-3.設備仕様入力(適合例)'!$L$120="ガスヒートポンプ式空調機",IF('2-3.設備仕様入力(適合例)'!$L$122="LPG",IF('2-3.設備仕様入力(適合例)'!$L$128="kW",ROUND('2-3.設備仕様入力(適合例)'!$L$121*'2-3.設備仕様入力(適合例)'!$L$126*3.6/1000*VLOOKUP('2-3.設備仕様入力(適合例)'!$L$123,計算!$N$16:$P$26,2,FALSE),1),""),""),"")</f>
        <v/>
      </c>
      <c r="Z39" s="41" t="str">
        <f>IF('2-3.設備仕様入力(適合例)'!$L$120="ガスヒートポンプ式空調機",IF('2-3.設備仕様入力(適合例)'!$L$122="LPG",IF('2-3.設備仕様入力(適合例)'!$L$128="kW",ROUND('2-3.設備仕様入力(適合例)'!$L$121*'2-3.設備仕様入力(適合例)'!$L$127*3.6/1000*VLOOKUP('2-3.設備仕様入力(適合例)'!$L$123,計算!$N$16:$P$26,3,FALSE),1),""),""),"")</f>
        <v/>
      </c>
      <c r="AA39" s="41" t="str">
        <f t="shared" si="3"/>
        <v/>
      </c>
      <c r="AB39" s="41" t="str">
        <f>IF('2-3.設備仕様入力(適合例)'!$L$120="ガスヒートポンプ式空調機",IF('2-3.設備仕様入力(適合例)'!$L$122="LPG",IF('2-3.設備仕様入力(適合例)'!$L$128="kg/h",ROUND('2-3.設備仕様入力(適合例)'!$L$121*'2-3.設備仕様入力(適合例)'!$L$126*計算!$C$11/1000*VLOOKUP('2-3.設備仕様入力(適合例)'!$L$123,計算!$N$16:$P$26,2,FALSE),1),""),""),"")</f>
        <v/>
      </c>
      <c r="AC39" s="41" t="str">
        <f>IF('2-3.設備仕様入力(適合例)'!$L$120="ガスヒートポンプ式空調機",IF('2-3.設備仕様入力(適合例)'!$L$122="LPG",IF('2-3.設備仕様入力(適合例)'!$L$128="kg/h",ROUND('2-3.設備仕様入力(適合例)'!$L$121*'2-3.設備仕様入力(適合例)'!$L$127*計算!$C$11/1000*VLOOKUP('2-3.設備仕様入力(適合例)'!$L$123,計算!$N$16:$P$26,3,FALSE),1),""),""),"")</f>
        <v/>
      </c>
      <c r="AD39" s="41" t="str">
        <f t="shared" si="4"/>
        <v/>
      </c>
    </row>
    <row r="40" spans="3:30" ht="19.2" x14ac:dyDescent="0.55000000000000004">
      <c r="F40" s="4"/>
      <c r="I40" s="82" t="s">
        <v>194</v>
      </c>
      <c r="J40" s="11" t="str">
        <f>IF(ISERROR('4.エネルギー使用量(適合例)'!$O$69/1000*$C$19*$C$7),"",ROUND('4.エネルギー使用量(適合例)'!$O$69/1000*$C$19*$C$7,2))</f>
        <v/>
      </c>
      <c r="K40" s="10" t="str">
        <f>IF(ISERROR('4.エネルギー使用量(適合例)'!$O$69/1000*$C$19*$E$19*$E$7),"",ROUND('4.エネルギー使用量(適合例)'!$O$69/1000*$C$19*$E$19*$E$7,2))</f>
        <v/>
      </c>
      <c r="N40" s="80" t="s">
        <v>128</v>
      </c>
      <c r="O40" s="34" t="str">
        <f>IF(AND('2-3.設備仕様入力(適合例)'!M$122="電気",'2-3.設備仕様入力(適合例)'!M$128="kW"),1,IF(AND('2-3.設備仕様入力(適合例)'!M$122="都市ガス",'2-3.設備仕様入力(適合例)'!M$128="kW"),2,IF(AND('2-3.設備仕様入力(適合例)'!M$122="都市ガス",'2-3.設備仕様入力(適合例)'!M$128="ｍ3N/h"),3,IF(AND('2-3.設備仕様入力(適合例)'!M$122="LPG",'2-3.設備仕様入力(適合例)'!M$128="kW"),4,IF(AND('2-3.設備仕様入力(適合例)'!M$122="LPG",'2-3.設備仕様入力(適合例)'!M$128="kg/h"),5,"")))))</f>
        <v/>
      </c>
      <c r="P40" s="41" t="str">
        <f>IF(OR('2-3.設備仕様入力(適合例)'!$M$120="電気式パッケージ形空調機",'2-3.設備仕様入力(適合例)'!$M$120="ルームエアコン"),ROUND('2-3.設備仕様入力(適合例)'!$M$126*'2-3.設備仕様入力(適合例)'!$M$121*計算!$C$3*VLOOKUP('2-3.設備仕様入力(適合例)'!$M$123,計算!$N$16:$P$26,2,FALSE)/1000,1),"")</f>
        <v/>
      </c>
      <c r="Q40" s="41" t="str">
        <f>IF(OR('2-3.設備仕様入力(適合例)'!$M$120="電気式パッケージ形空調機",'2-3.設備仕様入力(適合例)'!$M$120="ルームエアコン"),ROUND('2-3.設備仕様入力(適合例)'!$M$127*'2-3.設備仕様入力(適合例)'!$M$121*計算!$C$3*VLOOKUP('2-3.設備仕様入力(適合例)'!$M$123,計算!$N$16:$P$26,3,FALSE)/1000,1),"")</f>
        <v/>
      </c>
      <c r="R40" s="41" t="str">
        <f t="shared" si="0"/>
        <v/>
      </c>
      <c r="S40" s="41" t="str">
        <f>IF('2-3.設備仕様入力(適合例)'!$M$120="ガスヒートポンプ式空調機",IF('2-3.設備仕様入力(適合例)'!$M$122="都市ガス",IF('2-3.設備仕様入力(適合例)'!$M$128="kW",ROUND('2-3.設備仕様入力(適合例)'!$M$121*'2-3.設備仕様入力(適合例)'!$M$126*3.6/1000*VLOOKUP('2-3.設備仕様入力(適合例)'!$M$123,計算!$N$16:$P$26,2,FALSE),1),""),""),"")</f>
        <v/>
      </c>
      <c r="T40" s="41" t="str">
        <f>IF('2-3.設備仕様入力(適合例)'!$M$120="ガスヒートポンプ式空調機",IF('2-3.設備仕様入力(適合例)'!$M$122="都市ガス",IF('2-3.設備仕様入力(適合例)'!$M$128="kW",ROUND('2-3.設備仕様入力(適合例)'!$M$121*'2-3.設備仕様入力(適合例)'!$M$127*3.6/1000*VLOOKUP('2-3.設備仕様入力(適合例)'!$M$123,計算!$N$16:$P$26,3,FALSE),1),""),""),"")</f>
        <v/>
      </c>
      <c r="U40" s="41" t="str">
        <f t="shared" si="1"/>
        <v/>
      </c>
      <c r="V40" s="41" t="str">
        <f>IF('2-3.設備仕様入力(適合例)'!$M$120="ガスヒートポンプ式空調機",IF('2-3.設備仕様入力(適合例)'!$M$128="ｍ3N/h",ROUND('2-3.設備仕様入力(適合例)'!$M$121*'2-3.設備仕様入力(適合例)'!$M$126*計算!$C$10/1000*VLOOKUP('2-3.設備仕様入力(適合例)'!$M$123,計算!$N$16:$P$26,2,FALSE),1),""),"")</f>
        <v/>
      </c>
      <c r="W40" s="41" t="str">
        <f>IF('2-3.設備仕様入力(適合例)'!$M$120="ガスヒートポンプ式空調機",IF('2-3.設備仕様入力(適合例)'!$M$128="ｍ3N/h",ROUND('2-3.設備仕様入力(適合例)'!$M$121*'2-3.設備仕様入力(適合例)'!$M$127*計算!$C$10/1000*VLOOKUP('2-3.設備仕様入力(適合例)'!$M$123,計算!$N$16:$P$26,3,FALSE),1),""),"")</f>
        <v/>
      </c>
      <c r="X40" s="41" t="str">
        <f t="shared" si="2"/>
        <v/>
      </c>
      <c r="Y40" s="41" t="str">
        <f>IF('2-3.設備仕様入力(適合例)'!$M$120="ガスヒートポンプ式空調機",IF('2-3.設備仕様入力(適合例)'!$M$122="LPG",IF('2-3.設備仕様入力(適合例)'!$M$128="kW",ROUND('2-3.設備仕様入力(適合例)'!$M$121*'2-3.設備仕様入力(適合例)'!$M$126*3.6/1000*VLOOKUP('2-3.設備仕様入力(適合例)'!$M$123,計算!$N$16:$P$26,2,FALSE),1),""),""),"")</f>
        <v/>
      </c>
      <c r="Z40" s="41" t="str">
        <f>IF('2-3.設備仕様入力(適合例)'!$M$120="ガスヒートポンプ式空調機",IF('2-3.設備仕様入力(適合例)'!$M$122="LPG",IF('2-3.設備仕様入力(適合例)'!$M$128="kW",ROUND('2-3.設備仕様入力(適合例)'!$M$121*'2-3.設備仕様入力(適合例)'!$M$127*3.6/1000*VLOOKUP('2-3.設備仕様入力(適合例)'!$M$123,計算!$N$16:$P$26,3,FALSE),1),""),""),"")</f>
        <v/>
      </c>
      <c r="AA40" s="41" t="str">
        <f t="shared" si="3"/>
        <v/>
      </c>
      <c r="AB40" s="41" t="str">
        <f>IF('2-3.設備仕様入力(適合例)'!$M$120="ガスヒートポンプ式空調機",IF('2-3.設備仕様入力(適合例)'!$M$122="LPG",IF('2-3.設備仕様入力(適合例)'!$M$128="kg/h",ROUND('2-3.設備仕様入力(適合例)'!$M$121*'2-3.設備仕様入力(適合例)'!$M$126*計算!$C$11/1000*VLOOKUP('2-3.設備仕様入力(適合例)'!$M$123,計算!$N$16:$P$26,2,FALSE),1),""),""),"")</f>
        <v/>
      </c>
      <c r="AC40" s="41" t="str">
        <f>IF('2-3.設備仕様入力(適合例)'!$M$120="ガスヒートポンプ式空調機",IF('2-3.設備仕様入力(適合例)'!$M$122="LPG",IF('2-3.設備仕様入力(適合例)'!$M$128="kg/h",ROUND('2-3.設備仕様入力(適合例)'!$M$121*'2-3.設備仕様入力(適合例)'!$M$127*計算!$C$11/1000*VLOOKUP('2-3.設備仕様入力(適合例)'!$M$123,計算!$N$16:$P$26,3,FALSE),1),""),""),"")</f>
        <v/>
      </c>
      <c r="AD40" s="41" t="str">
        <f t="shared" si="4"/>
        <v/>
      </c>
    </row>
    <row r="41" spans="3:30" ht="19.2" x14ac:dyDescent="0.55000000000000004">
      <c r="F41" s="4"/>
      <c r="I41" s="82" t="s">
        <v>195</v>
      </c>
      <c r="J41" s="11" t="str">
        <f>IF(ISERROR('4.エネルギー使用量(適合例)'!$O$69/1000*$C$20*$C$7),"",ROUND('4.エネルギー使用量(適合例)'!$O$69/1000*$C$20*$C$7,2))</f>
        <v/>
      </c>
      <c r="K41" s="10" t="str">
        <f>IF(ISERROR('4.エネルギー使用量(適合例)'!$O$69/1000*$C$20*$E$20*$E$7),"",ROUND('4.エネルギー使用量(適合例)'!$O$69/1000*$C$20*$E$20*$E$7,2))</f>
        <v/>
      </c>
      <c r="N41" s="80" t="s">
        <v>371</v>
      </c>
      <c r="O41" s="34" t="str">
        <f>IF(AND('2-3.設備仕様入力(適合例)'!N$122="電気",'2-3.設備仕様入力(適合例)'!N$128="kW"),1,IF(AND('2-3.設備仕様入力(適合例)'!N$122="都市ガス",'2-3.設備仕様入力(適合例)'!N$128="kW"),2,IF(AND('2-3.設備仕様入力(適合例)'!N$122="都市ガス",'2-3.設備仕様入力(適合例)'!N$128="ｍ3N/h"),3,IF(AND('2-3.設備仕様入力(適合例)'!N$122="LPG",'2-3.設備仕様入力(適合例)'!N$128="kW"),4,IF(AND('2-3.設備仕様入力(適合例)'!N$122="LPG",'2-3.設備仕様入力(適合例)'!N$128="kg/h"),5,"")))))</f>
        <v/>
      </c>
      <c r="P41" s="41" t="str">
        <f>IF(OR('2-3.設備仕様入力(適合例)'!$N$120="電気式パッケージ形空調機",'2-3.設備仕様入力(適合例)'!$N$120="ルームエアコン"),ROUND('2-3.設備仕様入力(適合例)'!$N$126*'2-3.設備仕様入力(適合例)'!$N$121*計算!$C$3*VLOOKUP('2-3.設備仕様入力(適合例)'!$N$123,計算!$N$16:$P$26,2,FALSE)/1000,1),"")</f>
        <v/>
      </c>
      <c r="Q41" s="41" t="str">
        <f>IF(OR('2-3.設備仕様入力(適合例)'!$N$120="電気式パッケージ形空調機",'2-3.設備仕様入力(適合例)'!$N$120="ルームエアコン"),ROUND('2-3.設備仕様入力(適合例)'!$N$127*'2-3.設備仕様入力(適合例)'!$N$121*計算!$C$3*VLOOKUP('2-3.設備仕様入力(適合例)'!$N$123,計算!$N$16:$P$26,3,FALSE)/1000,1),"")</f>
        <v/>
      </c>
      <c r="R41" s="41" t="str">
        <f t="shared" ref="R41:R50" si="5">IF(AND(P41="",Q41=""),"",P41+Q41)</f>
        <v/>
      </c>
      <c r="S41" s="41" t="str">
        <f>IF('2-3.設備仕様入力(適合例)'!$N$120="ガスヒートポンプ式空調機",IF('2-3.設備仕様入力(適合例)'!$N$122="都市ガス",IF('2-3.設備仕様入力(適合例)'!$N$128="kW",ROUND('2-3.設備仕様入力(適合例)'!$N$121*'2-3.設備仕様入力(適合例)'!$N$126*3.6/1000*VLOOKUP('2-3.設備仕様入力(適合例)'!$N$123,計算!$N$16:$P$26,2,FALSE),1),""),""),"")</f>
        <v/>
      </c>
      <c r="T41" s="41" t="str">
        <f>IF('2-3.設備仕様入力(適合例)'!$N$120="ガスヒートポンプ式空調機",IF('2-3.設備仕様入力(適合例)'!$N$122="都市ガス",IF('2-3.設備仕様入力(適合例)'!$N$128="kW",ROUND('2-3.設備仕様入力(適合例)'!$N$121*'2-3.設備仕様入力(適合例)'!$N$127*3.6/1000*VLOOKUP('2-3.設備仕様入力(適合例)'!$N$123,計算!$N$16:$P$26,3,FALSE),1),""),""),"")</f>
        <v/>
      </c>
      <c r="U41" s="41" t="str">
        <f t="shared" ref="U41:U50" si="6">IF(AND(S41="",T41=""),"",S41+T41)</f>
        <v/>
      </c>
      <c r="V41" s="41" t="str">
        <f>IF('2-3.設備仕様入力(適合例)'!$N$120="ガスヒートポンプ式空調機",IF('2-3.設備仕様入力(適合例)'!$N$128="ｍ3N/h",ROUND('2-3.設備仕様入力(適合例)'!$N$121*'2-3.設備仕様入力(適合例)'!$N$126*計算!$C$10/1000*VLOOKUP('2-3.設備仕様入力(適合例)'!$N$123,計算!$N$16:$P$26,2,FALSE),1),""),"")</f>
        <v/>
      </c>
      <c r="W41" s="41" t="str">
        <f>IF('2-3.設備仕様入力(適合例)'!$N$120="ガスヒートポンプ式空調機",IF('2-3.設備仕様入力(適合例)'!$N$128="ｍ3N/h",ROUND('2-3.設備仕様入力(適合例)'!$N$121*'2-3.設備仕様入力(適合例)'!$N$127*計算!$C$10/1000*VLOOKUP('2-3.設備仕様入力(適合例)'!$N$123,計算!$N$16:$P$26,3,FALSE),1),""),"")</f>
        <v/>
      </c>
      <c r="X41" s="41" t="str">
        <f t="shared" ref="X41:X50" si="7">IF(AND(V41="",W41=""),"",V41+W41)</f>
        <v/>
      </c>
      <c r="Y41" s="41" t="str">
        <f>IF('2-3.設備仕様入力(適合例)'!$N$120="ガスヒートポンプ式空調機",IF('2-3.設備仕様入力(適合例)'!$N$122="LPG",IF('2-3.設備仕様入力(適合例)'!$N$128="kW",ROUND('2-3.設備仕様入力(適合例)'!$N$121*'2-3.設備仕様入力(適合例)'!$N$126*3.6/1000*VLOOKUP('2-3.設備仕様入力(適合例)'!$N$123,計算!$N$16:$P$26,2,FALSE),1),""),""),"")</f>
        <v/>
      </c>
      <c r="Z41" s="41" t="str">
        <f>IF('2-3.設備仕様入力(適合例)'!$N$120="ガスヒートポンプ式空調機",IF('2-3.設備仕様入力(適合例)'!$N$122="LPG",IF('2-3.設備仕様入力(適合例)'!$N$128="kW",ROUND('2-3.設備仕様入力(適合例)'!$N$121*'2-3.設備仕様入力(適合例)'!$N$127*3.6/1000*VLOOKUP('2-3.設備仕様入力(適合例)'!$N$123,計算!$N$16:$P$26,3,FALSE),1),""),""),"")</f>
        <v/>
      </c>
      <c r="AA41" s="41" t="str">
        <f t="shared" ref="AA41:AA50" si="8">IF(AND(Y41="",Z41=""),"",Y41+Z41)</f>
        <v/>
      </c>
      <c r="AB41" s="41" t="str">
        <f>IF('2-3.設備仕様入力(適合例)'!$N$120="ガスヒートポンプ式空調機",IF('2-3.設備仕様入力(適合例)'!$N$122="LPG",IF('2-3.設備仕様入力(適合例)'!$N$128="kg/h",ROUND('2-3.設備仕様入力(適合例)'!$N$121*'2-3.設備仕様入力(適合例)'!$N$126*計算!$C$11/1000*VLOOKUP('2-3.設備仕様入力(適合例)'!$N$123,計算!$N$16:$P$26,2,FALSE),1),""),""),"")</f>
        <v/>
      </c>
      <c r="AC41" s="41" t="str">
        <f>IF('2-3.設備仕様入力(適合例)'!$N$120="ガスヒートポンプ式空調機",IF('2-3.設備仕様入力(適合例)'!$N$122="LPG",IF('2-3.設備仕様入力(適合例)'!$N$128="kg/h",ROUND('2-3.設備仕様入力(適合例)'!$N$121*'2-3.設備仕様入力(適合例)'!$N$127*計算!$C$11/1000*VLOOKUP('2-3.設備仕様入力(適合例)'!$N$123,計算!$N$16:$P$26,3,FALSE),1),""),""),"")</f>
        <v/>
      </c>
      <c r="AD41" s="41" t="str">
        <f t="shared" ref="AD41:AD50" si="9">IF(AND(AB41="",AC41=""),"",AB41+AC41)</f>
        <v/>
      </c>
    </row>
    <row r="42" spans="3:30" ht="19.8" thickBot="1" x14ac:dyDescent="0.6">
      <c r="F42" s="4"/>
      <c r="I42" s="82" t="s">
        <v>196</v>
      </c>
      <c r="J42" s="8" t="str">
        <f>IF(ISERROR('4.エネルギー使用量(適合例)'!$O$69/1000*$C$21*$C$7),"",ROUND('4.エネルギー使用量(適合例)'!$O$69/1000*$C$21*$C$7,2))</f>
        <v/>
      </c>
      <c r="K42" s="7" t="str">
        <f>IF(ISERROR('4.エネルギー使用量(適合例)'!$O$69/1000*$C$21*$E$21*$E$7),"",ROUND('4.エネルギー使用量(適合例)'!$O$69/1000*$C$21*$E$21*$E$7,2))</f>
        <v/>
      </c>
      <c r="N42" s="80" t="s">
        <v>372</v>
      </c>
      <c r="O42" s="34" t="str">
        <f>IF(AND('2-3.設備仕様入力(適合例)'!O$122="電気",'2-3.設備仕様入力(適合例)'!O$128="kW"),1,IF(AND('2-3.設備仕様入力(適合例)'!O$122="都市ガス",'2-3.設備仕様入力(適合例)'!O$128="kW"),2,IF(AND('2-3.設備仕様入力(適合例)'!O$122="都市ガス",'2-3.設備仕様入力(適合例)'!O$128="ｍ3N/h"),3,IF(AND('2-3.設備仕様入力(適合例)'!O$122="LPG",'2-3.設備仕様入力(適合例)'!O$128="kW"),4,IF(AND('2-3.設備仕様入力(適合例)'!O$122="LPG",'2-3.設備仕様入力(適合例)'!O$128="kg/h"),5,"")))))</f>
        <v/>
      </c>
      <c r="P42" s="41" t="str">
        <f>IF(OR('2-3.設備仕様入力(適合例)'!$O$120="電気式パッケージ形空調機",'2-3.設備仕様入力(適合例)'!$O$120="ルームエアコン"),ROUND('2-3.設備仕様入力(適合例)'!$O$126*'2-3.設備仕様入力(適合例)'!$O$121*計算!$C$3*VLOOKUP('2-3.設備仕様入力(適合例)'!$O$123,計算!$N$16:$P$26,2,FALSE)/1000,1),"")</f>
        <v/>
      </c>
      <c r="Q42" s="41" t="str">
        <f>IF(OR('2-3.設備仕様入力(適合例)'!$O$120="電気式パッケージ形空調機",'2-3.設備仕様入力(適合例)'!$O$120="ルームエアコン"),ROUND('2-3.設備仕様入力(適合例)'!$O$127*'2-3.設備仕様入力(適合例)'!$O$121*計算!$C$3*VLOOKUP('2-3.設備仕様入力(適合例)'!$O$123,計算!$N$16:$P$26,3,FALSE)/1000,1),"")</f>
        <v/>
      </c>
      <c r="R42" s="41" t="str">
        <f t="shared" si="5"/>
        <v/>
      </c>
      <c r="S42" s="41" t="str">
        <f>IF('2-3.設備仕様入力(適合例)'!$O$120="ガスヒートポンプ式空調機",IF('2-3.設備仕様入力(適合例)'!$O$122="都市ガス",IF('2-3.設備仕様入力(適合例)'!$O$128="kW",ROUND('2-3.設備仕様入力(適合例)'!$O$121*'2-3.設備仕様入力(適合例)'!$O$126*3.6/1000*VLOOKUP('2-3.設備仕様入力(適合例)'!$O$123,計算!$N$16:$P$26,2,FALSE),1),""),""),"")</f>
        <v/>
      </c>
      <c r="T42" s="41" t="str">
        <f>IF('2-3.設備仕様入力(適合例)'!$O$120="ガスヒートポンプ式空調機",IF('2-3.設備仕様入力(適合例)'!$O$122="都市ガス",IF('2-3.設備仕様入力(適合例)'!$O$128="kW",ROUND('2-3.設備仕様入力(適合例)'!$O$121*'2-3.設備仕様入力(適合例)'!$O$127*3.6/1000*VLOOKUP('2-3.設備仕様入力(適合例)'!$O$123,計算!$N$16:$P$26,3,FALSE),1),""),""),"")</f>
        <v/>
      </c>
      <c r="U42" s="41" t="str">
        <f t="shared" si="6"/>
        <v/>
      </c>
      <c r="V42" s="41" t="str">
        <f>IF('2-3.設備仕様入力(適合例)'!$O$120="ガスヒートポンプ式空調機",IF('2-3.設備仕様入力(適合例)'!$O$128="ｍ3N/h",ROUND('2-3.設備仕様入力(適合例)'!$O$121*'2-3.設備仕様入力(適合例)'!$O$126*計算!$C$10/1000*VLOOKUP('2-3.設備仕様入力(適合例)'!$O$123,計算!$N$16:$P$26,2,FALSE),1),""),"")</f>
        <v/>
      </c>
      <c r="W42" s="41" t="str">
        <f>IF('2-3.設備仕様入力(適合例)'!$O$120="ガスヒートポンプ式空調機",IF('2-3.設備仕様入力(適合例)'!$O$128="ｍ3N/h",ROUND('2-3.設備仕様入力(適合例)'!$O$121*'2-3.設備仕様入力(適合例)'!$O$127*計算!$C$10/1000*VLOOKUP('2-3.設備仕様入力(適合例)'!$O$123,計算!$N$16:$P$26,3,FALSE),1),""),"")</f>
        <v/>
      </c>
      <c r="X42" s="41" t="str">
        <f t="shared" si="7"/>
        <v/>
      </c>
      <c r="Y42" s="41" t="str">
        <f>IF('2-3.設備仕様入力(適合例)'!$O$120="ガスヒートポンプ式空調機",IF('2-3.設備仕様入力(適合例)'!$O$122="LPG",IF('2-3.設備仕様入力(適合例)'!$O$128="kW",ROUND('2-3.設備仕様入力(適合例)'!$O$121*'2-3.設備仕様入力(適合例)'!$O$126*3.6/1000*VLOOKUP('2-3.設備仕様入力(適合例)'!$O$123,計算!$N$16:$P$26,2,FALSE),1),""),""),"")</f>
        <v/>
      </c>
      <c r="Z42" s="41" t="str">
        <f>IF('2-3.設備仕様入力(適合例)'!$O$120="ガスヒートポンプ式空調機",IF('2-3.設備仕様入力(適合例)'!$O$122="LPG",IF('2-3.設備仕様入力(適合例)'!$O$128="kW",ROUND('2-3.設備仕様入力(適合例)'!$O$121*'2-3.設備仕様入力(適合例)'!$O$127*3.6/1000*VLOOKUP('2-3.設備仕様入力(適合例)'!$O$123,計算!$N$16:$P$26,3,FALSE),1),""),""),"")</f>
        <v/>
      </c>
      <c r="AA42" s="41" t="str">
        <f t="shared" si="8"/>
        <v/>
      </c>
      <c r="AB42" s="41" t="str">
        <f>IF('2-3.設備仕様入力(適合例)'!$O$120="ガスヒートポンプ式空調機",IF('2-3.設備仕様入力(適合例)'!$O$122="LPG",IF('2-3.設備仕様入力(適合例)'!$O$128="kg/h",ROUND('2-3.設備仕様入力(適合例)'!$O$121*'2-3.設備仕様入力(適合例)'!$O$126*計算!$C$11/1000*VLOOKUP('2-3.設備仕様入力(適合例)'!$O$123,計算!$N$16:$P$26,2,FALSE),1),""),""),"")</f>
        <v/>
      </c>
      <c r="AC42" s="41" t="str">
        <f>IF('2-3.設備仕様入力(適合例)'!$O$120="ガスヒートポンプ式空調機",IF('2-3.設備仕様入力(適合例)'!$O$122="LPG",IF('2-3.設備仕様入力(適合例)'!$O$128="kg/h",ROUND('2-3.設備仕様入力(適合例)'!$O$121*'2-3.設備仕様入力(適合例)'!$O$127*計算!$C$11/1000*VLOOKUP('2-3.設備仕様入力(適合例)'!$O$123,計算!$N$16:$P$26,3,FALSE),1),""),""),"")</f>
        <v/>
      </c>
      <c r="AD42" s="41" t="str">
        <f t="shared" si="9"/>
        <v/>
      </c>
    </row>
    <row r="43" spans="3:30" ht="19.8" thickBot="1" x14ac:dyDescent="0.6">
      <c r="F43" s="4"/>
      <c r="I43" s="82"/>
      <c r="J43" s="132"/>
      <c r="K43" s="132"/>
      <c r="N43" s="80" t="s">
        <v>373</v>
      </c>
      <c r="O43" s="34" t="str">
        <f>IF(AND('2-3.設備仕様入力(適合例)'!P$122="電気",'2-3.設備仕様入力(適合例)'!P$128="kW"),1,IF(AND('2-3.設備仕様入力(適合例)'!P$122="都市ガス",'2-3.設備仕様入力(適合例)'!P$128="kW"),2,IF(AND('2-3.設備仕様入力(適合例)'!P$122="都市ガス",'2-3.設備仕様入力(適合例)'!P$128="ｍ3N/h"),3,IF(AND('2-3.設備仕様入力(適合例)'!P$122="LPG",'2-3.設備仕様入力(適合例)'!P$128="kW"),4,IF(AND('2-3.設備仕様入力(適合例)'!P$122="LPG",'2-3.設備仕様入力(適合例)'!P$128="kg/h"),5,"")))))</f>
        <v/>
      </c>
      <c r="P43" s="41" t="str">
        <f>IF(OR('2-3.設備仕様入力(適合例)'!$P$120="電気式パッケージ形空調機",'2-3.設備仕様入力(適合例)'!$P$120="ルームエアコン"),ROUND('2-3.設備仕様入力(適合例)'!$P$126*'2-3.設備仕様入力(適合例)'!$P$121*計算!$C$3*VLOOKUP('2-3.設備仕様入力(適合例)'!$P$123,計算!$N$16:$P$26,2,FALSE)/1000,1),"")</f>
        <v/>
      </c>
      <c r="Q43" s="41" t="str">
        <f>IF(OR('2-3.設備仕様入力(適合例)'!$P$120="電気式パッケージ形空調機",'2-3.設備仕様入力(適合例)'!$P$120="ルームエアコン"),ROUND('2-3.設備仕様入力(適合例)'!$P$127*'2-3.設備仕様入力(適合例)'!$P$121*計算!$C$3*VLOOKUP('2-3.設備仕様入力(適合例)'!$P$123,計算!$N$16:$P$26,3,FALSE)/1000,1),"")</f>
        <v/>
      </c>
      <c r="R43" s="41" t="str">
        <f t="shared" si="5"/>
        <v/>
      </c>
      <c r="S43" s="41" t="str">
        <f>IF('2-3.設備仕様入力(適合例)'!$P$120="ガスヒートポンプ式空調機",IF('2-3.設備仕様入力(適合例)'!$P$122="都市ガス",IF('2-3.設備仕様入力(適合例)'!$P$128="kW",ROUND('2-3.設備仕様入力(適合例)'!$P$121*'2-3.設備仕様入力(適合例)'!$P$126*3.6/1000*VLOOKUP('2-3.設備仕様入力(適合例)'!$P$123,計算!$N$16:$P$26,2,FALSE),1),""),""),"")</f>
        <v/>
      </c>
      <c r="T43" s="41" t="str">
        <f>IF('2-3.設備仕様入力(適合例)'!$P$120="ガスヒートポンプ式空調機",IF('2-3.設備仕様入力(適合例)'!$P$122="都市ガス",IF('2-3.設備仕様入力(適合例)'!$P$128="kW",ROUND('2-3.設備仕様入力(適合例)'!$P$121*'2-3.設備仕様入力(適合例)'!$P$127*3.6/1000*VLOOKUP('2-3.設備仕様入力(適合例)'!$P$123,計算!$N$16:$P$26,3,FALSE),1),""),""),"")</f>
        <v/>
      </c>
      <c r="U43" s="41" t="str">
        <f t="shared" si="6"/>
        <v/>
      </c>
      <c r="V43" s="41" t="str">
        <f>IF('2-3.設備仕様入力(適合例)'!$P$120="ガスヒートポンプ式空調機",IF('2-3.設備仕様入力(適合例)'!$P$128="ｍ3N/h",ROUND('2-3.設備仕様入力(適合例)'!$P$121*'2-3.設備仕様入力(適合例)'!$P$126*計算!$C$10/1000*VLOOKUP('2-3.設備仕様入力(適合例)'!$P$123,計算!$N$16:$P$26,2,FALSE),1),""),"")</f>
        <v/>
      </c>
      <c r="W43" s="41" t="str">
        <f>IF('2-3.設備仕様入力(適合例)'!$P$120="ガスヒートポンプ式空調機",IF('2-3.設備仕様入力(適合例)'!$P$128="ｍ3N/h",ROUND('2-3.設備仕様入力(適合例)'!$P$121*'2-3.設備仕様入力(適合例)'!$P$127*計算!$C$10/1000*VLOOKUP('2-3.設備仕様入力(適合例)'!$P$123,計算!$N$16:$P$26,3,FALSE),1),""),"")</f>
        <v/>
      </c>
      <c r="X43" s="41" t="str">
        <f t="shared" si="7"/>
        <v/>
      </c>
      <c r="Y43" s="41" t="str">
        <f>IF('2-3.設備仕様入力(適合例)'!$P$120="ガスヒートポンプ式空調機",IF('2-3.設備仕様入力(適合例)'!$P$122="LPG",IF('2-3.設備仕様入力(適合例)'!$P$128="kW",ROUND('2-3.設備仕様入力(適合例)'!$P$121*'2-3.設備仕様入力(適合例)'!$P$126*3.6/1000*VLOOKUP('2-3.設備仕様入力(適合例)'!$P$123,計算!$N$16:$P$26,2,FALSE),1),""),""),"")</f>
        <v/>
      </c>
      <c r="Z43" s="41" t="str">
        <f>IF('2-3.設備仕様入力(適合例)'!$P$120="ガスヒートポンプ式空調機",IF('2-3.設備仕様入力(適合例)'!$P$122="LPG",IF('2-3.設備仕様入力(適合例)'!$P$128="kW",ROUND('2-3.設備仕様入力(適合例)'!$P$121*'2-3.設備仕様入力(適合例)'!$P$127*3.6/1000*VLOOKUP('2-3.設備仕様入力(適合例)'!$P$123,計算!$N$16:$P$26,3,FALSE),1),""),""),"")</f>
        <v/>
      </c>
      <c r="AA43" s="41" t="str">
        <f t="shared" si="8"/>
        <v/>
      </c>
      <c r="AB43" s="41" t="str">
        <f>IF('2-3.設備仕様入力(適合例)'!$P$120="ガスヒートポンプ式空調機",IF('2-3.設備仕様入力(適合例)'!$P$122="LPG",IF('2-3.設備仕様入力(適合例)'!$P$128="kg/h",ROUND('2-3.設備仕様入力(適合例)'!$P$121*'2-3.設備仕様入力(適合例)'!$P$126*計算!$C$11/1000*VLOOKUP('2-3.設備仕様入力(適合例)'!$P$123,計算!$N$16:$P$26,2,FALSE),1),""),""),"")</f>
        <v/>
      </c>
      <c r="AC43" s="41" t="str">
        <f>IF('2-3.設備仕様入力(適合例)'!$P$120="ガスヒートポンプ式空調機",IF('2-3.設備仕様入力(適合例)'!$P$122="LPG",IF('2-3.設備仕様入力(適合例)'!$P$128="kg/h",ROUND('2-3.設備仕様入力(適合例)'!$P$121*'2-3.設備仕様入力(適合例)'!$P$127*計算!$C$11/1000*VLOOKUP('2-3.設備仕様入力(適合例)'!$P$123,計算!$N$16:$P$26,3,FALSE),1),""),""),"")</f>
        <v/>
      </c>
      <c r="AD43" s="41" t="str">
        <f t="shared" si="9"/>
        <v/>
      </c>
    </row>
    <row r="44" spans="3:30" ht="19.2" x14ac:dyDescent="0.55000000000000004">
      <c r="F44" s="4"/>
      <c r="I44" s="82" t="s">
        <v>460</v>
      </c>
      <c r="J44" s="13" t="s">
        <v>20</v>
      </c>
      <c r="K44" s="12" t="s">
        <v>19</v>
      </c>
      <c r="N44" s="80" t="s">
        <v>374</v>
      </c>
      <c r="O44" s="34" t="str">
        <f>IF(AND('2-3.設備仕様入力(適合例)'!Q$122="電気",'2-3.設備仕様入力(適合例)'!Q$128="kW"),1,IF(AND('2-3.設備仕様入力(適合例)'!Q$122="都市ガス",'2-3.設備仕様入力(適合例)'!Q$128="kW"),2,IF(AND('2-3.設備仕様入力(適合例)'!Q$122="都市ガス",'2-3.設備仕様入力(適合例)'!Q$128="ｍ3N/h"),3,IF(AND('2-3.設備仕様入力(適合例)'!Q$122="LPG",'2-3.設備仕様入力(適合例)'!Q$128="kW"),4,IF(AND('2-3.設備仕様入力(適合例)'!Q$122="LPG",'2-3.設備仕様入力(適合例)'!Q$128="kg/h"),5,"")))))</f>
        <v/>
      </c>
      <c r="P44" s="41" t="str">
        <f>IF(OR('2-3.設備仕様入力(適合例)'!$Q$120="電気式パッケージ形空調機",'2-3.設備仕様入力(適合例)'!$Q$120="ルームエアコン"),ROUND('2-3.設備仕様入力(適合例)'!$Q$126*'2-3.設備仕様入力(適合例)'!$Q$121*計算!$C$3*VLOOKUP('2-3.設備仕様入力(適合例)'!$Q$123,計算!$N$16:$P$26,2,FALSE)/1000,1),"")</f>
        <v/>
      </c>
      <c r="Q44" s="41" t="str">
        <f>IF(OR('2-3.設備仕様入力(適合例)'!$Q$120="電気式パッケージ形空調機",'2-3.設備仕様入力(適合例)'!$Q$120="ルームエアコン"),ROUND('2-3.設備仕様入力(適合例)'!$Q$127*'2-3.設備仕様入力(適合例)'!$Q$121*計算!$C$3*VLOOKUP('2-3.設備仕様入力(適合例)'!$Q$123,計算!$N$16:$P$26,3,FALSE)/1000,1),"")</f>
        <v/>
      </c>
      <c r="R44" s="41" t="str">
        <f t="shared" si="5"/>
        <v/>
      </c>
      <c r="S44" s="41" t="str">
        <f>IF('2-3.設備仕様入力(適合例)'!$Q$120="ガスヒートポンプ式空調機",IF('2-3.設備仕様入力(適合例)'!$Q$122="都市ガス",IF('2-3.設備仕様入力(適合例)'!$Q$128="kW",ROUND('2-3.設備仕様入力(適合例)'!$Q$121*'2-3.設備仕様入力(適合例)'!$Q$126*3.6/1000*VLOOKUP('2-3.設備仕様入力(適合例)'!$Q$123,計算!$N$16:$P$26,2,FALSE),1),""),""),"")</f>
        <v/>
      </c>
      <c r="T44" s="41" t="str">
        <f>IF('2-3.設備仕様入力(適合例)'!$Q$120="ガスヒートポンプ式空調機",IF('2-3.設備仕様入力(適合例)'!$Q$122="都市ガス",IF('2-3.設備仕様入力(適合例)'!$Q$128="kW",ROUND('2-3.設備仕様入力(適合例)'!$Q$121*'2-3.設備仕様入力(適合例)'!$Q$127*3.6/1000*VLOOKUP('2-3.設備仕様入力(適合例)'!$Q$123,計算!$N$16:$P$26,3,FALSE),1),""),""),"")</f>
        <v/>
      </c>
      <c r="U44" s="41" t="str">
        <f t="shared" si="6"/>
        <v/>
      </c>
      <c r="V44" s="41" t="str">
        <f>IF('2-3.設備仕様入力(適合例)'!$Q$120="ガスヒートポンプ式空調機",IF('2-3.設備仕様入力(適合例)'!$Q$128="ｍ3N/h",ROUND('2-3.設備仕様入力(適合例)'!$Q$121*'2-3.設備仕様入力(適合例)'!$Q$126*計算!$C$10/1000*VLOOKUP('2-3.設備仕様入力(適合例)'!$Q$123,計算!$N$16:$P$26,2,FALSE),1),""),"")</f>
        <v/>
      </c>
      <c r="W44" s="41" t="str">
        <f>IF('2-3.設備仕様入力(適合例)'!$Q$120="ガスヒートポンプ式空調機",IF('2-3.設備仕様入力(適合例)'!$Q$128="ｍ3N/h",ROUND('2-3.設備仕様入力(適合例)'!$Q$121*'2-3.設備仕様入力(適合例)'!$Q$127*計算!$C$10/1000*VLOOKUP('2-3.設備仕様入力(適合例)'!$Q$123,計算!$N$16:$P$26,3,FALSE),1),""),"")</f>
        <v/>
      </c>
      <c r="X44" s="41" t="str">
        <f t="shared" si="7"/>
        <v/>
      </c>
      <c r="Y44" s="41" t="str">
        <f>IF('2-3.設備仕様入力(適合例)'!$Q$120="ガスヒートポンプ式空調機",IF('2-3.設備仕様入力(適合例)'!$Q$122="LPG",IF('2-3.設備仕様入力(適合例)'!$Q$128="kW",ROUND('2-3.設備仕様入力(適合例)'!$Q$121*'2-3.設備仕様入力(適合例)'!$Q$126*3.6/1000*VLOOKUP('2-3.設備仕様入力(適合例)'!$Q$123,計算!$N$16:$P$26,2,FALSE),1),""),""),"")</f>
        <v/>
      </c>
      <c r="Z44" s="41" t="str">
        <f>IF('2-3.設備仕様入力(適合例)'!$Q$120="ガスヒートポンプ式空調機",IF('2-3.設備仕様入力(適合例)'!$Q$122="LPG",IF('2-3.設備仕様入力(適合例)'!$Q$128="kW",ROUND('2-3.設備仕様入力(適合例)'!$Q$121*'2-3.設備仕様入力(適合例)'!$Q$127*3.6/1000*VLOOKUP('2-3.設備仕様入力(適合例)'!$Q$123,計算!$N$16:$P$26,3,FALSE),1),""),""),"")</f>
        <v/>
      </c>
      <c r="AA44" s="41" t="str">
        <f t="shared" si="8"/>
        <v/>
      </c>
      <c r="AB44" s="41" t="str">
        <f>IF('2-3.設備仕様入力(適合例)'!$Q$120="ガスヒートポンプ式空調機",IF('2-3.設備仕様入力(適合例)'!$Q$122="LPG",IF('2-3.設備仕様入力(適合例)'!$Q$128="kg/h",ROUND('2-3.設備仕様入力(適合例)'!$Q$121*'2-3.設備仕様入力(適合例)'!$Q$126*計算!$C$11/1000*VLOOKUP('2-3.設備仕様入力(適合例)'!$Q$123,計算!$N$16:$P$26,2,FALSE),1),""),""),"")</f>
        <v/>
      </c>
      <c r="AC44" s="41" t="str">
        <f>IF('2-3.設備仕様入力(適合例)'!$Q$120="ガスヒートポンプ式空調機",IF('2-3.設備仕様入力(適合例)'!$Q$122="LPG",IF('2-3.設備仕様入力(適合例)'!$Q$128="kg/h",ROUND('2-3.設備仕様入力(適合例)'!$Q$121*'2-3.設備仕様入力(適合例)'!$Q$127*計算!$C$11/1000*VLOOKUP('2-3.設備仕様入力(適合例)'!$Q$123,計算!$N$16:$P$26,3,FALSE),1),""),""),"")</f>
        <v/>
      </c>
      <c r="AD44" s="41" t="str">
        <f t="shared" si="9"/>
        <v/>
      </c>
    </row>
    <row r="45" spans="3:30" ht="19.2" x14ac:dyDescent="0.55000000000000004">
      <c r="F45" s="4"/>
      <c r="I45" s="82" t="s">
        <v>197</v>
      </c>
      <c r="J45" s="16" t="str">
        <f>IF(ISERROR('4.エネルギー使用量(適合例)'!$O$80/1000*$C$4*$C$7),"",ROUND('4.エネルギー使用量(適合例)'!$O$80/1000*$C$4*$C$7,2))</f>
        <v/>
      </c>
      <c r="K45" s="10" t="str">
        <f>IF(ISERROR('4.エネルギー使用量(適合例)'!$O$80/1000*$C$4*$E$4),"",ROUND('4.エネルギー使用量(適合例)'!$O$80/1000*$C$4*$E$4,2))</f>
        <v/>
      </c>
      <c r="N45" s="80" t="s">
        <v>375</v>
      </c>
      <c r="O45" s="34" t="str">
        <f>IF(AND('2-3.設備仕様入力(適合例)'!R$122="電気",'2-3.設備仕様入力(適合例)'!R$128="kW"),1,IF(AND('2-3.設備仕様入力(適合例)'!R$122="都市ガス",'2-3.設備仕様入力(適合例)'!R$128="kW"),2,IF(AND('2-3.設備仕様入力(適合例)'!R$122="都市ガス",'2-3.設備仕様入力(適合例)'!R$128="ｍ3N/h"),3,IF(AND('2-3.設備仕様入力(適合例)'!R$122="LPG",'2-3.設備仕様入力(適合例)'!R$128="kW"),4,IF(AND('2-3.設備仕様入力(適合例)'!R$122="LPG",'2-3.設備仕様入力(適合例)'!R$128="kg/h"),5,"")))))</f>
        <v/>
      </c>
      <c r="P45" s="41" t="str">
        <f>IF(OR('2-3.設備仕様入力(適合例)'!$R$120="電気式パッケージ形空調機",'2-3.設備仕様入力(適合例)'!$R$120="ルームエアコン"),ROUND('2-3.設備仕様入力(適合例)'!$R$126*'2-3.設備仕様入力(適合例)'!$R$121*計算!$C$3*VLOOKUP('2-3.設備仕様入力(適合例)'!$R$123,計算!$N$16:$P$26,2,FALSE)/1000,1),"")</f>
        <v/>
      </c>
      <c r="Q45" s="41" t="str">
        <f>IF(OR('2-3.設備仕様入力(適合例)'!$R$120="電気式パッケージ形空調機",'2-3.設備仕様入力(適合例)'!$R$120="ルームエアコン"),ROUND('2-3.設備仕様入力(適合例)'!$R$127*'2-3.設備仕様入力(適合例)'!$R$121*計算!$C$3*VLOOKUP('2-3.設備仕様入力(適合例)'!$R$123,計算!$N$16:$P$26,3,FALSE)/1000,1),"")</f>
        <v/>
      </c>
      <c r="R45" s="41" t="str">
        <f t="shared" si="5"/>
        <v/>
      </c>
      <c r="S45" s="41" t="str">
        <f>IF('2-3.設備仕様入力(適合例)'!$R$120="ガスヒートポンプ式空調機",IF('2-3.設備仕様入力(適合例)'!$R$122="都市ガス",IF('2-3.設備仕様入力(適合例)'!$R$128="kW",ROUND('2-3.設備仕様入力(適合例)'!$R$121*'2-3.設備仕様入力(適合例)'!$R$126*3.6/1000*VLOOKUP('2-3.設備仕様入力(適合例)'!$R$123,計算!$N$16:$P$26,2,FALSE),1),""),""),"")</f>
        <v/>
      </c>
      <c r="T45" s="41" t="str">
        <f>IF('2-3.設備仕様入力(適合例)'!$R$120="ガスヒートポンプ式空調機",IF('2-3.設備仕様入力(適合例)'!$R$122="都市ガス",IF('2-3.設備仕様入力(適合例)'!$R$128="kW",ROUND('2-3.設備仕様入力(適合例)'!$R$121*'2-3.設備仕様入力(適合例)'!$R$127*3.6/1000*VLOOKUP('2-3.設備仕様入力(適合例)'!$R$123,計算!$N$16:$P$26,3,FALSE),1),""),""),"")</f>
        <v/>
      </c>
      <c r="U45" s="41" t="str">
        <f t="shared" si="6"/>
        <v/>
      </c>
      <c r="V45" s="41" t="str">
        <f>IF('2-3.設備仕様入力(適合例)'!$R$120="ガスヒートポンプ式空調機",IF('2-3.設備仕様入力(適合例)'!$R$128="ｍ3N/h",ROUND('2-3.設備仕様入力(適合例)'!$R$121*'2-3.設備仕様入力(適合例)'!$R$126*計算!$C$10/1000*VLOOKUP('2-3.設備仕様入力(適合例)'!$R$123,計算!$N$16:$P$26,2,FALSE),1),""),"")</f>
        <v/>
      </c>
      <c r="W45" s="41" t="str">
        <f>IF('2-3.設備仕様入力(適合例)'!$R$120="ガスヒートポンプ式空調機",IF('2-3.設備仕様入力(適合例)'!$R$128="ｍ3N/h",ROUND('2-3.設備仕様入力(適合例)'!$R$121*'2-3.設備仕様入力(適合例)'!$R$127*計算!$C$10/1000*VLOOKUP('2-3.設備仕様入力(適合例)'!$R$123,計算!$N$16:$P$26,3,FALSE),1),""),"")</f>
        <v/>
      </c>
      <c r="X45" s="41" t="str">
        <f t="shared" si="7"/>
        <v/>
      </c>
      <c r="Y45" s="41" t="str">
        <f>IF('2-3.設備仕様入力(適合例)'!$R$120="ガスヒートポンプ式空調機",IF('2-3.設備仕様入力(適合例)'!$R$122="LPG",IF('2-3.設備仕様入力(適合例)'!$R$128="kW",ROUND('2-3.設備仕様入力(適合例)'!$R$121*'2-3.設備仕様入力(適合例)'!$R$126*3.6/1000*VLOOKUP('2-3.設備仕様入力(適合例)'!$R$123,計算!$N$16:$P$26,2,FALSE),1),""),""),"")</f>
        <v/>
      </c>
      <c r="Z45" s="41" t="str">
        <f>IF('2-3.設備仕様入力(適合例)'!$R$120="ガスヒートポンプ式空調機",IF('2-3.設備仕様入力(適合例)'!$R$122="LPG",IF('2-3.設備仕様入力(適合例)'!$R$128="kW",ROUND('2-3.設備仕様入力(適合例)'!$R$121*'2-3.設備仕様入力(適合例)'!$R$127*3.6/1000*VLOOKUP('2-3.設備仕様入力(適合例)'!$R$123,計算!$N$16:$P$26,3,FALSE),1),""),""),"")</f>
        <v/>
      </c>
      <c r="AA45" s="41" t="str">
        <f t="shared" si="8"/>
        <v/>
      </c>
      <c r="AB45" s="41" t="str">
        <f>IF('2-3.設備仕様入力(適合例)'!$R$120="ガスヒートポンプ式空調機",IF('2-3.設備仕様入力(適合例)'!$R$122="LPG",IF('2-3.設備仕様入力(適合例)'!$R$128="kg/h",ROUND('2-3.設備仕様入力(適合例)'!$R$121*'2-3.設備仕様入力(適合例)'!$R$126*計算!$C$11/1000*VLOOKUP('2-3.設備仕様入力(適合例)'!$R$123,計算!$N$16:$P$26,2,FALSE),1),""),""),"")</f>
        <v/>
      </c>
      <c r="AC45" s="41" t="str">
        <f>IF('2-3.設備仕様入力(適合例)'!$R$120="ガスヒートポンプ式空調機",IF('2-3.設備仕様入力(適合例)'!$R$122="LPG",IF('2-3.設備仕様入力(適合例)'!$R$128="kg/h",ROUND('2-3.設備仕様入力(適合例)'!$R$121*'2-3.設備仕様入力(適合例)'!$R$127*計算!$C$11/1000*VLOOKUP('2-3.設備仕様入力(適合例)'!$R$123,計算!$N$16:$P$26,3,FALSE),1),""),""),"")</f>
        <v/>
      </c>
      <c r="AD45" s="41" t="str">
        <f t="shared" si="9"/>
        <v/>
      </c>
    </row>
    <row r="46" spans="3:30" ht="19.2" x14ac:dyDescent="0.55000000000000004">
      <c r="F46" s="4"/>
      <c r="I46" s="82" t="s">
        <v>198</v>
      </c>
      <c r="J46" s="16" t="str">
        <f>IF(ISERROR('4.エネルギー使用量(適合例)'!$O$80/1000*$C$5*$C$7),"",ROUND('4.エネルギー使用量(適合例)'!$O$80/1000*$C$5*$C$7,2))</f>
        <v/>
      </c>
      <c r="K46" s="10" t="str">
        <f>IF(ISERROR('4.エネルギー使用量(適合例)'!$O$80/1000*$C$5*$E$5),"",ROUND('4.エネルギー使用量(適合例)'!$O$80/1000*$C$5*$E$5,2))</f>
        <v/>
      </c>
      <c r="N46" s="80" t="s">
        <v>376</v>
      </c>
      <c r="O46" s="34" t="str">
        <f>IF(AND('2-3.設備仕様入力(適合例)'!S$122="電気",'2-3.設備仕様入力(適合例)'!S$128="kW"),1,IF(AND('2-3.設備仕様入力(適合例)'!S$122="都市ガス",'2-3.設備仕様入力(適合例)'!S$128="kW"),2,IF(AND('2-3.設備仕様入力(適合例)'!S$122="都市ガス",'2-3.設備仕様入力(適合例)'!S$128="ｍ3N/h"),3,IF(AND('2-3.設備仕様入力(適合例)'!S$122="LPG",'2-3.設備仕様入力(適合例)'!S$128="kW"),4,IF(AND('2-3.設備仕様入力(適合例)'!S$122="LPG",'2-3.設備仕様入力(適合例)'!S$128="kg/h"),5,"")))))</f>
        <v/>
      </c>
      <c r="P46" s="41" t="str">
        <f>IF(OR('2-3.設備仕様入力(適合例)'!$S$120="電気式パッケージ形空調機",'2-3.設備仕様入力(適合例)'!$S$120="ルームエアコン"),ROUND('2-3.設備仕様入力(適合例)'!$S$126*'2-3.設備仕様入力(適合例)'!$S$121*計算!$C$3*VLOOKUP('2-3.設備仕様入力(適合例)'!$S$123,計算!$N$16:$P$26,2,FALSE)/1000,1),"")</f>
        <v/>
      </c>
      <c r="Q46" s="41" t="str">
        <f>IF(OR('2-3.設備仕様入力(適合例)'!$S$120="電気式パッケージ形空調機",'2-3.設備仕様入力(適合例)'!$S$120="ルームエアコン"),ROUND('2-3.設備仕様入力(適合例)'!$S$127*'2-3.設備仕様入力(適合例)'!$S$121*計算!$C$3*VLOOKUP('2-3.設備仕様入力(適合例)'!$S$123,計算!$N$16:$P$26,3,FALSE)/1000,1),"")</f>
        <v/>
      </c>
      <c r="R46" s="41" t="str">
        <f t="shared" si="5"/>
        <v/>
      </c>
      <c r="S46" s="41" t="str">
        <f>IF('2-3.設備仕様入力(適合例)'!$S$120="ガスヒートポンプ式空調機",IF('2-3.設備仕様入力(適合例)'!$S$122="都市ガス",IF('2-3.設備仕様入力(適合例)'!$S$128="kW",ROUND('2-3.設備仕様入力(適合例)'!$S$121*'2-3.設備仕様入力(適合例)'!$S$126*3.6/1000*VLOOKUP('2-3.設備仕様入力(適合例)'!$S$123,計算!$N$16:$P$26,2,FALSE),1),""),""),"")</f>
        <v/>
      </c>
      <c r="T46" s="41" t="str">
        <f>IF('2-3.設備仕様入力(適合例)'!$S$120="ガスヒートポンプ式空調機",IF('2-3.設備仕様入力(適合例)'!$S$122="都市ガス",IF('2-3.設備仕様入力(適合例)'!$S$128="kW",ROUND('2-3.設備仕様入力(適合例)'!$S$121*'2-3.設備仕様入力(適合例)'!$S$127*3.6/1000*VLOOKUP('2-3.設備仕様入力(適合例)'!$S$123,計算!$N$16:$P$26,3,FALSE),1),""),""),"")</f>
        <v/>
      </c>
      <c r="U46" s="41" t="str">
        <f t="shared" si="6"/>
        <v/>
      </c>
      <c r="V46" s="41" t="str">
        <f>IF('2-3.設備仕様入力(適合例)'!$S$120="ガスヒートポンプ式空調機",IF('2-3.設備仕様入力(適合例)'!$S$128="ｍ3N/h",ROUND('2-3.設備仕様入力(適合例)'!$S$121*'2-3.設備仕様入力(適合例)'!$S$126*計算!$C$10/1000*VLOOKUP('2-3.設備仕様入力(適合例)'!$S$123,計算!$N$16:$P$26,2,FALSE),1),""),"")</f>
        <v/>
      </c>
      <c r="W46" s="41" t="str">
        <f>IF('2-3.設備仕様入力(適合例)'!$S$120="ガスヒートポンプ式空調機",IF('2-3.設備仕様入力(適合例)'!$S$128="ｍ3N/h",ROUND('2-3.設備仕様入力(適合例)'!$S$121*'2-3.設備仕様入力(適合例)'!$S$127*計算!$C$10/1000*VLOOKUP('2-3.設備仕様入力(適合例)'!$S$123,計算!$N$16:$P$26,3,FALSE),1),""),"")</f>
        <v/>
      </c>
      <c r="X46" s="41" t="str">
        <f t="shared" si="7"/>
        <v/>
      </c>
      <c r="Y46" s="41" t="str">
        <f>IF('2-3.設備仕様入力(適合例)'!$S$120="ガスヒートポンプ式空調機",IF('2-3.設備仕様入力(適合例)'!$S$122="LPG",IF('2-3.設備仕様入力(適合例)'!$S$128="kW",ROUND('2-3.設備仕様入力(適合例)'!$S$121*'2-3.設備仕様入力(適合例)'!$S$126*3.6/1000*VLOOKUP('2-3.設備仕様入力(適合例)'!$S$123,計算!$N$16:$P$26,2,FALSE),1),""),""),"")</f>
        <v/>
      </c>
      <c r="Z46" s="41" t="str">
        <f>IF('2-3.設備仕様入力(適合例)'!$S$120="ガスヒートポンプ式空調機",IF('2-3.設備仕様入力(適合例)'!$S$122="LPG",IF('2-3.設備仕様入力(適合例)'!$S$128="kW",ROUND('2-3.設備仕様入力(適合例)'!$S$121*'2-3.設備仕様入力(適合例)'!$S$127*3.6/1000*VLOOKUP('2-3.設備仕様入力(適合例)'!$S$123,計算!$N$16:$P$26,3,FALSE),1),""),""),"")</f>
        <v/>
      </c>
      <c r="AA46" s="41" t="str">
        <f t="shared" si="8"/>
        <v/>
      </c>
      <c r="AB46" s="41" t="str">
        <f>IF('2-3.設備仕様入力(適合例)'!$S$120="ガスヒートポンプ式空調機",IF('2-3.設備仕様入力(適合例)'!$S$122="LPG",IF('2-3.設備仕様入力(適合例)'!$S$128="kg/h",ROUND('2-3.設備仕様入力(適合例)'!$S$121*'2-3.設備仕様入力(適合例)'!$S$126*計算!$C$11/1000*VLOOKUP('2-3.設備仕様入力(適合例)'!$S$123,計算!$N$16:$P$26,2,FALSE),1),""),""),"")</f>
        <v/>
      </c>
      <c r="AC46" s="41" t="str">
        <f>IF('2-3.設備仕様入力(適合例)'!$S$120="ガスヒートポンプ式空調機",IF('2-3.設備仕様入力(適合例)'!$S$122="LPG",IF('2-3.設備仕様入力(適合例)'!$S$128="kg/h",ROUND('2-3.設備仕様入力(適合例)'!$S$121*'2-3.設備仕様入力(適合例)'!$S$127*計算!$C$11/1000*VLOOKUP('2-3.設備仕様入力(適合例)'!$S$123,計算!$N$16:$P$26,3,FALSE),1),""),""),"")</f>
        <v/>
      </c>
      <c r="AD46" s="41" t="str">
        <f t="shared" si="9"/>
        <v/>
      </c>
    </row>
    <row r="47" spans="3:30" ht="19.2" x14ac:dyDescent="0.55000000000000004">
      <c r="F47" s="4"/>
      <c r="I47" s="82" t="s">
        <v>199</v>
      </c>
      <c r="J47" s="16" t="str">
        <f>IF(ISERROR('4.エネルギー使用量(適合例)'!$O$80/1000*$C$6*$C$7),"",ROUND('4.エネルギー使用量(適合例)'!$O$80/1000*$C$6*$C$7,2))</f>
        <v/>
      </c>
      <c r="K47" s="10" t="str">
        <f>IF(ISERROR('4.エネルギー使用量(適合例)'!$O$80/1000*$C$6*$E$6),"",ROUND('4.エネルギー使用量(適合例)'!$O$80/1000*$C$6*$E$6,2))</f>
        <v/>
      </c>
      <c r="N47" s="80" t="s">
        <v>377</v>
      </c>
      <c r="O47" s="34" t="str">
        <f>IF(AND('2-3.設備仕様入力(適合例)'!T$122="電気",'2-3.設備仕様入力(適合例)'!T$128="kW"),1,IF(AND('2-3.設備仕様入力(適合例)'!T$122="都市ガス",'2-3.設備仕様入力(適合例)'!T$128="kW"),2,IF(AND('2-3.設備仕様入力(適合例)'!T$122="都市ガス",'2-3.設備仕様入力(適合例)'!T$128="ｍ3N/h"),3,IF(AND('2-3.設備仕様入力(適合例)'!T$122="LPG",'2-3.設備仕様入力(適合例)'!T$128="kW"),4,IF(AND('2-3.設備仕様入力(適合例)'!T$122="LPG",'2-3.設備仕様入力(適合例)'!T$128="kg/h"),5,"")))))</f>
        <v/>
      </c>
      <c r="P47" s="41" t="str">
        <f>IF(OR('2-3.設備仕様入力(適合例)'!$T$120="電気式パッケージ形空調機",'2-3.設備仕様入力(適合例)'!$T$120="ルームエアコン"),ROUND('2-3.設備仕様入力(適合例)'!$T$126*'2-3.設備仕様入力(適合例)'!$T$121*計算!$C$3*VLOOKUP('2-3.設備仕様入力(適合例)'!$T$123,計算!$N$16:$P$26,2,FALSE)/1000,1),"")</f>
        <v/>
      </c>
      <c r="Q47" s="41" t="str">
        <f>IF(OR('2-3.設備仕様入力(適合例)'!$T$120="電気式パッケージ形空調機",'2-3.設備仕様入力(適合例)'!$T$120="ルームエアコン"),ROUND('2-3.設備仕様入力(適合例)'!$T$127*'2-3.設備仕様入力(適合例)'!$T$121*計算!$C$3*VLOOKUP('2-3.設備仕様入力(適合例)'!$T$123,計算!$N$16:$P$26,3,FALSE)/1000,1),"")</f>
        <v/>
      </c>
      <c r="R47" s="41" t="str">
        <f t="shared" si="5"/>
        <v/>
      </c>
      <c r="S47" s="41" t="str">
        <f>IF('2-3.設備仕様入力(適合例)'!$T$120="ガスヒートポンプ式空調機",IF('2-3.設備仕様入力(適合例)'!$T$122="都市ガス",IF('2-3.設備仕様入力(適合例)'!$T$128="kW",ROUND('2-3.設備仕様入力(適合例)'!$T$121*'2-3.設備仕様入力(適合例)'!$T$126*3.6/1000*VLOOKUP('2-3.設備仕様入力(適合例)'!$T$123,計算!$N$16:$P$26,2,FALSE),1),""),""),"")</f>
        <v/>
      </c>
      <c r="T47" s="41" t="str">
        <f>IF('2-3.設備仕様入力(適合例)'!$T$120="ガスヒートポンプ式空調機",IF('2-3.設備仕様入力(適合例)'!$T$122="都市ガス",IF('2-3.設備仕様入力(適合例)'!$T$128="kW",ROUND('2-3.設備仕様入力(適合例)'!$T$121*'2-3.設備仕様入力(適合例)'!$T$127*3.6/1000*VLOOKUP('2-3.設備仕様入力(適合例)'!$T$123,計算!$N$16:$P$26,3,FALSE),1),""),""),"")</f>
        <v/>
      </c>
      <c r="U47" s="41" t="str">
        <f t="shared" si="6"/>
        <v/>
      </c>
      <c r="V47" s="41" t="str">
        <f>IF('2-3.設備仕様入力(適合例)'!$T$120="ガスヒートポンプ式空調機",IF('2-3.設備仕様入力(適合例)'!$T$128="ｍ3N/h",ROUND('2-3.設備仕様入力(適合例)'!$T$121*'2-3.設備仕様入力(適合例)'!$T$126*計算!$C$10/1000*VLOOKUP('2-3.設備仕様入力(適合例)'!$T$123,計算!$N$16:$P$26,2,FALSE),1),""),"")</f>
        <v/>
      </c>
      <c r="W47" s="41" t="str">
        <f>IF('2-3.設備仕様入力(適合例)'!$T$120="ガスヒートポンプ式空調機",IF('2-3.設備仕様入力(適合例)'!$T$128="ｍ3N/h",ROUND('2-3.設備仕様入力(適合例)'!$T$121*'2-3.設備仕様入力(適合例)'!$T$127*計算!$C$10/1000*VLOOKUP('2-3.設備仕様入力(適合例)'!$T$123,計算!$N$16:$P$26,3,FALSE),1),""),"")</f>
        <v/>
      </c>
      <c r="X47" s="41" t="str">
        <f t="shared" si="7"/>
        <v/>
      </c>
      <c r="Y47" s="41" t="str">
        <f>IF('2-3.設備仕様入力(適合例)'!$T$120="ガスヒートポンプ式空調機",IF('2-3.設備仕様入力(適合例)'!$T$122="LPG",IF('2-3.設備仕様入力(適合例)'!$T$128="kW",ROUND('2-3.設備仕様入力(適合例)'!$T$121*'2-3.設備仕様入力(適合例)'!$T$126*3.6/1000*VLOOKUP('2-3.設備仕様入力(適合例)'!$T$123,計算!$N$16:$P$26,2,FALSE),1),""),""),"")</f>
        <v/>
      </c>
      <c r="Z47" s="41" t="str">
        <f>IF('2-3.設備仕様入力(適合例)'!$T$120="ガスヒートポンプ式空調機",IF('2-3.設備仕様入力(適合例)'!$T$122="LPG",IF('2-3.設備仕様入力(適合例)'!$T$128="kW",ROUND('2-3.設備仕様入力(適合例)'!$T$121*'2-3.設備仕様入力(適合例)'!$T$127*3.6/1000*VLOOKUP('2-3.設備仕様入力(適合例)'!$T$123,計算!$N$16:$P$26,3,FALSE),1),""),""),"")</f>
        <v/>
      </c>
      <c r="AA47" s="41" t="str">
        <f t="shared" si="8"/>
        <v/>
      </c>
      <c r="AB47" s="41" t="str">
        <f>IF('2-3.設備仕様入力(適合例)'!$T$120="ガスヒートポンプ式空調機",IF('2-3.設備仕様入力(適合例)'!$T$122="LPG",IF('2-3.設備仕様入力(適合例)'!$T$128="kg/h",ROUND('2-3.設備仕様入力(適合例)'!$T$121*'2-3.設備仕様入力(適合例)'!$T$126*計算!$C$11/1000*VLOOKUP('2-3.設備仕様入力(適合例)'!$T$123,計算!$N$16:$P$26,2,FALSE),1),""),""),"")</f>
        <v/>
      </c>
      <c r="AC47" s="41" t="str">
        <f>IF('2-3.設備仕様入力(適合例)'!$T$120="ガスヒートポンプ式空調機",IF('2-3.設備仕様入力(適合例)'!$T$122="LPG",IF('2-3.設備仕様入力(適合例)'!$T$128="kg/h",ROUND('2-3.設備仕様入力(適合例)'!$T$121*'2-3.設備仕様入力(適合例)'!$T$127*計算!$C$11/1000*VLOOKUP('2-3.設備仕様入力(適合例)'!$T$123,計算!$N$16:$P$26,3,FALSE),1),""),""),"")</f>
        <v/>
      </c>
      <c r="AD47" s="41" t="str">
        <f t="shared" si="9"/>
        <v/>
      </c>
    </row>
    <row r="48" spans="3:30" ht="19.2" x14ac:dyDescent="0.55000000000000004">
      <c r="F48" s="4"/>
      <c r="I48" s="82" t="s">
        <v>193</v>
      </c>
      <c r="J48" s="11" t="str">
        <f>IF(ISERROR('4.エネルギー使用量(適合例)'!$O$80/1000*$C$18*$C$7),"",ROUND('4.エネルギー使用量(適合例)'!$O$80/1000*$C$18*$C$7,2))</f>
        <v/>
      </c>
      <c r="K48" s="10" t="str">
        <f>IF(ISERROR('4.エネルギー使用量(適合例)'!$O$80/1000*$C$18*$E$18*$E$7),"",ROUND('4.エネルギー使用量(適合例)'!$O$80/1000*$C$18*$E$18*$E$7,2))</f>
        <v/>
      </c>
      <c r="N48" s="80" t="s">
        <v>378</v>
      </c>
      <c r="O48" s="34" t="str">
        <f>IF(AND('2-3.設備仕様入力(適合例)'!U$122="電気",'2-3.設備仕様入力(適合例)'!U$128="kW"),1,IF(AND('2-3.設備仕様入力(適合例)'!U$122="都市ガス",'2-3.設備仕様入力(適合例)'!U$128="kW"),2,IF(AND('2-3.設備仕様入力(適合例)'!U$122="都市ガス",'2-3.設備仕様入力(適合例)'!U$128="ｍ3N/h"),3,IF(AND('2-3.設備仕様入力(適合例)'!U$122="LPG",'2-3.設備仕様入力(適合例)'!U$128="kW"),4,IF(AND('2-3.設備仕様入力(適合例)'!U$122="LPG",'2-3.設備仕様入力(適合例)'!U$128="kg/h"),5,"")))))</f>
        <v/>
      </c>
      <c r="P48" s="41" t="str">
        <f>IF(OR('2-3.設備仕様入力(適合例)'!$U$120="電気式パッケージ形空調機",'2-3.設備仕様入力(適合例)'!$U$120="ルームエアコン"),ROUND('2-3.設備仕様入力(適合例)'!$U$126*'2-3.設備仕様入力(適合例)'!$U$121*計算!$C$3*VLOOKUP('2-3.設備仕様入力(適合例)'!$U$123,計算!$N$16:$P$26,2,FALSE)/1000,1),"")</f>
        <v/>
      </c>
      <c r="Q48" s="41" t="str">
        <f>IF(OR('2-3.設備仕様入力(適合例)'!$U$120="電気式パッケージ形空調機",'2-3.設備仕様入力(適合例)'!$U$120="ルームエアコン"),ROUND('2-3.設備仕様入力(適合例)'!$U$127*'2-3.設備仕様入力(適合例)'!$U$121*計算!$C$3*VLOOKUP('2-3.設備仕様入力(適合例)'!$U$123,計算!$N$16:$P$26,3,FALSE)/1000,1),"")</f>
        <v/>
      </c>
      <c r="R48" s="41" t="str">
        <f t="shared" si="5"/>
        <v/>
      </c>
      <c r="S48" s="41" t="str">
        <f>IF('2-3.設備仕様入力(適合例)'!$U$120="ガスヒートポンプ式空調機",IF('2-3.設備仕様入力(適合例)'!$U$122="都市ガス",IF('2-3.設備仕様入力(適合例)'!$U$128="kW",ROUND('2-3.設備仕様入力(適合例)'!$U$121*'2-3.設備仕様入力(適合例)'!$U$126*3.6/1000*VLOOKUP('2-3.設備仕様入力(適合例)'!$U$123,計算!$N$16:$P$26,2,FALSE),1),""),""),"")</f>
        <v/>
      </c>
      <c r="T48" s="41" t="str">
        <f>IF('2-3.設備仕様入力(適合例)'!$U$120="ガスヒートポンプ式空調機",IF('2-3.設備仕様入力(適合例)'!$U$122="都市ガス",IF('2-3.設備仕様入力(適合例)'!$U$128="kW",ROUND('2-3.設備仕様入力(適合例)'!$U$121*'2-3.設備仕様入力(適合例)'!$U$127*3.6/1000*VLOOKUP('2-3.設備仕様入力(適合例)'!$U$123,計算!$N$16:$P$26,3,FALSE),1),""),""),"")</f>
        <v/>
      </c>
      <c r="U48" s="41" t="str">
        <f t="shared" si="6"/>
        <v/>
      </c>
      <c r="V48" s="41" t="str">
        <f>IF('2-3.設備仕様入力(適合例)'!$U$120="ガスヒートポンプ式空調機",IF('2-3.設備仕様入力(適合例)'!$U$128="ｍ3N/h",ROUND('2-3.設備仕様入力(適合例)'!$U$121*'2-3.設備仕様入力(適合例)'!$U$126*計算!$C$10/1000*VLOOKUP('2-3.設備仕様入力(適合例)'!$U$123,計算!$N$16:$P$26,2,FALSE),1),""),"")</f>
        <v/>
      </c>
      <c r="W48" s="41" t="str">
        <f>IF('2-3.設備仕様入力(適合例)'!$U$120="ガスヒートポンプ式空調機",IF('2-3.設備仕様入力(適合例)'!$U$128="ｍ3N/h",ROUND('2-3.設備仕様入力(適合例)'!$U$121*'2-3.設備仕様入力(適合例)'!$U$127*計算!$C$10/1000*VLOOKUP('2-3.設備仕様入力(適合例)'!$U$123,計算!$N$16:$P$26,3,FALSE),1),""),"")</f>
        <v/>
      </c>
      <c r="X48" s="41" t="str">
        <f t="shared" si="7"/>
        <v/>
      </c>
      <c r="Y48" s="41" t="str">
        <f>IF('2-3.設備仕様入力(適合例)'!$U$120="ガスヒートポンプ式空調機",IF('2-3.設備仕様入力(適合例)'!$U$122="LPG",IF('2-3.設備仕様入力(適合例)'!$U$128="kW",ROUND('2-3.設備仕様入力(適合例)'!$U$121*'2-3.設備仕様入力(適合例)'!$U$126*3.6/1000*VLOOKUP('2-3.設備仕様入力(適合例)'!$U$123,計算!$N$16:$P$26,2,FALSE),1),""),""),"")</f>
        <v/>
      </c>
      <c r="Z48" s="41" t="str">
        <f>IF('2-3.設備仕様入力(適合例)'!$U$120="ガスヒートポンプ式空調機",IF('2-3.設備仕様入力(適合例)'!$U$122="LPG",IF('2-3.設備仕様入力(適合例)'!$U$128="kW",ROUND('2-3.設備仕様入力(適合例)'!$U$121*'2-3.設備仕様入力(適合例)'!$U$127*3.6/1000*VLOOKUP('2-3.設備仕様入力(適合例)'!$U$123,計算!$N$16:$P$26,3,FALSE),1),""),""),"")</f>
        <v/>
      </c>
      <c r="AA48" s="41" t="str">
        <f t="shared" si="8"/>
        <v/>
      </c>
      <c r="AB48" s="41" t="str">
        <f>IF('2-3.設備仕様入力(適合例)'!$U$120="ガスヒートポンプ式空調機",IF('2-3.設備仕様入力(適合例)'!$U$122="LPG",IF('2-3.設備仕様入力(適合例)'!$U$128="kg/h",ROUND('2-3.設備仕様入力(適合例)'!$U$121*'2-3.設備仕様入力(適合例)'!$U$126*計算!$C$11/1000*VLOOKUP('2-3.設備仕様入力(適合例)'!$U$123,計算!$N$16:$P$26,2,FALSE),1),""),""),"")</f>
        <v/>
      </c>
      <c r="AC48" s="41" t="str">
        <f>IF('2-3.設備仕様入力(適合例)'!$U$120="ガスヒートポンプ式空調機",IF('2-3.設備仕様入力(適合例)'!$U$122="LPG",IF('2-3.設備仕様入力(適合例)'!$U$128="kg/h",ROUND('2-3.設備仕様入力(適合例)'!$U$121*'2-3.設備仕様入力(適合例)'!$U$127*計算!$C$11/1000*VLOOKUP('2-3.設備仕様入力(適合例)'!$U$123,計算!$N$16:$P$26,3,FALSE),1),""),""),"")</f>
        <v/>
      </c>
      <c r="AD48" s="41" t="str">
        <f t="shared" si="9"/>
        <v/>
      </c>
    </row>
    <row r="49" spans="6:30" ht="19.2" x14ac:dyDescent="0.55000000000000004">
      <c r="F49" s="4"/>
      <c r="I49" s="82" t="s">
        <v>194</v>
      </c>
      <c r="J49" s="11" t="str">
        <f>IF(ISERROR('4.エネルギー使用量(適合例)'!$O$80/1000*$C$19*$C$7),"",ROUND('4.エネルギー使用量(適合例)'!$O$80/1000*$C$19*$C$7,2))</f>
        <v/>
      </c>
      <c r="K49" s="10" t="str">
        <f>IF(ISERROR('4.エネルギー使用量(適合例)'!$O$80/1000*$C$19*$E$19*$E$7),"",ROUND('4.エネルギー使用量(適合例)'!$O$80/1000*$C$19*$E$19*$E$7,2))</f>
        <v/>
      </c>
      <c r="N49" s="80" t="s">
        <v>379</v>
      </c>
      <c r="O49" s="34" t="str">
        <f>IF(AND('2-3.設備仕様入力(適合例)'!V$122="電気",'2-3.設備仕様入力(適合例)'!V$128="kW"),1,IF(AND('2-3.設備仕様入力(適合例)'!V$122="都市ガス",'2-3.設備仕様入力(適合例)'!V$128="kW"),2,IF(AND('2-3.設備仕様入力(適合例)'!V$122="都市ガス",'2-3.設備仕様入力(適合例)'!V$128="ｍ3N/h"),3,IF(AND('2-3.設備仕様入力(適合例)'!V$122="LPG",'2-3.設備仕様入力(適合例)'!V$128="kW"),4,IF(AND('2-3.設備仕様入力(適合例)'!V$122="LPG",'2-3.設備仕様入力(適合例)'!V$128="kg/h"),5,"")))))</f>
        <v/>
      </c>
      <c r="P49" s="41" t="str">
        <f>IF(OR('2-3.設備仕様入力(適合例)'!$V$120="電気式パッケージ形空調機",'2-3.設備仕様入力(適合例)'!$V$120="ルームエアコン"),ROUND('2-3.設備仕様入力(適合例)'!$V$126*'2-3.設備仕様入力(適合例)'!$V$121*計算!$C$3*VLOOKUP('2-3.設備仕様入力(適合例)'!$V$123,計算!$N$16:$P$26,2,FALSE)/1000,1),"")</f>
        <v/>
      </c>
      <c r="Q49" s="41" t="str">
        <f>IF(OR('2-3.設備仕様入力(適合例)'!$V$120="電気式パッケージ形空調機",'2-3.設備仕様入力(適合例)'!$V$120="ルームエアコン"),ROUND('2-3.設備仕様入力(適合例)'!$V$127*'2-3.設備仕様入力(適合例)'!$V$121*計算!$C$3*VLOOKUP('2-3.設備仕様入力(適合例)'!$V$123,計算!$N$16:$P$26,3,FALSE)/1000,1),"")</f>
        <v/>
      </c>
      <c r="R49" s="41" t="str">
        <f t="shared" si="5"/>
        <v/>
      </c>
      <c r="S49" s="41" t="str">
        <f>IF('2-3.設備仕様入力(適合例)'!$V$120="ガスヒートポンプ式空調機",IF('2-3.設備仕様入力(適合例)'!$V$122="都市ガス",IF('2-3.設備仕様入力(適合例)'!$V$128="kW",ROUND('2-3.設備仕様入力(適合例)'!$V$121*'2-3.設備仕様入力(適合例)'!$V$126*3.6/1000*VLOOKUP('2-3.設備仕様入力(適合例)'!$V$123,計算!$N$16:$P$26,2,FALSE),1),""),""),"")</f>
        <v/>
      </c>
      <c r="T49" s="41" t="str">
        <f>IF('2-3.設備仕様入力(適合例)'!$V$120="ガスヒートポンプ式空調機",IF('2-3.設備仕様入力(適合例)'!$V$122="都市ガス",IF('2-3.設備仕様入力(適合例)'!$V$128="kW",ROUND('2-3.設備仕様入力(適合例)'!$V$121*'2-3.設備仕様入力(適合例)'!$V$127*3.6/1000*VLOOKUP('2-3.設備仕様入力(適合例)'!$V$123,計算!$N$16:$P$26,3,FALSE),1),""),""),"")</f>
        <v/>
      </c>
      <c r="U49" s="41" t="str">
        <f t="shared" si="6"/>
        <v/>
      </c>
      <c r="V49" s="41" t="str">
        <f>IF('2-3.設備仕様入力(適合例)'!$V$120="ガスヒートポンプ式空調機",IF('2-3.設備仕様入力(適合例)'!$V$128="ｍ3N/h",ROUND('2-3.設備仕様入力(適合例)'!$V$121*'2-3.設備仕様入力(適合例)'!$V$126*計算!$C$10/1000*VLOOKUP('2-3.設備仕様入力(適合例)'!$V$123,計算!$N$16:$P$26,2,FALSE),1),""),"")</f>
        <v/>
      </c>
      <c r="W49" s="41" t="str">
        <f>IF('2-3.設備仕様入力(適合例)'!$V$120="ガスヒートポンプ式空調機",IF('2-3.設備仕様入力(適合例)'!$V$128="ｍ3N/h",ROUND('2-3.設備仕様入力(適合例)'!$V$121*'2-3.設備仕様入力(適合例)'!$V$127*計算!$C$10/1000*VLOOKUP('2-3.設備仕様入力(適合例)'!$V$123,計算!$N$16:$P$26,3,FALSE),1),""),"")</f>
        <v/>
      </c>
      <c r="X49" s="41" t="str">
        <f t="shared" si="7"/>
        <v/>
      </c>
      <c r="Y49" s="41" t="str">
        <f>IF('2-3.設備仕様入力(適合例)'!$V$120="ガスヒートポンプ式空調機",IF('2-3.設備仕様入力(適合例)'!$V$122="LPG",IF('2-3.設備仕様入力(適合例)'!$V$128="kW",ROUND('2-3.設備仕様入力(適合例)'!$V$121*'2-3.設備仕様入力(適合例)'!$V$126*3.6/1000*VLOOKUP('2-3.設備仕様入力(適合例)'!$V$123,計算!$N$16:$P$26,2,FALSE),1),""),""),"")</f>
        <v/>
      </c>
      <c r="Z49" s="41" t="str">
        <f>IF('2-3.設備仕様入力(適合例)'!$V$120="ガスヒートポンプ式空調機",IF('2-3.設備仕様入力(適合例)'!$V$122="LPG",IF('2-3.設備仕様入力(適合例)'!$V$128="kW",ROUND('2-3.設備仕様入力(適合例)'!$V$121*'2-3.設備仕様入力(適合例)'!$V$127*3.6/1000*VLOOKUP('2-3.設備仕様入力(適合例)'!$V$123,計算!$N$16:$P$26,3,FALSE),1),""),""),"")</f>
        <v/>
      </c>
      <c r="AA49" s="41" t="str">
        <f t="shared" si="8"/>
        <v/>
      </c>
      <c r="AB49" s="41" t="str">
        <f>IF('2-3.設備仕様入力(適合例)'!$V$120="ガスヒートポンプ式空調機",IF('2-3.設備仕様入力(適合例)'!$V$122="LPG",IF('2-3.設備仕様入力(適合例)'!$V$128="kg/h",ROUND('2-3.設備仕様入力(適合例)'!$V$121*'2-3.設備仕様入力(適合例)'!$V$126*計算!$C$11/1000*VLOOKUP('2-3.設備仕様入力(適合例)'!$V$123,計算!$N$16:$P$26,2,FALSE),1),""),""),"")</f>
        <v/>
      </c>
      <c r="AC49" s="41" t="str">
        <f>IF('2-3.設備仕様入力(適合例)'!$V$120="ガスヒートポンプ式空調機",IF('2-3.設備仕様入力(適合例)'!$V$122="LPG",IF('2-3.設備仕様入力(適合例)'!$V$128="kg/h",ROUND('2-3.設備仕様入力(適合例)'!$V$121*'2-3.設備仕様入力(適合例)'!$V$127*計算!$C$11/1000*VLOOKUP('2-3.設備仕様入力(適合例)'!$V$123,計算!$N$16:$P$26,3,FALSE),1),""),""),"")</f>
        <v/>
      </c>
      <c r="AD49" s="41" t="str">
        <f t="shared" si="9"/>
        <v/>
      </c>
    </row>
    <row r="50" spans="6:30" ht="19.2" x14ac:dyDescent="0.55000000000000004">
      <c r="F50" s="4"/>
      <c r="I50" s="82" t="s">
        <v>195</v>
      </c>
      <c r="J50" s="11" t="str">
        <f>IF(ISERROR('4.エネルギー使用量(適合例)'!$O$80/1000*$C$20*$C$7),"",ROUND('4.エネルギー使用量(適合例)'!$O$80/1000*$C$20*$C$7,2))</f>
        <v/>
      </c>
      <c r="K50" s="10" t="str">
        <f>IF(ISERROR('4.エネルギー使用量(適合例)'!$O$80/1000*$C$20*$E$20*$E$7),"",ROUND('4.エネルギー使用量(適合例)'!$O$80/1000*$C$20*$E$20*$E$7,2))</f>
        <v/>
      </c>
      <c r="N50" s="80" t="s">
        <v>380</v>
      </c>
      <c r="O50" s="34" t="str">
        <f>IF(AND('2-3.設備仕様入力(適合例)'!W$122="電気",'2-3.設備仕様入力(適合例)'!W$128="kW"),1,IF(AND('2-3.設備仕様入力(適合例)'!W$122="都市ガス",'2-3.設備仕様入力(適合例)'!W$128="kW"),2,IF(AND('2-3.設備仕様入力(適合例)'!W$122="都市ガス",'2-3.設備仕様入力(適合例)'!W$128="ｍ3N/h"),3,IF(AND('2-3.設備仕様入力(適合例)'!W$122="LPG",'2-3.設備仕様入力(適合例)'!W$128="kW"),4,IF(AND('2-3.設備仕様入力(適合例)'!W$122="LPG",'2-3.設備仕様入力(適合例)'!W$128="kg/h"),5,"")))))</f>
        <v/>
      </c>
      <c r="P50" s="41" t="str">
        <f>IF(OR('2-3.設備仕様入力(適合例)'!$W$120="電気式パッケージ形空調機",'2-3.設備仕様入力(適合例)'!$W$120="ルームエアコン"),ROUND('2-3.設備仕様入力(適合例)'!$W$126*'2-3.設備仕様入力(適合例)'!$W$121*計算!$C$3*VLOOKUP('2-3.設備仕様入力(適合例)'!$W$123,計算!$N$16:$P$26,2,FALSE)/1000,1),"")</f>
        <v/>
      </c>
      <c r="Q50" s="41" t="str">
        <f>IF(OR('2-3.設備仕様入力(適合例)'!$W$120="電気式パッケージ形空調機",'2-3.設備仕様入力(適合例)'!$W$120="ルームエアコン"),ROUND('2-3.設備仕様入力(適合例)'!$W$127*'2-3.設備仕様入力(適合例)'!$W$121*計算!$C$3*VLOOKUP('2-3.設備仕様入力(適合例)'!$W$123,計算!$N$16:$P$26,3,FALSE)/1000,1),"")</f>
        <v/>
      </c>
      <c r="R50" s="41" t="str">
        <f t="shared" si="5"/>
        <v/>
      </c>
      <c r="S50" s="41" t="str">
        <f>IF('2-3.設備仕様入力(適合例)'!$W$120="ガスヒートポンプ式空調機",IF('2-3.設備仕様入力(適合例)'!$W$122="都市ガス",IF('2-3.設備仕様入力(適合例)'!$W$128="kW",ROUND('2-3.設備仕様入力(適合例)'!$W$121*'2-3.設備仕様入力(適合例)'!$W$126*3.6/1000*VLOOKUP('2-3.設備仕様入力(適合例)'!$W$123,計算!$N$16:$P$26,2,FALSE),1),""),""),"")</f>
        <v/>
      </c>
      <c r="T50" s="41" t="str">
        <f>IF('2-3.設備仕様入力(適合例)'!$W$120="ガスヒートポンプ式空調機",IF('2-3.設備仕様入力(適合例)'!$W$122="都市ガス",IF('2-3.設備仕様入力(適合例)'!$W$128="kW",ROUND('2-3.設備仕様入力(適合例)'!$W$121*'2-3.設備仕様入力(適合例)'!$W$127*3.6/1000*VLOOKUP('2-3.設備仕様入力(適合例)'!$W$123,計算!$N$16:$P$26,3,FALSE),1),""),""),"")</f>
        <v/>
      </c>
      <c r="U50" s="41" t="str">
        <f t="shared" si="6"/>
        <v/>
      </c>
      <c r="V50" s="41" t="str">
        <f>IF('2-3.設備仕様入力(適合例)'!$W$120="ガスヒートポンプ式空調機",IF('2-3.設備仕様入力(適合例)'!$W$128="ｍ3N/h",ROUND('2-3.設備仕様入力(適合例)'!$W$121*'2-3.設備仕様入力(適合例)'!$W$126*計算!$C$10/1000*VLOOKUP('2-3.設備仕様入力(適合例)'!$W$123,計算!$N$16:$P$26,2,FALSE),1),""),"")</f>
        <v/>
      </c>
      <c r="W50" s="41" t="str">
        <f>IF('2-3.設備仕様入力(適合例)'!$W$120="ガスヒートポンプ式空調機",IF('2-3.設備仕様入力(適合例)'!$W$128="ｍ3N/h",ROUND('2-3.設備仕様入力(適合例)'!$W$121*'2-3.設備仕様入力(適合例)'!$W$127*計算!$C$10/1000*VLOOKUP('2-3.設備仕様入力(適合例)'!$W$123,計算!$N$16:$P$26,3,FALSE),1),""),"")</f>
        <v/>
      </c>
      <c r="X50" s="41" t="str">
        <f t="shared" si="7"/>
        <v/>
      </c>
      <c r="Y50" s="41" t="str">
        <f>IF('2-3.設備仕様入力(適合例)'!$W$120="ガスヒートポンプ式空調機",IF('2-3.設備仕様入力(適合例)'!$W$122="LPG",IF('2-3.設備仕様入力(適合例)'!$W$128="kW",ROUND('2-3.設備仕様入力(適合例)'!$W$121*'2-3.設備仕様入力(適合例)'!$W$126*3.6/1000*VLOOKUP('2-3.設備仕様入力(適合例)'!$W$123,計算!$N$16:$P$26,2,FALSE),1),""),""),"")</f>
        <v/>
      </c>
      <c r="Z50" s="41" t="str">
        <f>IF('2-3.設備仕様入力(適合例)'!$W$120="ガスヒートポンプ式空調機",IF('2-3.設備仕様入力(適合例)'!$W$122="LPG",IF('2-3.設備仕様入力(適合例)'!$W$128="kW",ROUND('2-3.設備仕様入力(適合例)'!$W$121*'2-3.設備仕様入力(適合例)'!$W$127*3.6/1000*VLOOKUP('2-3.設備仕様入力(適合例)'!$W$123,計算!$N$16:$P$26,3,FALSE),1),""),""),"")</f>
        <v/>
      </c>
      <c r="AA50" s="41" t="str">
        <f t="shared" si="8"/>
        <v/>
      </c>
      <c r="AB50" s="41" t="str">
        <f>IF('2-3.設備仕様入力(適合例)'!$W$120="ガスヒートポンプ式空調機",IF('2-3.設備仕様入力(適合例)'!$W$122="LPG",IF('2-3.設備仕様入力(適合例)'!$W$128="kg/h",ROUND('2-3.設備仕様入力(適合例)'!$W$121*'2-3.設備仕様入力(適合例)'!$W$126*計算!$C$11/1000*VLOOKUP('2-3.設備仕様入力(適合例)'!$W$123,計算!$N$16:$P$26,2,FALSE),1),""),""),"")</f>
        <v/>
      </c>
      <c r="AC50" s="41" t="str">
        <f>IF('2-3.設備仕様入力(適合例)'!$W$120="ガスヒートポンプ式空調機",IF('2-3.設備仕様入力(適合例)'!$W$122="LPG",IF('2-3.設備仕様入力(適合例)'!$W$128="kg/h",ROUND('2-3.設備仕様入力(適合例)'!$W$121*'2-3.設備仕様入力(適合例)'!$W$127*計算!$C$11/1000*VLOOKUP('2-3.設備仕様入力(適合例)'!$W$123,計算!$N$16:$P$26,3,FALSE),1),""),""),"")</f>
        <v/>
      </c>
      <c r="AD50" s="41" t="str">
        <f t="shared" si="9"/>
        <v/>
      </c>
    </row>
    <row r="51" spans="6:30" ht="19.8" thickBot="1" x14ac:dyDescent="0.6">
      <c r="F51" s="4"/>
      <c r="I51" s="82" t="s">
        <v>196</v>
      </c>
      <c r="J51" s="8" t="str">
        <f>IF(ISERROR('4.エネルギー使用量(適合例)'!$O$80/1000*$C$21*$C$7),"",ROUND('4.エネルギー使用量(適合例)'!$O$80/1000*$C$21*$C$7,2))</f>
        <v/>
      </c>
      <c r="K51" s="7" t="str">
        <f>IF(ISERROR('4.エネルギー使用量(適合例)'!$O$80/1000*$C$21*$E$21*$E$7),"",ROUND('4.エネルギー使用量(適合例)'!$O$80/1000*$C$21*$E$21*$E$7,2))</f>
        <v/>
      </c>
      <c r="P51" s="133"/>
      <c r="Q51" s="133"/>
      <c r="R51" s="133"/>
      <c r="S51" s="133"/>
      <c r="T51" s="133"/>
      <c r="U51" s="133"/>
      <c r="V51" s="133"/>
      <c r="W51" s="133"/>
      <c r="X51" s="133"/>
      <c r="Y51" s="133"/>
      <c r="Z51" s="133"/>
      <c r="AA51" s="133"/>
      <c r="AB51" s="133"/>
      <c r="AC51" s="133"/>
      <c r="AD51" s="133"/>
    </row>
    <row r="52" spans="6:30" x14ac:dyDescent="0.55000000000000004">
      <c r="I52" s="82"/>
      <c r="J52" s="132"/>
      <c r="K52" s="132"/>
    </row>
    <row r="53" spans="6:30" ht="18" x14ac:dyDescent="0.55000000000000004">
      <c r="N53" s="79"/>
      <c r="O53" s="34"/>
      <c r="P53" s="274" t="s">
        <v>173</v>
      </c>
      <c r="Q53" s="275"/>
      <c r="R53" s="275"/>
      <c r="S53" s="275"/>
      <c r="T53" s="275"/>
      <c r="U53" s="275"/>
      <c r="V53" s="275"/>
      <c r="W53" s="275"/>
      <c r="X53" s="275"/>
      <c r="Y53" s="275"/>
      <c r="Z53" s="275"/>
      <c r="AA53" s="275"/>
      <c r="AB53" s="275"/>
      <c r="AC53" s="275"/>
      <c r="AD53" s="276"/>
    </row>
    <row r="54" spans="6:30" ht="18" x14ac:dyDescent="0.55000000000000004">
      <c r="N54" s="79"/>
      <c r="O54" s="34"/>
      <c r="P54" s="277" t="s">
        <v>176</v>
      </c>
      <c r="Q54" s="277"/>
      <c r="R54" s="277"/>
      <c r="S54" s="277" t="s">
        <v>175</v>
      </c>
      <c r="T54" s="277"/>
      <c r="U54" s="277"/>
      <c r="V54" s="277" t="s">
        <v>117</v>
      </c>
      <c r="W54" s="277"/>
      <c r="X54" s="277"/>
      <c r="Y54" s="277" t="s">
        <v>118</v>
      </c>
      <c r="Z54" s="277"/>
      <c r="AA54" s="277"/>
      <c r="AB54" s="277" t="s">
        <v>119</v>
      </c>
      <c r="AC54" s="277"/>
      <c r="AD54" s="277"/>
    </row>
    <row r="55" spans="6:30" ht="18" x14ac:dyDescent="0.55000000000000004">
      <c r="N55" s="79"/>
      <c r="O55" s="34"/>
      <c r="P55" s="44" t="s">
        <v>101</v>
      </c>
      <c r="Q55" s="44" t="s">
        <v>100</v>
      </c>
      <c r="R55" s="44" t="s">
        <v>99</v>
      </c>
      <c r="S55" s="44" t="s">
        <v>101</v>
      </c>
      <c r="T55" s="44" t="s">
        <v>100</v>
      </c>
      <c r="U55" s="44" t="s">
        <v>99</v>
      </c>
      <c r="V55" s="44" t="s">
        <v>101</v>
      </c>
      <c r="W55" s="44" t="s">
        <v>100</v>
      </c>
      <c r="X55" s="44" t="s">
        <v>99</v>
      </c>
      <c r="Y55" s="44" t="s">
        <v>101</v>
      </c>
      <c r="Z55" s="44" t="s">
        <v>100</v>
      </c>
      <c r="AA55" s="44" t="s">
        <v>99</v>
      </c>
      <c r="AB55" s="44" t="s">
        <v>101</v>
      </c>
      <c r="AC55" s="44" t="s">
        <v>100</v>
      </c>
      <c r="AD55" s="44" t="s">
        <v>99</v>
      </c>
    </row>
    <row r="56" spans="6:30" ht="19.2" x14ac:dyDescent="0.55000000000000004">
      <c r="N56" s="80" t="s">
        <v>152</v>
      </c>
      <c r="O56" s="34">
        <f>IF(AND('2-3.設備仕様入力(適合例)'!D$143="電気",'2-3.設備仕様入力(適合例)'!D$149="kW"),1,IF(AND('2-3.設備仕様入力(適合例)'!D$143="都市ガス",'2-3.設備仕様入力(適合例)'!D$149="kW"),2,IF(AND('2-3.設備仕様入力(適合例)'!D$143="都市ガス",'2-3.設備仕様入力(適合例)'!D$149="ｍ3N/h"),3,IF(AND('2-3.設備仕様入力(適合例)'!D$143="LPG",'2-3.設備仕様入力(適合例)'!D$149="kW"),4,IF(AND('2-3.設備仕様入力(適合例)'!D$143="LPG",'2-3.設備仕様入力(適合例)'!D$149="kg/h"),5,"")))))</f>
        <v>1</v>
      </c>
      <c r="P56" s="41">
        <f>IF(OR('2-3.設備仕様入力(適合例)'!$D$141="電気式パッケージ形空調機",'2-3.設備仕様入力(適合例)'!$D$141="ルームエアコン"),ROUND('2-3.設備仕様入力(適合例)'!$D$147*'2-3.設備仕様入力(適合例)'!$D$142*計算!$C$3*VLOOKUP('2-3.設備仕様入力(適合例)'!$D$144,計算!$N$16:$P$26,2,FALSE)/1000,1),"")</f>
        <v>24.2</v>
      </c>
      <c r="Q56" s="41">
        <f>IF(OR('2-3.設備仕様入力(適合例)'!$D$141="電気式パッケージ形空調機",'2-3.設備仕様入力(適合例)'!$D$141="ルームエアコン"),ROUND('2-3.設備仕様入力(適合例)'!$D$148*'2-3.設備仕様入力(適合例)'!$D$142*計算!$C$3*VLOOKUP('2-3.設備仕様入力(適合例)'!$D$144,計算!$N$16:$P$26,3,FALSE)/1000,1),"")</f>
        <v>12.8</v>
      </c>
      <c r="R56" s="41">
        <f t="shared" ref="R56:R65" si="10">IF(AND(P56="",Q56=""),"",P56+Q56)</f>
        <v>37</v>
      </c>
      <c r="S56" s="41" t="str">
        <f>IF('2-3.設備仕様入力(適合例)'!$D$141="ガスヒートポンプ式空調機",IF('2-3.設備仕様入力(適合例)'!$D$143="都市ガス",IF('2-3.設備仕様入力(適合例)'!$D$149="kW",ROUND('2-3.設備仕様入力(適合例)'!$D$142*'2-3.設備仕様入力(適合例)'!$D$147*3.6/1000*VLOOKUP('2-3.設備仕様入力(適合例)'!$D$144,計算!$N$16:$P$26,2,FALSE),1),""),""),"")</f>
        <v/>
      </c>
      <c r="T56" s="41" t="str">
        <f>IF('2-3.設備仕様入力(適合例)'!$D$141="ガスヒートポンプ式空調機",IF('2-3.設備仕様入力(適合例)'!$D$143="都市ガス",IF('2-3.設備仕様入力(適合例)'!$D$149="kW",ROUND('2-3.設備仕様入力(適合例)'!$D$142*'2-3.設備仕様入力(適合例)'!$D$148*3.6/1000*VLOOKUP('2-3.設備仕様入力(適合例)'!$D$144,計算!$N$16:$P$26,3,FALSE),1),""),""),"")</f>
        <v/>
      </c>
      <c r="U56" s="41" t="str">
        <f t="shared" ref="U56:U65" si="11">IF(AND(S56="",T56=""),"",S56+T56)</f>
        <v/>
      </c>
      <c r="V56" s="41" t="str">
        <f>IF('2-3.設備仕様入力(適合例)'!$D$141="ガスヒートポンプ式空調機",IF('2-3.設備仕様入力(適合例)'!$D$149="ｍ3N/h",ROUND('2-3.設備仕様入力(適合例)'!$D$142*'2-3.設備仕様入力(適合例)'!$D$147*計算!$C$10/1000*VLOOKUP('2-3.設備仕様入力(適合例)'!$D$144,計算!$N$16:$P$26,2,FALSE),1),""),"")</f>
        <v/>
      </c>
      <c r="W56" s="41" t="str">
        <f>IF('2-3.設備仕様入力(適合例)'!$D$141="ガスヒートポンプ式空調機",IF('2-3.設備仕様入力(適合例)'!$D$149="ｍ3N/h",ROUND('2-3.設備仕様入力(適合例)'!$D$142*'2-3.設備仕様入力(適合例)'!$D$148*計算!$C$10/1000*VLOOKUP('2-3.設備仕様入力(適合例)'!$D$144,計算!$N$16:$P$26,3,FALSE),1),""),"")</f>
        <v/>
      </c>
      <c r="X56" s="41" t="str">
        <f t="shared" ref="X56:X65" si="12">IF(AND(V56="",W56=""),"",V56+W56)</f>
        <v/>
      </c>
      <c r="Y56" s="41" t="str">
        <f>IF('2-3.設備仕様入力(適合例)'!$D$141="ガスヒートポンプ式空調機",IF('2-3.設備仕様入力(適合例)'!$D$143="LPG",IF('2-3.設備仕様入力(適合例)'!$D$149="kW",ROUND('2-3.設備仕様入力(適合例)'!$D$142*'2-3.設備仕様入力(適合例)'!$D$147*3.6/1000*VLOOKUP('2-3.設備仕様入力(適合例)'!$D$144,計算!$N$16:$P$26,2,FALSE),1),""),""),"")</f>
        <v/>
      </c>
      <c r="Z56" s="41" t="str">
        <f>IF('2-3.設備仕様入力(適合例)'!$D$141="ガスヒートポンプ式空調機",IF('2-3.設備仕様入力(適合例)'!$D$143="LPG",IF('2-3.設備仕様入力(適合例)'!$D$149="kW",ROUND('2-3.設備仕様入力(適合例)'!$D$142*'2-3.設備仕様入力(適合例)'!$D$148*3.6/1000*VLOOKUP('2-3.設備仕様入力(適合例)'!$D$144,計算!$N$16:$P$26,3,FALSE),1),""),""),"")</f>
        <v/>
      </c>
      <c r="AA56" s="41" t="str">
        <f t="shared" ref="AA56:AA65" si="13">IF(AND(Y56="",Z56=""),"",Y56+Z56)</f>
        <v/>
      </c>
      <c r="AB56" s="41" t="str">
        <f>IF('2-3.設備仕様入力(適合例)'!$D$141="ガスヒートポンプ式空調機",IF('2-3.設備仕様入力(適合例)'!$D$143="LPG",IF('2-3.設備仕様入力(適合例)'!$D$149="kg/h",ROUND('2-3.設備仕様入力(適合例)'!$D$142*'2-3.設備仕様入力(適合例)'!$D$147*計算!$C$11/1000*VLOOKUP('2-3.設備仕様入力(適合例)'!$D$144,計算!$N$16:$P$26,2,FALSE),1),""),""),"")</f>
        <v/>
      </c>
      <c r="AC56" s="41" t="str">
        <f>IF('2-3.設備仕様入力(適合例)'!$D$141="ガスヒートポンプ式空調機",IF('2-3.設備仕様入力(適合例)'!$D$143="LPG",IF('2-3.設備仕様入力(適合例)'!$D$149="kg/h",ROUND('2-3.設備仕様入力(適合例)'!$D$142*'2-3.設備仕様入力(適合例)'!$D$148*計算!$C$11/1000*VLOOKUP('2-3.設備仕様入力(適合例)'!$D$144,計算!$N$16:$P$26,3,FALSE),1),""),""),"")</f>
        <v/>
      </c>
      <c r="AD56" s="41" t="str">
        <f t="shared" ref="AD56:AD65" si="14">IF(AND(AB56="",AC56=""),"",AB56+AC56)</f>
        <v/>
      </c>
    </row>
    <row r="57" spans="6:30" ht="19.2" x14ac:dyDescent="0.55000000000000004">
      <c r="N57" s="80" t="s">
        <v>120</v>
      </c>
      <c r="O57" s="34" t="str">
        <f>IF(AND('2-3.設備仕様入力(適合例)'!E$143="電気",'2-3.設備仕様入力(適合例)'!E$149="kW"),1,IF(AND('2-3.設備仕様入力(適合例)'!E$143="都市ガス",'2-3.設備仕様入力(適合例)'!E$149="kW"),2,IF(AND('2-3.設備仕様入力(適合例)'!E$143="都市ガス",'2-3.設備仕様入力(適合例)'!E$149="ｍ3N/h"),3,IF(AND('2-3.設備仕様入力(適合例)'!E$143="LPG",'2-3.設備仕様入力(適合例)'!E$149="kW"),4,IF(AND('2-3.設備仕様入力(適合例)'!E$143="LPG",'2-3.設備仕様入力(適合例)'!E$149="kg/h"),5,"")))))</f>
        <v/>
      </c>
      <c r="P57" s="41" t="str">
        <f>IF(OR('2-3.設備仕様入力(適合例)'!$E$141="電気式パッケージ形空調機",'2-3.設備仕様入力(適合例)'!$E$141="ルームエアコン"),ROUND('2-3.設備仕様入力(適合例)'!$E$147*'2-3.設備仕様入力(適合例)'!$E$142*計算!$C$3*VLOOKUP('2-3.設備仕様入力(適合例)'!$E$144,計算!$N$16:$P$26,2,FALSE)/1000,1),"")</f>
        <v/>
      </c>
      <c r="Q57" s="41" t="str">
        <f>IF(OR('2-3.設備仕様入力(適合例)'!$E$141="電気式パッケージ形空調機",'2-3.設備仕様入力(適合例)'!$E$141="ルームエアコン"),ROUND('2-3.設備仕様入力(適合例)'!$E$148*'2-3.設備仕様入力(適合例)'!$E$142*計算!$C$3*VLOOKUP('2-3.設備仕様入力(適合例)'!$E$144,計算!$N$16:$P$26,3,FALSE)/1000,1),"")</f>
        <v/>
      </c>
      <c r="R57" s="41" t="str">
        <f t="shared" si="10"/>
        <v/>
      </c>
      <c r="S57" s="41" t="str">
        <f>IF('2-3.設備仕様入力(適合例)'!$E$141="ガスヒートポンプ式空調機",IF('2-3.設備仕様入力(適合例)'!$E$143="都市ガス",IF('2-3.設備仕様入力(適合例)'!$E$149="kW",ROUND('2-3.設備仕様入力(適合例)'!$E$142*'2-3.設備仕様入力(適合例)'!$E$147*3.6/1000*VLOOKUP('2-3.設備仕様入力(適合例)'!$E$144,計算!$N$16:$P$26,2,FALSE),1),""),""),"")</f>
        <v/>
      </c>
      <c r="T57" s="41" t="str">
        <f>IF('2-3.設備仕様入力(適合例)'!$E$141="ガスヒートポンプ式空調機",IF('2-3.設備仕様入力(適合例)'!$E$143="都市ガス",IF('2-3.設備仕様入力(適合例)'!$E$149="kW",ROUND('2-3.設備仕様入力(適合例)'!$E$142*'2-3.設備仕様入力(適合例)'!$E$148*3.6/1000*VLOOKUP('2-3.設備仕様入力(適合例)'!$E$144,計算!$N$16:$P$26,3,FALSE),1),""),""),"")</f>
        <v/>
      </c>
      <c r="U57" s="41" t="str">
        <f t="shared" si="11"/>
        <v/>
      </c>
      <c r="V57" s="41" t="str">
        <f>IF('2-3.設備仕様入力(適合例)'!$E$141="ガスヒートポンプ式空調機",IF('2-3.設備仕様入力(適合例)'!$E$149="ｍ3N/h",ROUND('2-3.設備仕様入力(適合例)'!$E$142*'2-3.設備仕様入力(適合例)'!$E$147*計算!$C$10/1000*VLOOKUP('2-3.設備仕様入力(適合例)'!$E$144,計算!$N$16:$P$26,2,FALSE),1),""),"")</f>
        <v/>
      </c>
      <c r="W57" s="41" t="str">
        <f>IF('2-3.設備仕様入力(適合例)'!$E$141="ガスヒートポンプ式空調機",IF('2-3.設備仕様入力(適合例)'!$E$149="ｍ3N/h",ROUND('2-3.設備仕様入力(適合例)'!$E$142*'2-3.設備仕様入力(適合例)'!$E$148*計算!$C$10/1000*VLOOKUP('2-3.設備仕様入力(適合例)'!$E$144,計算!$N$16:$P$26,3,FALSE),1),""),"")</f>
        <v/>
      </c>
      <c r="X57" s="41" t="str">
        <f t="shared" si="12"/>
        <v/>
      </c>
      <c r="Y57" s="41" t="str">
        <f>IF('2-3.設備仕様入力(適合例)'!$E$141="ガスヒートポンプ式空調機",IF('2-3.設備仕様入力(適合例)'!$E$143="LPG",IF('2-3.設備仕様入力(適合例)'!$E$149="kW",ROUND('2-3.設備仕様入力(適合例)'!$E$142*'2-3.設備仕様入力(適合例)'!$E$147*3.6/1000*VLOOKUP('2-3.設備仕様入力(適合例)'!$E$144,計算!$N$16:$P$26,2,FALSE),1),""),""),"")</f>
        <v/>
      </c>
      <c r="Z57" s="41" t="str">
        <f>IF('2-3.設備仕様入力(適合例)'!$E$141="ガスヒートポンプ式空調機",IF('2-3.設備仕様入力(適合例)'!$E$143="LPG",IF('2-3.設備仕様入力(適合例)'!$E$149="kW",ROUND('2-3.設備仕様入力(適合例)'!$E$142*'2-3.設備仕様入力(適合例)'!$E$148*3.6/1000*VLOOKUP('2-3.設備仕様入力(適合例)'!$E$144,計算!$N$16:$P$26,3,FALSE),1),""),""),"")</f>
        <v/>
      </c>
      <c r="AA57" s="41" t="str">
        <f t="shared" si="13"/>
        <v/>
      </c>
      <c r="AB57" s="41" t="str">
        <f>IF('2-3.設備仕様入力(適合例)'!$E$141="ガスヒートポンプ式空調機",IF('2-3.設備仕様入力(適合例)'!$E$143="LPG",IF('2-3.設備仕様入力(適合例)'!$E$149="kg/h",ROUND('2-3.設備仕様入力(適合例)'!$E$142*'2-3.設備仕様入力(適合例)'!$E$147*計算!$C$11/1000*VLOOKUP('2-3.設備仕様入力(適合例)'!$E$144,計算!$N$16:$P$26,2,FALSE),1),""),""),"")</f>
        <v/>
      </c>
      <c r="AC57" s="41" t="str">
        <f>IF('2-3.設備仕様入力(適合例)'!$E$141="ガスヒートポンプ式空調機",IF('2-3.設備仕様入力(適合例)'!$E$143="LPG",IF('2-3.設備仕様入力(適合例)'!$E$149="kg/h",ROUND('2-3.設備仕様入力(適合例)'!$E$142*'2-3.設備仕様入力(適合例)'!$E$148*計算!$C$11/1000*VLOOKUP('2-3.設備仕様入力(適合例)'!$E$144,計算!$N$16:$P$26,3,FALSE),1),""),""),"")</f>
        <v/>
      </c>
      <c r="AD57" s="41" t="str">
        <f t="shared" si="14"/>
        <v/>
      </c>
    </row>
    <row r="58" spans="6:30" ht="19.2" x14ac:dyDescent="0.55000000000000004">
      <c r="N58" s="80" t="s">
        <v>121</v>
      </c>
      <c r="O58" s="34" t="str">
        <f>IF(AND('2-3.設備仕様入力(適合例)'!F$143="電気",'2-3.設備仕様入力(適合例)'!F$149="kW"),1,IF(AND('2-3.設備仕様入力(適合例)'!F$143="都市ガス",'2-3.設備仕様入力(適合例)'!F$149="kW"),2,IF(AND('2-3.設備仕様入力(適合例)'!F$143="都市ガス",'2-3.設備仕様入力(適合例)'!F$149="ｍ3N/h"),3,IF(AND('2-3.設備仕様入力(適合例)'!F$143="LPG",'2-3.設備仕様入力(適合例)'!F$149="kW"),4,IF(AND('2-3.設備仕様入力(適合例)'!F$143="LPG",'2-3.設備仕様入力(適合例)'!F$149="kg/h"),5,"")))))</f>
        <v/>
      </c>
      <c r="P58" s="41" t="str">
        <f>IF(OR('2-3.設備仕様入力(適合例)'!$F$141="電気式パッケージ形空調機",'2-3.設備仕様入力(適合例)'!$F$141="ルームエアコン"),ROUND('2-3.設備仕様入力(適合例)'!$F$147*'2-3.設備仕様入力(適合例)'!$F$142*計算!$C$3*VLOOKUP('2-3.設備仕様入力(適合例)'!$F$144,計算!$N$16:$P$26,2,FALSE)/1000,1),"")</f>
        <v/>
      </c>
      <c r="Q58" s="41" t="str">
        <f>IF(OR('2-3.設備仕様入力(適合例)'!$F$141="電気式パッケージ形空調機",'2-3.設備仕様入力(適合例)'!$F$141="ルームエアコン"),ROUND('2-3.設備仕様入力(適合例)'!$F$148*'2-3.設備仕様入力(適合例)'!$F$142*計算!$C$3*VLOOKUP('2-3.設備仕様入力(適合例)'!$F$144,計算!$N$16:$P$26,3,FALSE)/1000,1),"")</f>
        <v/>
      </c>
      <c r="R58" s="41" t="str">
        <f t="shared" si="10"/>
        <v/>
      </c>
      <c r="S58" s="41" t="str">
        <f>IF('2-3.設備仕様入力(適合例)'!$F$141="ガスヒートポンプ式空調機",IF('2-3.設備仕様入力(適合例)'!$F$143="都市ガス",IF('2-3.設備仕様入力(適合例)'!$F$149="kW",ROUND('2-3.設備仕様入力(適合例)'!$F$142*'2-3.設備仕様入力(適合例)'!$F$147*3.6/1000*VLOOKUP('2-3.設備仕様入力(適合例)'!$F$144,計算!$N$16:$P$26,2,FALSE),1),""),""),"")</f>
        <v/>
      </c>
      <c r="T58" s="41" t="str">
        <f>IF('2-3.設備仕様入力(適合例)'!$F$141="ガスヒートポンプ式空調機",IF('2-3.設備仕様入力(適合例)'!$F$143="都市ガス",IF('2-3.設備仕様入力(適合例)'!$F$149="kW",ROUND('2-3.設備仕様入力(適合例)'!$F$142*'2-3.設備仕様入力(適合例)'!$F$148*3.6/1000*VLOOKUP('2-3.設備仕様入力(適合例)'!$F$144,計算!$N$16:$P$26,3,FALSE),1),""),""),"")</f>
        <v/>
      </c>
      <c r="U58" s="41" t="str">
        <f t="shared" si="11"/>
        <v/>
      </c>
      <c r="V58" s="41" t="str">
        <f>IF('2-3.設備仕様入力(適合例)'!$F$141="ガスヒートポンプ式空調機",IF('2-3.設備仕様入力(適合例)'!$F$149="ｍ3N/h",ROUND('2-3.設備仕様入力(適合例)'!$F$142*'2-3.設備仕様入力(適合例)'!$F$147*計算!$C$10/1000*VLOOKUP('2-3.設備仕様入力(適合例)'!$F$144,計算!$N$16:$P$26,2,FALSE),1),""),"")</f>
        <v/>
      </c>
      <c r="W58" s="41" t="str">
        <f>IF('2-3.設備仕様入力(適合例)'!$F$141="ガスヒートポンプ式空調機",IF('2-3.設備仕様入力(適合例)'!$F$149="ｍ3N/h",ROUND('2-3.設備仕様入力(適合例)'!$F$142*'2-3.設備仕様入力(適合例)'!$F$148*計算!$C$10/1000*VLOOKUP('2-3.設備仕様入力(適合例)'!$F$144,計算!$N$16:$P$26,3,FALSE),1),""),"")</f>
        <v/>
      </c>
      <c r="X58" s="41" t="str">
        <f t="shared" si="12"/>
        <v/>
      </c>
      <c r="Y58" s="41" t="str">
        <f>IF('2-3.設備仕様入力(適合例)'!$F$141="ガスヒートポンプ式空調機",IF('2-3.設備仕様入力(適合例)'!$F$143="LPG",IF('2-3.設備仕様入力(適合例)'!$F$149="kW",ROUND('2-3.設備仕様入力(適合例)'!$F$142*'2-3.設備仕様入力(適合例)'!$F$147*3.6/1000*VLOOKUP('2-3.設備仕様入力(適合例)'!$F$144,計算!$N$16:$P$26,2,FALSE),1),""),""),"")</f>
        <v/>
      </c>
      <c r="Z58" s="41" t="str">
        <f>IF('2-3.設備仕様入力(適合例)'!$F$141="ガスヒートポンプ式空調機",IF('2-3.設備仕様入力(適合例)'!$F$143="LPG",IF('2-3.設備仕様入力(適合例)'!$F$149="kW",ROUND('2-3.設備仕様入力(適合例)'!$F$142*'2-3.設備仕様入力(適合例)'!$F$148*3.6/1000*VLOOKUP('2-3.設備仕様入力(適合例)'!$F$144,計算!$N$16:$P$26,3,FALSE),1),""),""),"")</f>
        <v/>
      </c>
      <c r="AA58" s="41" t="str">
        <f t="shared" si="13"/>
        <v/>
      </c>
      <c r="AB58" s="41" t="str">
        <f>IF('2-3.設備仕様入力(適合例)'!$F$141="ガスヒートポンプ式空調機",IF('2-3.設備仕様入力(適合例)'!$F$143="LPG",IF('2-3.設備仕様入力(適合例)'!$F$149="kg/h",ROUND('2-3.設備仕様入力(適合例)'!$F$142*'2-3.設備仕様入力(適合例)'!$F$147*計算!$C$11/1000*VLOOKUP('2-3.設備仕様入力(適合例)'!$F$144,計算!$N$16:$P$26,2,FALSE),1),""),""),"")</f>
        <v/>
      </c>
      <c r="AC58" s="41" t="str">
        <f>IF('2-3.設備仕様入力(適合例)'!$F$141="ガスヒートポンプ式空調機",IF('2-3.設備仕様入力(適合例)'!$F$143="LPG",IF('2-3.設備仕様入力(適合例)'!$F$149="kg/h",ROUND('2-3.設備仕様入力(適合例)'!$F$142*'2-3.設備仕様入力(適合例)'!$F$148*計算!$C$11/1000*VLOOKUP('2-3.設備仕様入力(適合例)'!$F$144,計算!$N$16:$P$26,3,FALSE),1),""),""),"")</f>
        <v/>
      </c>
      <c r="AD58" s="41" t="str">
        <f t="shared" si="14"/>
        <v/>
      </c>
    </row>
    <row r="59" spans="6:30" ht="19.2" x14ac:dyDescent="0.55000000000000004">
      <c r="N59" s="80" t="s">
        <v>122</v>
      </c>
      <c r="O59" s="34" t="str">
        <f>IF(AND('2-3.設備仕様入力(適合例)'!G$143="電気",'2-3.設備仕様入力(適合例)'!G$149="kW"),1,IF(AND('2-3.設備仕様入力(適合例)'!G$143="都市ガス",'2-3.設備仕様入力(適合例)'!G$149="kW"),2,IF(AND('2-3.設備仕様入力(適合例)'!G$143="都市ガス",'2-3.設備仕様入力(適合例)'!G$149="ｍ3N/h"),3,IF(AND('2-3.設備仕様入力(適合例)'!G$143="LPG",'2-3.設備仕様入力(適合例)'!G$149="kW"),4,IF(AND('2-3.設備仕様入力(適合例)'!G$143="LPG",'2-3.設備仕様入力(適合例)'!G$149="kg/h"),5,"")))))</f>
        <v/>
      </c>
      <c r="P59" s="41" t="str">
        <f>IF(OR('2-3.設備仕様入力(適合例)'!$G$141="電気式パッケージ形空調機",'2-3.設備仕様入力(適合例)'!$G$141="ルームエアコン"),ROUND('2-3.設備仕様入力(適合例)'!$G$147*'2-3.設備仕様入力(適合例)'!$G$142*計算!$C$3*VLOOKUP('2-3.設備仕様入力(適合例)'!$G$144,計算!$N$16:$P$26,2,FALSE)/1000,1),"")</f>
        <v/>
      </c>
      <c r="Q59" s="41" t="str">
        <f>IF(OR('2-3.設備仕様入力(適合例)'!$G$141="電気式パッケージ形空調機",'2-3.設備仕様入力(適合例)'!$G$141="ルームエアコン"),ROUND('2-3.設備仕様入力(適合例)'!$G$148*'2-3.設備仕様入力(適合例)'!$G$142*計算!$C$3*VLOOKUP('2-3.設備仕様入力(適合例)'!$G$144,計算!$N$16:$P$26,3,FALSE)/1000,1),"")</f>
        <v/>
      </c>
      <c r="R59" s="41" t="str">
        <f t="shared" si="10"/>
        <v/>
      </c>
      <c r="S59" s="41" t="str">
        <f>IF('2-3.設備仕様入力(適合例)'!$G$141="ガスヒートポンプ式空調機",IF('2-3.設備仕様入力(適合例)'!$G$143="都市ガス",IF('2-3.設備仕様入力(適合例)'!$G$149="kW",ROUND('2-3.設備仕様入力(適合例)'!$G$142*'2-3.設備仕様入力(適合例)'!$G$147*3.6/1000*VLOOKUP('2-3.設備仕様入力(適合例)'!$G$144,計算!$N$16:$P$26,2,FALSE),1),""),""),"")</f>
        <v/>
      </c>
      <c r="T59" s="41" t="str">
        <f>IF('2-3.設備仕様入力(適合例)'!$G$141="ガスヒートポンプ式空調機",IF('2-3.設備仕様入力(適合例)'!$G$143="都市ガス",IF('2-3.設備仕様入力(適合例)'!$G$149="kW",ROUND('2-3.設備仕様入力(適合例)'!$G$142*'2-3.設備仕様入力(適合例)'!$G$148*3.6/1000*VLOOKUP('2-3.設備仕様入力(適合例)'!$G$144,計算!$N$16:$P$26,3,FALSE),1),""),""),"")</f>
        <v/>
      </c>
      <c r="U59" s="41" t="str">
        <f t="shared" si="11"/>
        <v/>
      </c>
      <c r="V59" s="41" t="str">
        <f>IF('2-3.設備仕様入力(適合例)'!$G$141="ガスヒートポンプ式空調機",IF('2-3.設備仕様入力(適合例)'!$G$149="ｍ3N/h",ROUND('2-3.設備仕様入力(適合例)'!$G$142*'2-3.設備仕様入力(適合例)'!$G$147*計算!$C$10/1000*VLOOKUP('2-3.設備仕様入力(適合例)'!$G$144,計算!$N$16:$P$26,2,FALSE),1),""),"")</f>
        <v/>
      </c>
      <c r="W59" s="41" t="str">
        <f>IF('2-3.設備仕様入力(適合例)'!$G$141="ガスヒートポンプ式空調機",IF('2-3.設備仕様入力(適合例)'!$G$149="ｍ3N/h",ROUND('2-3.設備仕様入力(適合例)'!$G$142*'2-3.設備仕様入力(適合例)'!$G$148*計算!$C$10/1000*VLOOKUP('2-3.設備仕様入力(適合例)'!$G$144,計算!$N$16:$P$26,3,FALSE),1),""),"")</f>
        <v/>
      </c>
      <c r="X59" s="41" t="str">
        <f t="shared" si="12"/>
        <v/>
      </c>
      <c r="Y59" s="41" t="str">
        <f>IF('2-3.設備仕様入力(適合例)'!$G$141="ガスヒートポンプ式空調機",IF('2-3.設備仕様入力(適合例)'!$G$143="LPG",IF('2-3.設備仕様入力(適合例)'!$G$149="kW",ROUND('2-3.設備仕様入力(適合例)'!$G$142*'2-3.設備仕様入力(適合例)'!$G$147*3.6/1000*VLOOKUP('2-3.設備仕様入力(適合例)'!$G$144,計算!$N$16:$P$26,2,FALSE),1),""),""),"")</f>
        <v/>
      </c>
      <c r="Z59" s="41" t="str">
        <f>IF('2-3.設備仕様入力(適合例)'!$G$141="ガスヒートポンプ式空調機",IF('2-3.設備仕様入力(適合例)'!$G$143="LPG",IF('2-3.設備仕様入力(適合例)'!$G$149="kW",ROUND('2-3.設備仕様入力(適合例)'!$G$142*'2-3.設備仕様入力(適合例)'!$G$148*3.6/1000*VLOOKUP('2-3.設備仕様入力(適合例)'!$G$144,計算!$N$16:$P$26,3,FALSE),1),""),""),"")</f>
        <v/>
      </c>
      <c r="AA59" s="41" t="str">
        <f t="shared" si="13"/>
        <v/>
      </c>
      <c r="AB59" s="41" t="str">
        <f>IF('2-3.設備仕様入力(適合例)'!$G$141="ガスヒートポンプ式空調機",IF('2-3.設備仕様入力(適合例)'!$G$143="LPG",IF('2-3.設備仕様入力(適合例)'!$G$149="kg/h",ROUND('2-3.設備仕様入力(適合例)'!$G$142*'2-3.設備仕様入力(適合例)'!$G$147*計算!$C$11/1000*VLOOKUP('2-3.設備仕様入力(適合例)'!$G$144,計算!$N$16:$P$26,2,FALSE),1),""),""),"")</f>
        <v/>
      </c>
      <c r="AC59" s="41" t="str">
        <f>IF('2-3.設備仕様入力(適合例)'!$G$141="ガスヒートポンプ式空調機",IF('2-3.設備仕様入力(適合例)'!$G$143="LPG",IF('2-3.設備仕様入力(適合例)'!$G$149="kg/h",ROUND('2-3.設備仕様入力(適合例)'!$G$142*'2-3.設備仕様入力(適合例)'!$G$148*計算!$C$11/1000*VLOOKUP('2-3.設備仕様入力(適合例)'!$G$144,計算!$N$16:$P$26,3,FALSE),1),""),""),"")</f>
        <v/>
      </c>
      <c r="AD59" s="41" t="str">
        <f t="shared" si="14"/>
        <v/>
      </c>
    </row>
    <row r="60" spans="6:30" ht="19.2" x14ac:dyDescent="0.55000000000000004">
      <c r="N60" s="80" t="s">
        <v>123</v>
      </c>
      <c r="O60" s="34" t="str">
        <f>IF(AND('2-3.設備仕様入力(適合例)'!H$143="電気",'2-3.設備仕様入力(適合例)'!H$149="kW"),1,IF(AND('2-3.設備仕様入力(適合例)'!H$143="都市ガス",'2-3.設備仕様入力(適合例)'!H$149="kW"),2,IF(AND('2-3.設備仕様入力(適合例)'!H$143="都市ガス",'2-3.設備仕様入力(適合例)'!H$149="ｍ3N/h"),3,IF(AND('2-3.設備仕様入力(適合例)'!H$143="LPG",'2-3.設備仕様入力(適合例)'!H$149="kW"),4,IF(AND('2-3.設備仕様入力(適合例)'!H$143="LPG",'2-3.設備仕様入力(適合例)'!H$149="kg/h"),5,"")))))</f>
        <v/>
      </c>
      <c r="P60" s="41" t="str">
        <f>IF(OR('2-3.設備仕様入力(適合例)'!$H$141="電気式パッケージ形空調機",'2-3.設備仕様入力(適合例)'!$H$141="ルームエアコン"),ROUND('2-3.設備仕様入力(適合例)'!$H$147*'2-3.設備仕様入力(適合例)'!$H$142*計算!$C$3*VLOOKUP('2-3.設備仕様入力(適合例)'!$H$144,計算!$N$16:$P$26,2,FALSE)/1000,1),"")</f>
        <v/>
      </c>
      <c r="Q60" s="41" t="str">
        <f>IF(OR('2-3.設備仕様入力(適合例)'!$H$141="電気式パッケージ形空調機",'2-3.設備仕様入力(適合例)'!$H$141="ルームエアコン"),ROUND('2-3.設備仕様入力(適合例)'!$H$148*'2-3.設備仕様入力(適合例)'!$H$142*計算!$C$3*VLOOKUP('2-3.設備仕様入力(適合例)'!$H$144,計算!$N$16:$P$26,3,FALSE)/1000,1),"")</f>
        <v/>
      </c>
      <c r="R60" s="41" t="str">
        <f t="shared" si="10"/>
        <v/>
      </c>
      <c r="S60" s="41" t="str">
        <f>IF('2-3.設備仕様入力(適合例)'!$H$141="ガスヒートポンプ式空調機",IF('2-3.設備仕様入力(適合例)'!$H$143="都市ガス",IF('2-3.設備仕様入力(適合例)'!$H$149="kW",ROUND('2-3.設備仕様入力(適合例)'!$H$142*'2-3.設備仕様入力(適合例)'!$H$147*3.6/1000*VLOOKUP('2-3.設備仕様入力(適合例)'!$H$144,計算!$N$16:$P$26,2,FALSE),1),""),""),"")</f>
        <v/>
      </c>
      <c r="T60" s="41" t="str">
        <f>IF('2-3.設備仕様入力(適合例)'!$H$141="ガスヒートポンプ式空調機",IF('2-3.設備仕様入力(適合例)'!$H$143="都市ガス",IF('2-3.設備仕様入力(適合例)'!$H$149="kW",ROUND('2-3.設備仕様入力(適合例)'!$H$142*'2-3.設備仕様入力(適合例)'!$H$148*3.6/1000*VLOOKUP('2-3.設備仕様入力(適合例)'!$H$144,計算!$N$16:$P$26,3,FALSE),1),""),""),"")</f>
        <v/>
      </c>
      <c r="U60" s="41" t="str">
        <f t="shared" si="11"/>
        <v/>
      </c>
      <c r="V60" s="41" t="str">
        <f>IF('2-3.設備仕様入力(適合例)'!$H$141="ガスヒートポンプ式空調機",IF('2-3.設備仕様入力(適合例)'!$H$149="ｍ3N/h",ROUND('2-3.設備仕様入力(適合例)'!$H$142*'2-3.設備仕様入力(適合例)'!$H$147*計算!$C$10/1000*VLOOKUP('2-3.設備仕様入力(適合例)'!$H$144,計算!$N$16:$P$26,2,FALSE),1),""),"")</f>
        <v/>
      </c>
      <c r="W60" s="41" t="str">
        <f>IF('2-3.設備仕様入力(適合例)'!$H$141="ガスヒートポンプ式空調機",IF('2-3.設備仕様入力(適合例)'!$H$149="ｍ3N/h",ROUND('2-3.設備仕様入力(適合例)'!$H$142*'2-3.設備仕様入力(適合例)'!$H$148*計算!$C$10/1000*VLOOKUP('2-3.設備仕様入力(適合例)'!$H$144,計算!$N$16:$P$26,3,FALSE),1),""),"")</f>
        <v/>
      </c>
      <c r="X60" s="41" t="str">
        <f t="shared" si="12"/>
        <v/>
      </c>
      <c r="Y60" s="41" t="str">
        <f>IF('2-3.設備仕様入力(適合例)'!$H$141="ガスヒートポンプ式空調機",IF('2-3.設備仕様入力(適合例)'!$H$143="LPG",IF('2-3.設備仕様入力(適合例)'!$H$149="kW",ROUND('2-3.設備仕様入力(適合例)'!$H$142*'2-3.設備仕様入力(適合例)'!$H$147*3.6/1000*VLOOKUP('2-3.設備仕様入力(適合例)'!$H$144,計算!$N$16:$P$26,2,FALSE),1),""),""),"")</f>
        <v/>
      </c>
      <c r="Z60" s="41" t="str">
        <f>IF('2-3.設備仕様入力(適合例)'!$H$141="ガスヒートポンプ式空調機",IF('2-3.設備仕様入力(適合例)'!$H$143="LPG",IF('2-3.設備仕様入力(適合例)'!$H$149="kW",ROUND('2-3.設備仕様入力(適合例)'!$H$142*'2-3.設備仕様入力(適合例)'!$H$148*3.6/1000*VLOOKUP('2-3.設備仕様入力(適合例)'!$H$144,計算!$N$16:$P$26,3,FALSE),1),""),""),"")</f>
        <v/>
      </c>
      <c r="AA60" s="41" t="str">
        <f t="shared" si="13"/>
        <v/>
      </c>
      <c r="AB60" s="41" t="str">
        <f>IF('2-3.設備仕様入力(適合例)'!$H$141="ガスヒートポンプ式空調機",IF('2-3.設備仕様入力(適合例)'!$H$143="LPG",IF('2-3.設備仕様入力(適合例)'!$H$149="kg/h",ROUND('2-3.設備仕様入力(適合例)'!$H$142*'2-3.設備仕様入力(適合例)'!$H$147*計算!$C$11/1000*VLOOKUP('2-3.設備仕様入力(適合例)'!$H$144,計算!$N$16:$P$26,2,FALSE),1),""),""),"")</f>
        <v/>
      </c>
      <c r="AC60" s="41" t="str">
        <f>IF('2-3.設備仕様入力(適合例)'!$H$141="ガスヒートポンプ式空調機",IF('2-3.設備仕様入力(適合例)'!$H$143="LPG",IF('2-3.設備仕様入力(適合例)'!$H$149="kg/h",ROUND('2-3.設備仕様入力(適合例)'!$H$142*'2-3.設備仕様入力(適合例)'!$H$148*計算!$C$11/1000*VLOOKUP('2-3.設備仕様入力(適合例)'!$H$144,計算!$N$16:$P$26,3,FALSE),1),""),""),"")</f>
        <v/>
      </c>
      <c r="AD60" s="41" t="str">
        <f t="shared" si="14"/>
        <v/>
      </c>
    </row>
    <row r="61" spans="6:30" ht="19.2" x14ac:dyDescent="0.55000000000000004">
      <c r="N61" s="80" t="s">
        <v>124</v>
      </c>
      <c r="O61" s="34" t="str">
        <f>IF(AND('2-3.設備仕様入力(適合例)'!I$143="電気",'2-3.設備仕様入力(適合例)'!I$149="kW"),1,IF(AND('2-3.設備仕様入力(適合例)'!I$143="都市ガス",'2-3.設備仕様入力(適合例)'!I$149="kW"),2,IF(AND('2-3.設備仕様入力(適合例)'!I$143="都市ガス",'2-3.設備仕様入力(適合例)'!I$149="ｍ3N/h"),3,IF(AND('2-3.設備仕様入力(適合例)'!I$143="LPG",'2-3.設備仕様入力(適合例)'!I$149="kW"),4,IF(AND('2-3.設備仕様入力(適合例)'!I$143="LPG",'2-3.設備仕様入力(適合例)'!I$149="kg/h"),5,"")))))</f>
        <v/>
      </c>
      <c r="P61" s="41" t="str">
        <f>IF(OR('2-3.設備仕様入力(適合例)'!$I$141="電気式パッケージ形空調機",'2-3.設備仕様入力(適合例)'!$I$141="ルームエアコン"),ROUND('2-3.設備仕様入力(適合例)'!$I$147*'2-3.設備仕様入力(適合例)'!$I$142*計算!$C$3*VLOOKUP('2-3.設備仕様入力(適合例)'!$I$144,計算!$N$16:$P$26,2,FALSE)/1000,1),"")</f>
        <v/>
      </c>
      <c r="Q61" s="41" t="str">
        <f>IF(OR('2-3.設備仕様入力(適合例)'!$I$141="電気式パッケージ形空調機",'2-3.設備仕様入力(適合例)'!$I$141="ルームエアコン"),ROUND('2-3.設備仕様入力(適合例)'!$I$148*'2-3.設備仕様入力(適合例)'!$I$142*計算!$C$3*VLOOKUP('2-3.設備仕様入力(適合例)'!$I$144,計算!$N$16:$P$26,3,FALSE)/1000,1),"")</f>
        <v/>
      </c>
      <c r="R61" s="41" t="str">
        <f t="shared" si="10"/>
        <v/>
      </c>
      <c r="S61" s="41" t="str">
        <f>IF('2-3.設備仕様入力(適合例)'!$I$141="ガスヒートポンプ式空調機",IF('2-3.設備仕様入力(適合例)'!$I$143="都市ガス",IF('2-3.設備仕様入力(適合例)'!$I$149="kW",ROUND('2-3.設備仕様入力(適合例)'!$I$142*'2-3.設備仕様入力(適合例)'!$I$147*3.6/1000*VLOOKUP('2-3.設備仕様入力(適合例)'!$I$144,計算!$N$16:$P$26,2,FALSE),1),""),""),"")</f>
        <v/>
      </c>
      <c r="T61" s="41" t="str">
        <f>IF('2-3.設備仕様入力(適合例)'!$I$141="ガスヒートポンプ式空調機",IF('2-3.設備仕様入力(適合例)'!$I$143="都市ガス",IF('2-3.設備仕様入力(適合例)'!$I$149="kW",ROUND('2-3.設備仕様入力(適合例)'!$I$142*'2-3.設備仕様入力(適合例)'!$I$148*3.6/1000*VLOOKUP('2-3.設備仕様入力(適合例)'!$I$144,計算!$N$16:$P$26,3,FALSE),1),""),""),"")</f>
        <v/>
      </c>
      <c r="U61" s="41" t="str">
        <f t="shared" si="11"/>
        <v/>
      </c>
      <c r="V61" s="41" t="str">
        <f>IF('2-3.設備仕様入力(適合例)'!$I$141="ガスヒートポンプ式空調機",IF('2-3.設備仕様入力(適合例)'!$I$149="ｍ3N/h",ROUND('2-3.設備仕様入力(適合例)'!$I$142*'2-3.設備仕様入力(適合例)'!$I$147*計算!$C$10/1000*VLOOKUP('2-3.設備仕様入力(適合例)'!$I$144,計算!$N$16:$P$26,2,FALSE),1),""),"")</f>
        <v/>
      </c>
      <c r="W61" s="41" t="str">
        <f>IF('2-3.設備仕様入力(適合例)'!$I$141="ガスヒートポンプ式空調機",IF('2-3.設備仕様入力(適合例)'!$I$149="ｍ3N/h",ROUND('2-3.設備仕様入力(適合例)'!$I$142*'2-3.設備仕様入力(適合例)'!$I$148*計算!$C$10/1000*VLOOKUP('2-3.設備仕様入力(適合例)'!$I$144,計算!$N$16:$P$26,3,FALSE),1),""),"")</f>
        <v/>
      </c>
      <c r="X61" s="41" t="str">
        <f t="shared" si="12"/>
        <v/>
      </c>
      <c r="Y61" s="41" t="str">
        <f>IF('2-3.設備仕様入力(適合例)'!$I$141="ガスヒートポンプ式空調機",IF('2-3.設備仕様入力(適合例)'!$I$143="LPG",IF('2-3.設備仕様入力(適合例)'!$I$149="kW",ROUND('2-3.設備仕様入力(適合例)'!$I$142*'2-3.設備仕様入力(適合例)'!$I$147*3.6/1000*VLOOKUP('2-3.設備仕様入力(適合例)'!$I$144,計算!$N$16:$P$26,2,FALSE),1),""),""),"")</f>
        <v/>
      </c>
      <c r="Z61" s="41" t="str">
        <f>IF('2-3.設備仕様入力(適合例)'!$I$141="ガスヒートポンプ式空調機",IF('2-3.設備仕様入力(適合例)'!$I$143="LPG",IF('2-3.設備仕様入力(適合例)'!$I$149="kW",ROUND('2-3.設備仕様入力(適合例)'!$I$142*'2-3.設備仕様入力(適合例)'!$I$148*3.6/1000*VLOOKUP('2-3.設備仕様入力(適合例)'!$I$144,計算!$N$16:$P$26,3,FALSE),1),""),""),"")</f>
        <v/>
      </c>
      <c r="AA61" s="41" t="str">
        <f t="shared" si="13"/>
        <v/>
      </c>
      <c r="AB61" s="41" t="str">
        <f>IF('2-3.設備仕様入力(適合例)'!$I$141="ガスヒートポンプ式空調機",IF('2-3.設備仕様入力(適合例)'!$I$143="LPG",IF('2-3.設備仕様入力(適合例)'!$I$149="kg/h",ROUND('2-3.設備仕様入力(適合例)'!$I$142*'2-3.設備仕様入力(適合例)'!$I$147*計算!$C$11/1000*VLOOKUP('2-3.設備仕様入力(適合例)'!$I$144,計算!$N$16:$P$26,2,FALSE),1),""),""),"")</f>
        <v/>
      </c>
      <c r="AC61" s="41" t="str">
        <f>IF('2-3.設備仕様入力(適合例)'!$I$141="ガスヒートポンプ式空調機",IF('2-3.設備仕様入力(適合例)'!$I$143="LPG",IF('2-3.設備仕様入力(適合例)'!$I$149="kg/h",ROUND('2-3.設備仕様入力(適合例)'!$I$142*'2-3.設備仕様入力(適合例)'!$I$148*計算!$C$11/1000*VLOOKUP('2-3.設備仕様入力(適合例)'!$I$144,計算!$N$16:$P$26,3,FALSE),1),""),""),"")</f>
        <v/>
      </c>
      <c r="AD61" s="41" t="str">
        <f t="shared" si="14"/>
        <v/>
      </c>
    </row>
    <row r="62" spans="6:30" ht="19.2" x14ac:dyDescent="0.55000000000000004">
      <c r="N62" s="80" t="s">
        <v>125</v>
      </c>
      <c r="O62" s="34" t="str">
        <f>IF(AND('2-3.設備仕様入力(適合例)'!J$143="電気",'2-3.設備仕様入力(適合例)'!J$149="kW"),1,IF(AND('2-3.設備仕様入力(適合例)'!J$143="都市ガス",'2-3.設備仕様入力(適合例)'!J$149="kW"),2,IF(AND('2-3.設備仕様入力(適合例)'!J$143="都市ガス",'2-3.設備仕様入力(適合例)'!J$149="ｍ3N/h"),3,IF(AND('2-3.設備仕様入力(適合例)'!J$143="LPG",'2-3.設備仕様入力(適合例)'!J$149="kW"),4,IF(AND('2-3.設備仕様入力(適合例)'!J$143="LPG",'2-3.設備仕様入力(適合例)'!J$149="kg/h"),5,"")))))</f>
        <v/>
      </c>
      <c r="P62" s="41" t="str">
        <f>IF(OR('2-3.設備仕様入力(適合例)'!$J$141="電気式パッケージ形空調機",'2-3.設備仕様入力(適合例)'!$J$141="ルームエアコン"),ROUND('2-3.設備仕様入力(適合例)'!$J$147*'2-3.設備仕様入力(適合例)'!$J$142*計算!$C$3*VLOOKUP('2-3.設備仕様入力(適合例)'!$J$144,計算!$N$16:$P$26,2,FALSE)/1000,1),"")</f>
        <v/>
      </c>
      <c r="Q62" s="41" t="str">
        <f>IF(OR('2-3.設備仕様入力(適合例)'!$J$141="電気式パッケージ形空調機",'2-3.設備仕様入力(適合例)'!$J$141="ルームエアコン"),ROUND('2-3.設備仕様入力(適合例)'!$J$148*'2-3.設備仕様入力(適合例)'!$J$142*計算!$C$3*VLOOKUP('2-3.設備仕様入力(適合例)'!$J$144,計算!$N$16:$P$26,3,FALSE)/1000,1),"")</f>
        <v/>
      </c>
      <c r="R62" s="41" t="str">
        <f t="shared" si="10"/>
        <v/>
      </c>
      <c r="S62" s="41" t="str">
        <f>IF('2-3.設備仕様入力(適合例)'!$J$141="ガスヒートポンプ式空調機",IF('2-3.設備仕様入力(適合例)'!$J$143="都市ガス",IF('2-3.設備仕様入力(適合例)'!$J$149="kW",ROUND('2-3.設備仕様入力(適合例)'!$J$142*'2-3.設備仕様入力(適合例)'!$J$147*3.6/1000*VLOOKUP('2-3.設備仕様入力(適合例)'!$J$144,計算!$N$16:$P$26,2,FALSE),1),""),""),"")</f>
        <v/>
      </c>
      <c r="T62" s="41" t="str">
        <f>IF('2-3.設備仕様入力(適合例)'!$J$141="ガスヒートポンプ式空調機",IF('2-3.設備仕様入力(適合例)'!$J$143="都市ガス",IF('2-3.設備仕様入力(適合例)'!$J$149="kW",ROUND('2-3.設備仕様入力(適合例)'!$J$142*'2-3.設備仕様入力(適合例)'!$J$148*3.6/1000*VLOOKUP('2-3.設備仕様入力(適合例)'!$J$144,計算!$N$16:$P$26,3,FALSE),1),""),""),"")</f>
        <v/>
      </c>
      <c r="U62" s="41" t="str">
        <f t="shared" si="11"/>
        <v/>
      </c>
      <c r="V62" s="41" t="str">
        <f>IF('2-3.設備仕様入力(適合例)'!$J$141="ガスヒートポンプ式空調機",IF('2-3.設備仕様入力(適合例)'!$J$149="ｍ3N/h",ROUND('2-3.設備仕様入力(適合例)'!$J$142*'2-3.設備仕様入力(適合例)'!$J$147*計算!$C$10/1000*VLOOKUP('2-3.設備仕様入力(適合例)'!$J$144,計算!$N$16:$P$26,2,FALSE),1),""),"")</f>
        <v/>
      </c>
      <c r="W62" s="41" t="str">
        <f>IF('2-3.設備仕様入力(適合例)'!$J$141="ガスヒートポンプ式空調機",IF('2-3.設備仕様入力(適合例)'!$J$149="ｍ3N/h",ROUND('2-3.設備仕様入力(適合例)'!$J$142*'2-3.設備仕様入力(適合例)'!$J$148*計算!$C$10/1000*VLOOKUP('2-3.設備仕様入力(適合例)'!$J$144,計算!$N$16:$P$26,3,FALSE),1),""),"")</f>
        <v/>
      </c>
      <c r="X62" s="41" t="str">
        <f t="shared" si="12"/>
        <v/>
      </c>
      <c r="Y62" s="41" t="str">
        <f>IF('2-3.設備仕様入力(適合例)'!$J$141="ガスヒートポンプ式空調機",IF('2-3.設備仕様入力(適合例)'!$J$143="LPG",IF('2-3.設備仕様入力(適合例)'!$J$149="kW",ROUND('2-3.設備仕様入力(適合例)'!$J$142*'2-3.設備仕様入力(適合例)'!$J$147*3.6/1000*VLOOKUP('2-3.設備仕様入力(適合例)'!$J$144,計算!$N$16:$P$26,2,FALSE),1),""),""),"")</f>
        <v/>
      </c>
      <c r="Z62" s="41" t="str">
        <f>IF('2-3.設備仕様入力(適合例)'!$J$141="ガスヒートポンプ式空調機",IF('2-3.設備仕様入力(適合例)'!$J$143="LPG",IF('2-3.設備仕様入力(適合例)'!$J$149="kW",ROUND('2-3.設備仕様入力(適合例)'!$J$142*'2-3.設備仕様入力(適合例)'!$J$148*3.6/1000*VLOOKUP('2-3.設備仕様入力(適合例)'!$J$144,計算!$N$16:$P$26,3,FALSE),1),""),""),"")</f>
        <v/>
      </c>
      <c r="AA62" s="41" t="str">
        <f t="shared" si="13"/>
        <v/>
      </c>
      <c r="AB62" s="41" t="str">
        <f>IF('2-3.設備仕様入力(適合例)'!$J$141="ガスヒートポンプ式空調機",IF('2-3.設備仕様入力(適合例)'!$J$143="LPG",IF('2-3.設備仕様入力(適合例)'!$J$149="kg/h",ROUND('2-3.設備仕様入力(適合例)'!$J$142*'2-3.設備仕様入力(適合例)'!$J$147*計算!$C$11/1000*VLOOKUP('2-3.設備仕様入力(適合例)'!$J$144,計算!$N$16:$P$26,2,FALSE),1),""),""),"")</f>
        <v/>
      </c>
      <c r="AC62" s="41" t="str">
        <f>IF('2-3.設備仕様入力(適合例)'!$J$141="ガスヒートポンプ式空調機",IF('2-3.設備仕様入力(適合例)'!$J$143="LPG",IF('2-3.設備仕様入力(適合例)'!$J$149="kg/h",ROUND('2-3.設備仕様入力(適合例)'!$J$142*'2-3.設備仕様入力(適合例)'!$J$148*計算!$C$11/1000*VLOOKUP('2-3.設備仕様入力(適合例)'!$J$144,計算!$N$16:$P$26,3,FALSE),1),""),""),"")</f>
        <v/>
      </c>
      <c r="AD62" s="41" t="str">
        <f t="shared" si="14"/>
        <v/>
      </c>
    </row>
    <row r="63" spans="6:30" ht="19.2" x14ac:dyDescent="0.55000000000000004">
      <c r="N63" s="80" t="s">
        <v>126</v>
      </c>
      <c r="O63" s="34" t="str">
        <f>IF(AND('2-3.設備仕様入力(適合例)'!K$143="電気",'2-3.設備仕様入力(適合例)'!K$149="kW"),1,IF(AND('2-3.設備仕様入力(適合例)'!K$143="都市ガス",'2-3.設備仕様入力(適合例)'!K$149="kW"),2,IF(AND('2-3.設備仕様入力(適合例)'!K$143="都市ガス",'2-3.設備仕様入力(適合例)'!K$149="ｍ3N/h"),3,IF(AND('2-3.設備仕様入力(適合例)'!K$143="LPG",'2-3.設備仕様入力(適合例)'!K$149="kW"),4,IF(AND('2-3.設備仕様入力(適合例)'!K$143="LPG",'2-3.設備仕様入力(適合例)'!K$149="kg/h"),5,"")))))</f>
        <v/>
      </c>
      <c r="P63" s="41" t="str">
        <f>IF(OR('2-3.設備仕様入力(適合例)'!$K$141="電気式パッケージ形空調機",'2-3.設備仕様入力(適合例)'!$K$141="ルームエアコン"),ROUND('2-3.設備仕様入力(適合例)'!$K$147*'2-3.設備仕様入力(適合例)'!$K$142*計算!$C$3*VLOOKUP('2-3.設備仕様入力(適合例)'!$K$144,計算!$N$16:$P$26,2,FALSE)/1000,1),"")</f>
        <v/>
      </c>
      <c r="Q63" s="41" t="str">
        <f>IF(OR('2-3.設備仕様入力(適合例)'!$K$141="電気式パッケージ形空調機",'2-3.設備仕様入力(適合例)'!$K$141="ルームエアコン"),ROUND('2-3.設備仕様入力(適合例)'!$K$148*'2-3.設備仕様入力(適合例)'!$K$142*計算!$C$3*VLOOKUP('2-3.設備仕様入力(適合例)'!$K$144,計算!$N$16:$P$26,3,FALSE)/1000,1),"")</f>
        <v/>
      </c>
      <c r="R63" s="41" t="str">
        <f t="shared" si="10"/>
        <v/>
      </c>
      <c r="S63" s="41" t="str">
        <f>IF('2-3.設備仕様入力(適合例)'!$K$141="ガスヒートポンプ式空調機",IF('2-3.設備仕様入力(適合例)'!$K$143="都市ガス",IF('2-3.設備仕様入力(適合例)'!$K$149="kW",ROUND('2-3.設備仕様入力(適合例)'!$K$142*'2-3.設備仕様入力(適合例)'!$K$147*3.6/1000*VLOOKUP('2-3.設備仕様入力(適合例)'!$K$144,計算!$N$16:$P$26,2,FALSE),1),""),""),"")</f>
        <v/>
      </c>
      <c r="T63" s="41" t="str">
        <f>IF('2-3.設備仕様入力(適合例)'!$K$141="ガスヒートポンプ式空調機",IF('2-3.設備仕様入力(適合例)'!$K$143="都市ガス",IF('2-3.設備仕様入力(適合例)'!$K$149="kW",ROUND('2-3.設備仕様入力(適合例)'!$K$142*'2-3.設備仕様入力(適合例)'!$K$148*3.6/1000*VLOOKUP('2-3.設備仕様入力(適合例)'!$K$144,計算!$N$16:$P$26,3,FALSE),1),""),""),"")</f>
        <v/>
      </c>
      <c r="U63" s="41" t="str">
        <f t="shared" si="11"/>
        <v/>
      </c>
      <c r="V63" s="41" t="str">
        <f>IF('2-3.設備仕様入力(適合例)'!$K$141="ガスヒートポンプ式空調機",IF('2-3.設備仕様入力(適合例)'!$K$149="ｍ3N/h",ROUND('2-3.設備仕様入力(適合例)'!$K$142*'2-3.設備仕様入力(適合例)'!$K$147*計算!$C$10/1000*VLOOKUP('2-3.設備仕様入力(適合例)'!$K$144,計算!$N$16:$P$26,2,FALSE),1),""),"")</f>
        <v/>
      </c>
      <c r="W63" s="41" t="str">
        <f>IF('2-3.設備仕様入力(適合例)'!$K$141="ガスヒートポンプ式空調機",IF('2-3.設備仕様入力(適合例)'!$K$149="ｍ3N/h",ROUND('2-3.設備仕様入力(適合例)'!$K$142*'2-3.設備仕様入力(適合例)'!$K$148*計算!$C$10/1000*VLOOKUP('2-3.設備仕様入力(適合例)'!$K$144,計算!$N$16:$P$26,3,FALSE),1),""),"")</f>
        <v/>
      </c>
      <c r="X63" s="41" t="str">
        <f t="shared" si="12"/>
        <v/>
      </c>
      <c r="Y63" s="41" t="str">
        <f>IF('2-3.設備仕様入力(適合例)'!$K$141="ガスヒートポンプ式空調機",IF('2-3.設備仕様入力(適合例)'!$K$143="LPG",IF('2-3.設備仕様入力(適合例)'!$K$149="kW",ROUND('2-3.設備仕様入力(適合例)'!$K$142*'2-3.設備仕様入力(適合例)'!$K$147*3.6/1000*VLOOKUP('2-3.設備仕様入力(適合例)'!$K$144,計算!$N$16:$P$26,2,FALSE),1),""),""),"")</f>
        <v/>
      </c>
      <c r="Z63" s="41" t="str">
        <f>IF('2-3.設備仕様入力(適合例)'!$K$141="ガスヒートポンプ式空調機",IF('2-3.設備仕様入力(適合例)'!$K$143="LPG",IF('2-3.設備仕様入力(適合例)'!$K$149="kW",ROUND('2-3.設備仕様入力(適合例)'!$K$142*'2-3.設備仕様入力(適合例)'!$K$148*3.6/1000*VLOOKUP('2-3.設備仕様入力(適合例)'!$K$144,計算!$N$16:$P$26,3,FALSE),1),""),""),"")</f>
        <v/>
      </c>
      <c r="AA63" s="41" t="str">
        <f t="shared" si="13"/>
        <v/>
      </c>
      <c r="AB63" s="41" t="str">
        <f>IF('2-3.設備仕様入力(適合例)'!$K$141="ガスヒートポンプ式空調機",IF('2-3.設備仕様入力(適合例)'!$K$143="LPG",IF('2-3.設備仕様入力(適合例)'!$K$149="kg/h",ROUND('2-3.設備仕様入力(適合例)'!$K$142*'2-3.設備仕様入力(適合例)'!$K$147*計算!$C$11/1000*VLOOKUP('2-3.設備仕様入力(適合例)'!$K$144,計算!$N$16:$P$26,2,FALSE),1),""),""),"")</f>
        <v/>
      </c>
      <c r="AC63" s="41" t="str">
        <f>IF('2-3.設備仕様入力(適合例)'!$K$141="ガスヒートポンプ式空調機",IF('2-3.設備仕様入力(適合例)'!$K$143="LPG",IF('2-3.設備仕様入力(適合例)'!$K$149="kg/h",ROUND('2-3.設備仕様入力(適合例)'!$K$142*'2-3.設備仕様入力(適合例)'!$K$148*計算!$C$11/1000*VLOOKUP('2-3.設備仕様入力(適合例)'!$K$144,計算!$N$16:$P$26,3,FALSE),1),""),""),"")</f>
        <v/>
      </c>
      <c r="AD63" s="41" t="str">
        <f t="shared" si="14"/>
        <v/>
      </c>
    </row>
    <row r="64" spans="6:30" ht="19.2" x14ac:dyDescent="0.55000000000000004">
      <c r="N64" s="80" t="s">
        <v>127</v>
      </c>
      <c r="O64" s="34" t="str">
        <f>IF(AND('2-3.設備仕様入力(適合例)'!L$143="電気",'2-3.設備仕様入力(適合例)'!L$149="kW"),1,IF(AND('2-3.設備仕様入力(適合例)'!L$143="都市ガス",'2-3.設備仕様入力(適合例)'!L$149="kW"),2,IF(AND('2-3.設備仕様入力(適合例)'!L$143="都市ガス",'2-3.設備仕様入力(適合例)'!L$149="ｍ3N/h"),3,IF(AND('2-3.設備仕様入力(適合例)'!L$143="LPG",'2-3.設備仕様入力(適合例)'!L$149="kW"),4,IF(AND('2-3.設備仕様入力(適合例)'!L$143="LPG",'2-3.設備仕様入力(適合例)'!L$149="kg/h"),5,"")))))</f>
        <v/>
      </c>
      <c r="P64" s="41" t="str">
        <f>IF(OR('2-3.設備仕様入力(適合例)'!$L$141="電気式パッケージ形空調機",'2-3.設備仕様入力(適合例)'!$L$141="ルームエアコン"),ROUND('2-3.設備仕様入力(適合例)'!$L$147*'2-3.設備仕様入力(適合例)'!$L$142*計算!$C$3*VLOOKUP('2-3.設備仕様入力(適合例)'!$L$144,計算!$N$16:$P$26,2,FALSE)/1000,1),"")</f>
        <v/>
      </c>
      <c r="Q64" s="41" t="str">
        <f>IF(OR('2-3.設備仕様入力(適合例)'!$L$141="電気式パッケージ形空調機",'2-3.設備仕様入力(適合例)'!$L$141="ルームエアコン"),ROUND('2-3.設備仕様入力(適合例)'!$L$148*'2-3.設備仕様入力(適合例)'!$L$142*計算!$C$3*VLOOKUP('2-3.設備仕様入力(適合例)'!$L$144,計算!$N$16:$P$26,3,FALSE)/1000,1),"")</f>
        <v/>
      </c>
      <c r="R64" s="41" t="str">
        <f t="shared" si="10"/>
        <v/>
      </c>
      <c r="S64" s="41" t="str">
        <f>IF('2-3.設備仕様入力(適合例)'!$L$141="ガスヒートポンプ式空調機",IF('2-3.設備仕様入力(適合例)'!$L$143="都市ガス",IF('2-3.設備仕様入力(適合例)'!$L$149="kW",ROUND('2-3.設備仕様入力(適合例)'!$L$142*'2-3.設備仕様入力(適合例)'!$L$147*3.6/1000*VLOOKUP('2-3.設備仕様入力(適合例)'!$L$144,計算!$N$16:$P$26,2,FALSE),1),""),""),"")</f>
        <v/>
      </c>
      <c r="T64" s="41" t="str">
        <f>IF('2-3.設備仕様入力(適合例)'!$L$141="ガスヒートポンプ式空調機",IF('2-3.設備仕様入力(適合例)'!$L$143="都市ガス",IF('2-3.設備仕様入力(適合例)'!$L$149="kW",ROUND('2-3.設備仕様入力(適合例)'!$L$142*'2-3.設備仕様入力(適合例)'!$L$148*3.6/1000*VLOOKUP('2-3.設備仕様入力(適合例)'!$L$144,計算!$N$16:$P$26,3,FALSE),1),""),""),"")</f>
        <v/>
      </c>
      <c r="U64" s="41" t="str">
        <f t="shared" si="11"/>
        <v/>
      </c>
      <c r="V64" s="41" t="str">
        <f>IF('2-3.設備仕様入力(適合例)'!$L$141="ガスヒートポンプ式空調機",IF('2-3.設備仕様入力(適合例)'!$L$149="ｍ3N/h",ROUND('2-3.設備仕様入力(適合例)'!$L$142*'2-3.設備仕様入力(適合例)'!$L$147*計算!$C$10/1000*VLOOKUP('2-3.設備仕様入力(適合例)'!$L$144,計算!$N$16:$P$26,2,FALSE),1),""),"")</f>
        <v/>
      </c>
      <c r="W64" s="41" t="str">
        <f>IF('2-3.設備仕様入力(適合例)'!$L$141="ガスヒートポンプ式空調機",IF('2-3.設備仕様入力(適合例)'!$L$149="ｍ3N/h",ROUND('2-3.設備仕様入力(適合例)'!$L$142*'2-3.設備仕様入力(適合例)'!$L$148*計算!$C$10/1000*VLOOKUP('2-3.設備仕様入力(適合例)'!$L$144,計算!$N$16:$P$26,3,FALSE),1),""),"")</f>
        <v/>
      </c>
      <c r="X64" s="41" t="str">
        <f t="shared" si="12"/>
        <v/>
      </c>
      <c r="Y64" s="41" t="str">
        <f>IF('2-3.設備仕様入力(適合例)'!$L$141="ガスヒートポンプ式空調機",IF('2-3.設備仕様入力(適合例)'!$L$143="LPG",IF('2-3.設備仕様入力(適合例)'!$L$149="kW",ROUND('2-3.設備仕様入力(適合例)'!$L$142*'2-3.設備仕様入力(適合例)'!$L$147*3.6/1000*VLOOKUP('2-3.設備仕様入力(適合例)'!$L$144,計算!$N$16:$P$26,2,FALSE),1),""),""),"")</f>
        <v/>
      </c>
      <c r="Z64" s="41" t="str">
        <f>IF('2-3.設備仕様入力(適合例)'!$L$141="ガスヒートポンプ式空調機",IF('2-3.設備仕様入力(適合例)'!$L$143="LPG",IF('2-3.設備仕様入力(適合例)'!$L$149="kW",ROUND('2-3.設備仕様入力(適合例)'!$L$142*'2-3.設備仕様入力(適合例)'!$L$148*3.6/1000*VLOOKUP('2-3.設備仕様入力(適合例)'!$L$144,計算!$N$16:$P$26,3,FALSE),1),""),""),"")</f>
        <v/>
      </c>
      <c r="AA64" s="41" t="str">
        <f t="shared" si="13"/>
        <v/>
      </c>
      <c r="AB64" s="41" t="str">
        <f>IF('2-3.設備仕様入力(適合例)'!$L$141="ガスヒートポンプ式空調機",IF('2-3.設備仕様入力(適合例)'!$L$143="LPG",IF('2-3.設備仕様入力(適合例)'!$L$149="kg/h",ROUND('2-3.設備仕様入力(適合例)'!$L$142*'2-3.設備仕様入力(適合例)'!$L$147*計算!$C$11/1000*VLOOKUP('2-3.設備仕様入力(適合例)'!$L$144,計算!$N$16:$P$26,2,FALSE),1),""),""),"")</f>
        <v/>
      </c>
      <c r="AC64" s="41" t="str">
        <f>IF('2-3.設備仕様入力(適合例)'!$L$141="ガスヒートポンプ式空調機",IF('2-3.設備仕様入力(適合例)'!$L$143="LPG",IF('2-3.設備仕様入力(適合例)'!$L$149="kg/h",ROUND('2-3.設備仕様入力(適合例)'!$L$142*'2-3.設備仕様入力(適合例)'!$L$148*計算!$C$11/1000*VLOOKUP('2-3.設備仕様入力(適合例)'!$L$144,計算!$N$16:$P$26,3,FALSE),1),""),""),"")</f>
        <v/>
      </c>
      <c r="AD64" s="41" t="str">
        <f t="shared" si="14"/>
        <v/>
      </c>
    </row>
    <row r="65" spans="14:30" ht="19.2" x14ac:dyDescent="0.55000000000000004">
      <c r="N65" s="80" t="s">
        <v>128</v>
      </c>
      <c r="O65" s="34" t="str">
        <f>IF(AND('2-3.設備仕様入力(適合例)'!M$143="電気",'2-3.設備仕様入力(適合例)'!M$149="kW"),1,IF(AND('2-3.設備仕様入力(適合例)'!M$143="都市ガス",'2-3.設備仕様入力(適合例)'!M$149="kW"),2,IF(AND('2-3.設備仕様入力(適合例)'!M$143="都市ガス",'2-3.設備仕様入力(適合例)'!M$149="ｍ3N/h"),3,IF(AND('2-3.設備仕様入力(適合例)'!M$143="LPG",'2-3.設備仕様入力(適合例)'!M$149="kW"),4,IF(AND('2-3.設備仕様入力(適合例)'!M$143="LPG",'2-3.設備仕様入力(適合例)'!M$149="kg/h"),5,"")))))</f>
        <v/>
      </c>
      <c r="P65" s="41" t="str">
        <f>IF(OR('2-3.設備仕様入力(適合例)'!$M$141="電気式パッケージ形空調機",'2-3.設備仕様入力(適合例)'!$M$141="ルームエアコン"),ROUND('2-3.設備仕様入力(適合例)'!$M$147*'2-3.設備仕様入力(適合例)'!$M$142*計算!$C$3*VLOOKUP('2-3.設備仕様入力(適合例)'!$M$144,計算!$N$16:$P$26,2,FALSE)/1000,1),"")</f>
        <v/>
      </c>
      <c r="Q65" s="41" t="str">
        <f>IF(OR('2-3.設備仕様入力(適合例)'!$M$141="電気式パッケージ形空調機",'2-3.設備仕様入力(適合例)'!$M$141="ルームエアコン"),ROUND('2-3.設備仕様入力(適合例)'!$M$148*'2-3.設備仕様入力(適合例)'!$M$142*計算!$C$3*VLOOKUP('2-3.設備仕様入力(適合例)'!$M$144,計算!$N$16:$P$26,3,FALSE)/1000,1),"")</f>
        <v/>
      </c>
      <c r="R65" s="41" t="str">
        <f t="shared" si="10"/>
        <v/>
      </c>
      <c r="S65" s="41" t="str">
        <f>IF('2-3.設備仕様入力(適合例)'!$M$141="ガスヒートポンプ式空調機",IF('2-3.設備仕様入力(適合例)'!$M$143="都市ガス",IF('2-3.設備仕様入力(適合例)'!$M$149="kW",ROUND('2-3.設備仕様入力(適合例)'!$M$142*'2-3.設備仕様入力(適合例)'!$M$147*3.6/1000*VLOOKUP('2-3.設備仕様入力(適合例)'!$M$144,計算!$N$16:$P$26,2,FALSE),1),""),""),"")</f>
        <v/>
      </c>
      <c r="T65" s="41" t="str">
        <f>IF('2-3.設備仕様入力(適合例)'!$M$141="ガスヒートポンプ式空調機",IF('2-3.設備仕様入力(適合例)'!$M$143="都市ガス",IF('2-3.設備仕様入力(適合例)'!$M$149="kW",ROUND('2-3.設備仕様入力(適合例)'!$M$142*'2-3.設備仕様入力(適合例)'!$M$148*3.6/1000*VLOOKUP('2-3.設備仕様入力(適合例)'!$M$144,計算!$N$16:$P$26,3,FALSE),1),""),""),"")</f>
        <v/>
      </c>
      <c r="U65" s="41" t="str">
        <f t="shared" si="11"/>
        <v/>
      </c>
      <c r="V65" s="41" t="str">
        <f>IF('2-3.設備仕様入力(適合例)'!$M$141="ガスヒートポンプ式空調機",IF('2-3.設備仕様入力(適合例)'!$M$149="ｍ3N/h",ROUND('2-3.設備仕様入力(適合例)'!$M$142*'2-3.設備仕様入力(適合例)'!$M$147*計算!$C$10/1000*VLOOKUP('2-3.設備仕様入力(適合例)'!$M$144,計算!$N$16:$P$26,2,FALSE),1),""),"")</f>
        <v/>
      </c>
      <c r="W65" s="41" t="str">
        <f>IF('2-3.設備仕様入力(適合例)'!$M$141="ガスヒートポンプ式空調機",IF('2-3.設備仕様入力(適合例)'!$M$149="ｍ3N/h",ROUND('2-3.設備仕様入力(適合例)'!$M$142*'2-3.設備仕様入力(適合例)'!$M$148*計算!$C$10/1000*VLOOKUP('2-3.設備仕様入力(適合例)'!$M$144,計算!$N$16:$P$26,3,FALSE),1),""),"")</f>
        <v/>
      </c>
      <c r="X65" s="41" t="str">
        <f t="shared" si="12"/>
        <v/>
      </c>
      <c r="Y65" s="41" t="str">
        <f>IF('2-3.設備仕様入力(適合例)'!$M$141="ガスヒートポンプ式空調機",IF('2-3.設備仕様入力(適合例)'!$M$143="LPG",IF('2-3.設備仕様入力(適合例)'!$M$149="kW",ROUND('2-3.設備仕様入力(適合例)'!$M$142*'2-3.設備仕様入力(適合例)'!$M$147*3.6/1000*VLOOKUP('2-3.設備仕様入力(適合例)'!$M$144,計算!$N$16:$P$26,2,FALSE),1),""),""),"")</f>
        <v/>
      </c>
      <c r="Z65" s="41" t="str">
        <f>IF('2-3.設備仕様入力(適合例)'!$M$141="ガスヒートポンプ式空調機",IF('2-3.設備仕様入力(適合例)'!$M$143="LPG",IF('2-3.設備仕様入力(適合例)'!$M$149="kW",ROUND('2-3.設備仕様入力(適合例)'!$M$142*'2-3.設備仕様入力(適合例)'!$M$148*3.6/1000*VLOOKUP('2-3.設備仕様入力(適合例)'!$M$144,計算!$N$16:$P$26,3,FALSE),1),""),""),"")</f>
        <v/>
      </c>
      <c r="AA65" s="41" t="str">
        <f t="shared" si="13"/>
        <v/>
      </c>
      <c r="AB65" s="41" t="str">
        <f>IF('2-3.設備仕様入力(適合例)'!$M$141="ガスヒートポンプ式空調機",IF('2-3.設備仕様入力(適合例)'!$M$143="LPG",IF('2-3.設備仕様入力(適合例)'!$M$149="kg/h",ROUND('2-3.設備仕様入力(適合例)'!$M$142*'2-3.設備仕様入力(適合例)'!$M$147*計算!$C$11/1000*VLOOKUP('2-3.設備仕様入力(適合例)'!$M$144,計算!$N$16:$P$26,2,FALSE),1),""),""),"")</f>
        <v/>
      </c>
      <c r="AC65" s="41" t="str">
        <f>IF('2-3.設備仕様入力(適合例)'!$M$141="ガスヒートポンプ式空調機",IF('2-3.設備仕様入力(適合例)'!$M$143="LPG",IF('2-3.設備仕様入力(適合例)'!$M$149="kg/h",ROUND('2-3.設備仕様入力(適合例)'!$M$142*'2-3.設備仕様入力(適合例)'!$M$148*計算!$C$11/1000*VLOOKUP('2-3.設備仕様入力(適合例)'!$M$144,計算!$N$16:$P$26,3,FALSE),1),""),""),"")</f>
        <v/>
      </c>
      <c r="AD65" s="41" t="str">
        <f t="shared" si="14"/>
        <v/>
      </c>
    </row>
    <row r="66" spans="14:30" ht="19.2" x14ac:dyDescent="0.55000000000000004">
      <c r="N66" s="80" t="s">
        <v>371</v>
      </c>
      <c r="O66" s="34" t="str">
        <f>IF(AND('2-3.設備仕様入力(適合例)'!N$143="電気",'2-3.設備仕様入力(適合例)'!N$149="kW"),1,IF(AND('2-3.設備仕様入力(適合例)'!N$143="都市ガス",'2-3.設備仕様入力(適合例)'!N$149="kW"),2,IF(AND('2-3.設備仕様入力(適合例)'!N$143="都市ガス",'2-3.設備仕様入力(適合例)'!N$149="ｍ3N/h"),3,IF(AND('2-3.設備仕様入力(適合例)'!N$143="LPG",'2-3.設備仕様入力(適合例)'!N$149="kW"),4,IF(AND('2-3.設備仕様入力(適合例)'!N$143="LPG",'2-3.設備仕様入力(適合例)'!N$149="kg/h"),5,"")))))</f>
        <v/>
      </c>
      <c r="P66" s="41" t="str">
        <f>IF(OR('2-3.設備仕様入力(適合例)'!$N$141="電気式パッケージ形空調機",'2-3.設備仕様入力(適合例)'!$N$141="ルームエアコン"),ROUND('2-3.設備仕様入力(適合例)'!$N$147*'2-3.設備仕様入力(適合例)'!$N$142*計算!$C$3*VLOOKUP('2-3.設備仕様入力(適合例)'!$N$144,計算!$N$16:$P$26,2,FALSE)/1000,1),"")</f>
        <v/>
      </c>
      <c r="Q66" s="41" t="str">
        <f>IF(OR('2-3.設備仕様入力(適合例)'!$N$141="電気式パッケージ形空調機",'2-3.設備仕様入力(適合例)'!$N$141="ルームエアコン"),ROUND('2-3.設備仕様入力(適合例)'!$N$148*'2-3.設備仕様入力(適合例)'!$N$142*計算!$C$3*VLOOKUP('2-3.設備仕様入力(適合例)'!$N$144,計算!$N$16:$P$26,3,FALSE)/1000,1),"")</f>
        <v/>
      </c>
      <c r="R66" s="41" t="str">
        <f t="shared" ref="R66:R75" si="15">IF(AND(P66="",Q66=""),"",P66+Q66)</f>
        <v/>
      </c>
      <c r="S66" s="41" t="str">
        <f>IF('2-3.設備仕様入力(適合例)'!$N$141="ガスヒートポンプ式空調機",IF('2-3.設備仕様入力(適合例)'!$N$143="都市ガス",IF('2-3.設備仕様入力(適合例)'!$N$149="kW",ROUND('2-3.設備仕様入力(適合例)'!$N$142*'2-3.設備仕様入力(適合例)'!$N$147*3.6/1000*VLOOKUP('2-3.設備仕様入力(適合例)'!$N$144,計算!$N$16:$P$26,2,FALSE),1),""),""),"")</f>
        <v/>
      </c>
      <c r="T66" s="41" t="str">
        <f>IF('2-3.設備仕様入力(適合例)'!$N$141="ガスヒートポンプ式空調機",IF('2-3.設備仕様入力(適合例)'!$N$143="都市ガス",IF('2-3.設備仕様入力(適合例)'!$N$149="kW",ROUND('2-3.設備仕様入力(適合例)'!$N$142*'2-3.設備仕様入力(適合例)'!$N$148*3.6/1000*VLOOKUP('2-3.設備仕様入力(適合例)'!$N$144,計算!$N$16:$P$26,3,FALSE),1),""),""),"")</f>
        <v/>
      </c>
      <c r="U66" s="41" t="str">
        <f t="shared" ref="U66:U75" si="16">IF(AND(S66="",T66=""),"",S66+T66)</f>
        <v/>
      </c>
      <c r="V66" s="41" t="str">
        <f>IF('2-3.設備仕様入力(適合例)'!$N$141="ガスヒートポンプ式空調機",IF('2-3.設備仕様入力(適合例)'!$N$149="ｍ3N/h",ROUND('2-3.設備仕様入力(適合例)'!$N$142*'2-3.設備仕様入力(適合例)'!$N$147*計算!$C$10/1000*VLOOKUP('2-3.設備仕様入力(適合例)'!$N$144,計算!$N$16:$P$26,2,FALSE),1),""),"")</f>
        <v/>
      </c>
      <c r="W66" s="41" t="str">
        <f>IF('2-3.設備仕様入力(適合例)'!$N$141="ガスヒートポンプ式空調機",IF('2-3.設備仕様入力(適合例)'!$N$149="ｍ3N/h",ROUND('2-3.設備仕様入力(適合例)'!$N$142*'2-3.設備仕様入力(適合例)'!$N$148*計算!$C$10/1000*VLOOKUP('2-3.設備仕様入力(適合例)'!$N$144,計算!$N$16:$P$26,3,FALSE),1),""),"")</f>
        <v/>
      </c>
      <c r="X66" s="41" t="str">
        <f t="shared" ref="X66:X75" si="17">IF(AND(V66="",W66=""),"",V66+W66)</f>
        <v/>
      </c>
      <c r="Y66" s="41" t="str">
        <f>IF('2-3.設備仕様入力(適合例)'!$N$141="ガスヒートポンプ式空調機",IF('2-3.設備仕様入力(適合例)'!$N$143="LPG",IF('2-3.設備仕様入力(適合例)'!$N$149="kW",ROUND('2-3.設備仕様入力(適合例)'!$N$142*'2-3.設備仕様入力(適合例)'!$N$147*3.6/1000*VLOOKUP('2-3.設備仕様入力(適合例)'!$N$144,計算!$N$16:$P$26,2,FALSE),1),""),""),"")</f>
        <v/>
      </c>
      <c r="Z66" s="41" t="str">
        <f>IF('2-3.設備仕様入力(適合例)'!$N$141="ガスヒートポンプ式空調機",IF('2-3.設備仕様入力(適合例)'!$N$143="LPG",IF('2-3.設備仕様入力(適合例)'!$N$149="kW",ROUND('2-3.設備仕様入力(適合例)'!$N$142*'2-3.設備仕様入力(適合例)'!$N$148*3.6/1000*VLOOKUP('2-3.設備仕様入力(適合例)'!$N$144,計算!$N$16:$P$26,3,FALSE),1),""),""),"")</f>
        <v/>
      </c>
      <c r="AA66" s="41" t="str">
        <f t="shared" ref="AA66:AA75" si="18">IF(AND(Y66="",Z66=""),"",Y66+Z66)</f>
        <v/>
      </c>
      <c r="AB66" s="41" t="str">
        <f>IF('2-3.設備仕様入力(適合例)'!$N$141="ガスヒートポンプ式空調機",IF('2-3.設備仕様入力(適合例)'!$N$143="LPG",IF('2-3.設備仕様入力(適合例)'!$N$149="kg/h",ROUND('2-3.設備仕様入力(適合例)'!$N$142*'2-3.設備仕様入力(適合例)'!$N$147*計算!$C$11/1000*VLOOKUP('2-3.設備仕様入力(適合例)'!$N$144,計算!$N$16:$P$26,2,FALSE),1),""),""),"")</f>
        <v/>
      </c>
      <c r="AC66" s="41" t="str">
        <f>IF('2-3.設備仕様入力(適合例)'!$N$141="ガスヒートポンプ式空調機",IF('2-3.設備仕様入力(適合例)'!$N$143="LPG",IF('2-3.設備仕様入力(適合例)'!$N$149="kg/h",ROUND('2-3.設備仕様入力(適合例)'!$N$142*'2-3.設備仕様入力(適合例)'!$N$148*計算!$C$11/1000*VLOOKUP('2-3.設備仕様入力(適合例)'!$N$144,計算!$N$16:$P$26,3,FALSE),1),""),""),"")</f>
        <v/>
      </c>
      <c r="AD66" s="41" t="str">
        <f t="shared" ref="AD66:AD75" si="19">IF(AND(AB66="",AC66=""),"",AB66+AC66)</f>
        <v/>
      </c>
    </row>
    <row r="67" spans="14:30" ht="19.2" x14ac:dyDescent="0.55000000000000004">
      <c r="N67" s="80" t="s">
        <v>372</v>
      </c>
      <c r="O67" s="34" t="str">
        <f>IF(AND('2-3.設備仕様入力(適合例)'!O$143="電気",'2-3.設備仕様入力(適合例)'!O$149="kW"),1,IF(AND('2-3.設備仕様入力(適合例)'!O$143="都市ガス",'2-3.設備仕様入力(適合例)'!O$149="kW"),2,IF(AND('2-3.設備仕様入力(適合例)'!O$143="都市ガス",'2-3.設備仕様入力(適合例)'!O$149="ｍ3N/h"),3,IF(AND('2-3.設備仕様入力(適合例)'!O$143="LPG",'2-3.設備仕様入力(適合例)'!O$149="kW"),4,IF(AND('2-3.設備仕様入力(適合例)'!O$143="LPG",'2-3.設備仕様入力(適合例)'!O$149="kg/h"),5,"")))))</f>
        <v/>
      </c>
      <c r="P67" s="41" t="str">
        <f>IF(OR('2-3.設備仕様入力(適合例)'!$O$141="電気式パッケージ形空調機",'2-3.設備仕様入力(適合例)'!$O$141="ルームエアコン"),ROUND('2-3.設備仕様入力(適合例)'!$O$147*'2-3.設備仕様入力(適合例)'!$O$142*計算!$C$3*VLOOKUP('2-3.設備仕様入力(適合例)'!$O$144,計算!$N$16:$P$26,2,FALSE)/1000,1),"")</f>
        <v/>
      </c>
      <c r="Q67" s="41" t="str">
        <f>IF(OR('2-3.設備仕様入力(適合例)'!$O$141="電気式パッケージ形空調機",'2-3.設備仕様入力(適合例)'!$O$141="ルームエアコン"),ROUND('2-3.設備仕様入力(適合例)'!$O$148*'2-3.設備仕様入力(適合例)'!$O$142*計算!$C$3*VLOOKUP('2-3.設備仕様入力(適合例)'!$O$144,計算!$N$16:$P$26,3,FALSE)/1000,1),"")</f>
        <v/>
      </c>
      <c r="R67" s="41" t="str">
        <f t="shared" si="15"/>
        <v/>
      </c>
      <c r="S67" s="41" t="str">
        <f>IF('2-3.設備仕様入力(適合例)'!$O$141="ガスヒートポンプ式空調機",IF('2-3.設備仕様入力(適合例)'!$O$143="都市ガス",IF('2-3.設備仕様入力(適合例)'!$O$149="kW",ROUND('2-3.設備仕様入力(適合例)'!$O$142*'2-3.設備仕様入力(適合例)'!$O$147*3.6/1000*VLOOKUP('2-3.設備仕様入力(適合例)'!$O$144,計算!$N$16:$P$26,2,FALSE),1),""),""),"")</f>
        <v/>
      </c>
      <c r="T67" s="41" t="str">
        <f>IF('2-3.設備仕様入力(適合例)'!$O$141="ガスヒートポンプ式空調機",IF('2-3.設備仕様入力(適合例)'!$O$143="都市ガス",IF('2-3.設備仕様入力(適合例)'!$O$149="kW",ROUND('2-3.設備仕様入力(適合例)'!$O$142*'2-3.設備仕様入力(適合例)'!$O$148*3.6/1000*VLOOKUP('2-3.設備仕様入力(適合例)'!$O$144,計算!$N$16:$P$26,3,FALSE),1),""),""),"")</f>
        <v/>
      </c>
      <c r="U67" s="41" t="str">
        <f t="shared" si="16"/>
        <v/>
      </c>
      <c r="V67" s="41" t="str">
        <f>IF('2-3.設備仕様入力(適合例)'!$O$141="ガスヒートポンプ式空調機",IF('2-3.設備仕様入力(適合例)'!$O$149="ｍ3N/h",ROUND('2-3.設備仕様入力(適合例)'!$O$142*'2-3.設備仕様入力(適合例)'!$O$147*計算!$C$10/1000*VLOOKUP('2-3.設備仕様入力(適合例)'!$O$144,計算!$N$16:$P$26,2,FALSE),1),""),"")</f>
        <v/>
      </c>
      <c r="W67" s="41" t="str">
        <f>IF('2-3.設備仕様入力(適合例)'!$O$141="ガスヒートポンプ式空調機",IF('2-3.設備仕様入力(適合例)'!$O$149="ｍ3N/h",ROUND('2-3.設備仕様入力(適合例)'!$O$142*'2-3.設備仕様入力(適合例)'!$O$148*計算!$C$10/1000*VLOOKUP('2-3.設備仕様入力(適合例)'!$O$144,計算!$N$16:$P$26,3,FALSE),1),""),"")</f>
        <v/>
      </c>
      <c r="X67" s="41" t="str">
        <f t="shared" si="17"/>
        <v/>
      </c>
      <c r="Y67" s="41" t="str">
        <f>IF('2-3.設備仕様入力(適合例)'!$O$141="ガスヒートポンプ式空調機",IF('2-3.設備仕様入力(適合例)'!$O$143="LPG",IF('2-3.設備仕様入力(適合例)'!$O$149="kW",ROUND('2-3.設備仕様入力(適合例)'!$O$142*'2-3.設備仕様入力(適合例)'!$O$147*3.6/1000*VLOOKUP('2-3.設備仕様入力(適合例)'!$O$144,計算!$N$16:$P$26,2,FALSE),1),""),""),"")</f>
        <v/>
      </c>
      <c r="Z67" s="41" t="str">
        <f>IF('2-3.設備仕様入力(適合例)'!$O$141="ガスヒートポンプ式空調機",IF('2-3.設備仕様入力(適合例)'!$O$143="LPG",IF('2-3.設備仕様入力(適合例)'!$O$149="kW",ROUND('2-3.設備仕様入力(適合例)'!$O$142*'2-3.設備仕様入力(適合例)'!$O$148*3.6/1000*VLOOKUP('2-3.設備仕様入力(適合例)'!$O$144,計算!$N$16:$P$26,3,FALSE),1),""),""),"")</f>
        <v/>
      </c>
      <c r="AA67" s="41" t="str">
        <f t="shared" si="18"/>
        <v/>
      </c>
      <c r="AB67" s="41" t="str">
        <f>IF('2-3.設備仕様入力(適合例)'!$O$141="ガスヒートポンプ式空調機",IF('2-3.設備仕様入力(適合例)'!$O$143="LPG",IF('2-3.設備仕様入力(適合例)'!$O$149="kg/h",ROUND('2-3.設備仕様入力(適合例)'!$O$142*'2-3.設備仕様入力(適合例)'!$O$147*計算!$C$11/1000*VLOOKUP('2-3.設備仕様入力(適合例)'!$O$144,計算!$N$16:$P$26,2,FALSE),1),""),""),"")</f>
        <v/>
      </c>
      <c r="AC67" s="41" t="str">
        <f>IF('2-3.設備仕様入力(適合例)'!$O$141="ガスヒートポンプ式空調機",IF('2-3.設備仕様入力(適合例)'!$O$143="LPG",IF('2-3.設備仕様入力(適合例)'!$O$149="kg/h",ROUND('2-3.設備仕様入力(適合例)'!$O$142*'2-3.設備仕様入力(適合例)'!$O$148*計算!$C$11/1000*VLOOKUP('2-3.設備仕様入力(適合例)'!$O$144,計算!$N$16:$P$26,3,FALSE),1),""),""),"")</f>
        <v/>
      </c>
      <c r="AD67" s="41" t="str">
        <f t="shared" si="19"/>
        <v/>
      </c>
    </row>
    <row r="68" spans="14:30" ht="19.2" x14ac:dyDescent="0.55000000000000004">
      <c r="N68" s="80" t="s">
        <v>373</v>
      </c>
      <c r="O68" s="34" t="str">
        <f>IF(AND('2-3.設備仕様入力(適合例)'!P$143="電気",'2-3.設備仕様入力(適合例)'!P$149="kW"),1,IF(AND('2-3.設備仕様入力(適合例)'!P$143="都市ガス",'2-3.設備仕様入力(適合例)'!P$149="kW"),2,IF(AND('2-3.設備仕様入力(適合例)'!P$143="都市ガス",'2-3.設備仕様入力(適合例)'!P$149="ｍ3N/h"),3,IF(AND('2-3.設備仕様入力(適合例)'!P$143="LPG",'2-3.設備仕様入力(適合例)'!P$149="kW"),4,IF(AND('2-3.設備仕様入力(適合例)'!P$143="LPG",'2-3.設備仕様入力(適合例)'!P$149="kg/h"),5,"")))))</f>
        <v/>
      </c>
      <c r="P68" s="41" t="str">
        <f>IF(OR('2-3.設備仕様入力(適合例)'!$P$141="電気式パッケージ形空調機",'2-3.設備仕様入力(適合例)'!$P$141="ルームエアコン"),ROUND('2-3.設備仕様入力(適合例)'!$P$147*'2-3.設備仕様入力(適合例)'!$P$142*計算!$C$3*VLOOKUP('2-3.設備仕様入力(適合例)'!$P$144,計算!$N$16:$P$26,2,FALSE)/1000,1),"")</f>
        <v/>
      </c>
      <c r="Q68" s="41" t="str">
        <f>IF(OR('2-3.設備仕様入力(適合例)'!$P$141="電気式パッケージ形空調機",'2-3.設備仕様入力(適合例)'!$P$141="ルームエアコン"),ROUND('2-3.設備仕様入力(適合例)'!$P$148*'2-3.設備仕様入力(適合例)'!$P$142*計算!$C$3*VLOOKUP('2-3.設備仕様入力(適合例)'!$P$144,計算!$N$16:$P$26,3,FALSE)/1000,1),"")</f>
        <v/>
      </c>
      <c r="R68" s="41" t="str">
        <f t="shared" si="15"/>
        <v/>
      </c>
      <c r="S68" s="41" t="str">
        <f>IF('2-3.設備仕様入力(適合例)'!$P$141="ガスヒートポンプ式空調機",IF('2-3.設備仕様入力(適合例)'!$P$143="都市ガス",IF('2-3.設備仕様入力(適合例)'!$P$149="kW",ROUND('2-3.設備仕様入力(適合例)'!$P$142*'2-3.設備仕様入力(適合例)'!$P$147*3.6/1000*VLOOKUP('2-3.設備仕様入力(適合例)'!$P$144,計算!$N$16:$P$26,2,FALSE),1),""),""),"")</f>
        <v/>
      </c>
      <c r="T68" s="41" t="str">
        <f>IF('2-3.設備仕様入力(適合例)'!$P$141="ガスヒートポンプ式空調機",IF('2-3.設備仕様入力(適合例)'!$P$143="都市ガス",IF('2-3.設備仕様入力(適合例)'!$P$149="kW",ROUND('2-3.設備仕様入力(適合例)'!$P$142*'2-3.設備仕様入力(適合例)'!$P$148*3.6/1000*VLOOKUP('2-3.設備仕様入力(適合例)'!$P$144,計算!$N$16:$P$26,3,FALSE),1),""),""),"")</f>
        <v/>
      </c>
      <c r="U68" s="41" t="str">
        <f t="shared" si="16"/>
        <v/>
      </c>
      <c r="V68" s="41" t="str">
        <f>IF('2-3.設備仕様入力(適合例)'!$P$141="ガスヒートポンプ式空調機",IF('2-3.設備仕様入力(適合例)'!$P$149="ｍ3N/h",ROUND('2-3.設備仕様入力(適合例)'!$P$142*'2-3.設備仕様入力(適合例)'!$P$147*計算!$C$10/1000*VLOOKUP('2-3.設備仕様入力(適合例)'!$P$144,計算!$N$16:$P$26,2,FALSE),1),""),"")</f>
        <v/>
      </c>
      <c r="W68" s="41" t="str">
        <f>IF('2-3.設備仕様入力(適合例)'!$P$141="ガスヒートポンプ式空調機",IF('2-3.設備仕様入力(適合例)'!$P$149="ｍ3N/h",ROUND('2-3.設備仕様入力(適合例)'!$P$142*'2-3.設備仕様入力(適合例)'!$P$148*計算!$C$10/1000*VLOOKUP('2-3.設備仕様入力(適合例)'!$P$144,計算!$N$16:$P$26,3,FALSE),1),""),"")</f>
        <v/>
      </c>
      <c r="X68" s="41" t="str">
        <f t="shared" si="17"/>
        <v/>
      </c>
      <c r="Y68" s="41" t="str">
        <f>IF('2-3.設備仕様入力(適合例)'!$P$141="ガスヒートポンプ式空調機",IF('2-3.設備仕様入力(適合例)'!$P$143="LPG",IF('2-3.設備仕様入力(適合例)'!$P$149="kW",ROUND('2-3.設備仕様入力(適合例)'!$P$142*'2-3.設備仕様入力(適合例)'!$P$147*3.6/1000*VLOOKUP('2-3.設備仕様入力(適合例)'!$P$144,計算!$N$16:$P$26,2,FALSE),1),""),""),"")</f>
        <v/>
      </c>
      <c r="Z68" s="41" t="str">
        <f>IF('2-3.設備仕様入力(適合例)'!$P$141="ガスヒートポンプ式空調機",IF('2-3.設備仕様入力(適合例)'!$P$143="LPG",IF('2-3.設備仕様入力(適合例)'!$P$149="kW",ROUND('2-3.設備仕様入力(適合例)'!$P$142*'2-3.設備仕様入力(適合例)'!$P$148*3.6/1000*VLOOKUP('2-3.設備仕様入力(適合例)'!$P$144,計算!$N$16:$P$26,3,FALSE),1),""),""),"")</f>
        <v/>
      </c>
      <c r="AA68" s="41" t="str">
        <f t="shared" si="18"/>
        <v/>
      </c>
      <c r="AB68" s="41" t="str">
        <f>IF('2-3.設備仕様入力(適合例)'!$P$141="ガスヒートポンプ式空調機",IF('2-3.設備仕様入力(適合例)'!$P$143="LPG",IF('2-3.設備仕様入力(適合例)'!$P$149="kg/h",ROUND('2-3.設備仕様入力(適合例)'!$P$142*'2-3.設備仕様入力(適合例)'!$P$147*計算!$C$11/1000*VLOOKUP('2-3.設備仕様入力(適合例)'!$P$144,計算!$N$16:$P$26,2,FALSE),1),""),""),"")</f>
        <v/>
      </c>
      <c r="AC68" s="41" t="str">
        <f>IF('2-3.設備仕様入力(適合例)'!$P$141="ガスヒートポンプ式空調機",IF('2-3.設備仕様入力(適合例)'!$P$143="LPG",IF('2-3.設備仕様入力(適合例)'!$P$149="kg/h",ROUND('2-3.設備仕様入力(適合例)'!$P$142*'2-3.設備仕様入力(適合例)'!$P$148*計算!$C$11/1000*VLOOKUP('2-3.設備仕様入力(適合例)'!$P$144,計算!$N$16:$P$26,3,FALSE),1),""),""),"")</f>
        <v/>
      </c>
      <c r="AD68" s="41" t="str">
        <f t="shared" si="19"/>
        <v/>
      </c>
    </row>
    <row r="69" spans="14:30" ht="19.2" x14ac:dyDescent="0.55000000000000004">
      <c r="N69" s="80" t="s">
        <v>374</v>
      </c>
      <c r="O69" s="34" t="str">
        <f>IF(AND('2-3.設備仕様入力(適合例)'!Q$143="電気",'2-3.設備仕様入力(適合例)'!Q$149="kW"),1,IF(AND('2-3.設備仕様入力(適合例)'!Q$143="都市ガス",'2-3.設備仕様入力(適合例)'!Q$149="kW"),2,IF(AND('2-3.設備仕様入力(適合例)'!Q$143="都市ガス",'2-3.設備仕様入力(適合例)'!Q$149="ｍ3N/h"),3,IF(AND('2-3.設備仕様入力(適合例)'!Q$143="LPG",'2-3.設備仕様入力(適合例)'!Q$149="kW"),4,IF(AND('2-3.設備仕様入力(適合例)'!Q$143="LPG",'2-3.設備仕様入力(適合例)'!Q$149="kg/h"),5,"")))))</f>
        <v/>
      </c>
      <c r="P69" s="41" t="str">
        <f>IF(OR('2-3.設備仕様入力(適合例)'!$Q$141="電気式パッケージ形空調機",'2-3.設備仕様入力(適合例)'!$Q$141="ルームエアコン"),ROUND('2-3.設備仕様入力(適合例)'!$Q$147*'2-3.設備仕様入力(適合例)'!$Q$142*計算!$C$3*VLOOKUP('2-3.設備仕様入力(適合例)'!$Q$144,計算!$N$16:$P$26,2,FALSE)/1000,1),"")</f>
        <v/>
      </c>
      <c r="Q69" s="41" t="str">
        <f>IF(OR('2-3.設備仕様入力(適合例)'!$Q$141="電気式パッケージ形空調機",'2-3.設備仕様入力(適合例)'!$Q$141="ルームエアコン"),ROUND('2-3.設備仕様入力(適合例)'!$Q$148*'2-3.設備仕様入力(適合例)'!$Q$142*計算!$C$3*VLOOKUP('2-3.設備仕様入力(適合例)'!$Q$144,計算!$N$16:$P$26,3,FALSE)/1000,1),"")</f>
        <v/>
      </c>
      <c r="R69" s="41" t="str">
        <f t="shared" si="15"/>
        <v/>
      </c>
      <c r="S69" s="41" t="str">
        <f>IF('2-3.設備仕様入力(適合例)'!$Q$141="ガスヒートポンプ式空調機",IF('2-3.設備仕様入力(適合例)'!$Q$143="都市ガス",IF('2-3.設備仕様入力(適合例)'!$Q$149="kW",ROUND('2-3.設備仕様入力(適合例)'!$Q$142*'2-3.設備仕様入力(適合例)'!$Q$147*3.6/1000*VLOOKUP('2-3.設備仕様入力(適合例)'!$Q$144,計算!$N$16:$P$26,2,FALSE),1),""),""),"")</f>
        <v/>
      </c>
      <c r="T69" s="41" t="str">
        <f>IF('2-3.設備仕様入力(適合例)'!$Q$141="ガスヒートポンプ式空調機",IF('2-3.設備仕様入力(適合例)'!$Q$143="都市ガス",IF('2-3.設備仕様入力(適合例)'!$Q$149="kW",ROUND('2-3.設備仕様入力(適合例)'!$Q$142*'2-3.設備仕様入力(適合例)'!$Q$148*3.6/1000*VLOOKUP('2-3.設備仕様入力(適合例)'!$Q$144,計算!$N$16:$P$26,3,FALSE),1),""),""),"")</f>
        <v/>
      </c>
      <c r="U69" s="41" t="str">
        <f t="shared" si="16"/>
        <v/>
      </c>
      <c r="V69" s="41" t="str">
        <f>IF('2-3.設備仕様入力(適合例)'!$Q$141="ガスヒートポンプ式空調機",IF('2-3.設備仕様入力(適合例)'!$Q$149="ｍ3N/h",ROUND('2-3.設備仕様入力(適合例)'!$Q$142*'2-3.設備仕様入力(適合例)'!$Q$147*計算!$C$10/1000*VLOOKUP('2-3.設備仕様入力(適合例)'!$Q$144,計算!$N$16:$P$26,2,FALSE),1),""),"")</f>
        <v/>
      </c>
      <c r="W69" s="41" t="str">
        <f>IF('2-3.設備仕様入力(適合例)'!$Q$141="ガスヒートポンプ式空調機",IF('2-3.設備仕様入力(適合例)'!$Q$149="ｍ3N/h",ROUND('2-3.設備仕様入力(適合例)'!$Q$142*'2-3.設備仕様入力(適合例)'!$Q$148*計算!$C$10/1000*VLOOKUP('2-3.設備仕様入力(適合例)'!$Q$144,計算!$N$16:$P$26,3,FALSE),1),""),"")</f>
        <v/>
      </c>
      <c r="X69" s="41" t="str">
        <f t="shared" si="17"/>
        <v/>
      </c>
      <c r="Y69" s="41" t="str">
        <f>IF('2-3.設備仕様入力(適合例)'!$Q$141="ガスヒートポンプ式空調機",IF('2-3.設備仕様入力(適合例)'!$Q$143="LPG",IF('2-3.設備仕様入力(適合例)'!$Q$149="kW",ROUND('2-3.設備仕様入力(適合例)'!$Q$142*'2-3.設備仕様入力(適合例)'!$Q$147*3.6/1000*VLOOKUP('2-3.設備仕様入力(適合例)'!$Q$144,計算!$N$16:$P$26,2,FALSE),1),""),""),"")</f>
        <v/>
      </c>
      <c r="Z69" s="41" t="str">
        <f>IF('2-3.設備仕様入力(適合例)'!$Q$141="ガスヒートポンプ式空調機",IF('2-3.設備仕様入力(適合例)'!$Q$143="LPG",IF('2-3.設備仕様入力(適合例)'!$Q$149="kW",ROUND('2-3.設備仕様入力(適合例)'!$Q$142*'2-3.設備仕様入力(適合例)'!$Q$148*3.6/1000*VLOOKUP('2-3.設備仕様入力(適合例)'!$Q$144,計算!$N$16:$P$26,3,FALSE),1),""),""),"")</f>
        <v/>
      </c>
      <c r="AA69" s="41" t="str">
        <f t="shared" si="18"/>
        <v/>
      </c>
      <c r="AB69" s="41" t="str">
        <f>IF('2-3.設備仕様入力(適合例)'!$Q$141="ガスヒートポンプ式空調機",IF('2-3.設備仕様入力(適合例)'!$Q$143="LPG",IF('2-3.設備仕様入力(適合例)'!$Q$149="kg/h",ROUND('2-3.設備仕様入力(適合例)'!$Q$142*'2-3.設備仕様入力(適合例)'!$Q$147*計算!$C$11/1000*VLOOKUP('2-3.設備仕様入力(適合例)'!$Q$144,計算!$N$16:$P$26,2,FALSE),1),""),""),"")</f>
        <v/>
      </c>
      <c r="AC69" s="41" t="str">
        <f>IF('2-3.設備仕様入力(適合例)'!$Q$141="ガスヒートポンプ式空調機",IF('2-3.設備仕様入力(適合例)'!$Q$143="LPG",IF('2-3.設備仕様入力(適合例)'!$Q$149="kg/h",ROUND('2-3.設備仕様入力(適合例)'!$Q$142*'2-3.設備仕様入力(適合例)'!$Q$148*計算!$C$11/1000*VLOOKUP('2-3.設備仕様入力(適合例)'!$Q$144,計算!$N$16:$P$26,3,FALSE),1),""),""),"")</f>
        <v/>
      </c>
      <c r="AD69" s="41" t="str">
        <f t="shared" si="19"/>
        <v/>
      </c>
    </row>
    <row r="70" spans="14:30" ht="19.2" x14ac:dyDescent="0.55000000000000004">
      <c r="N70" s="80" t="s">
        <v>375</v>
      </c>
      <c r="O70" s="34" t="str">
        <f>IF(AND('2-3.設備仕様入力(適合例)'!R$143="電気",'2-3.設備仕様入力(適合例)'!R$149="kW"),1,IF(AND('2-3.設備仕様入力(適合例)'!R$143="都市ガス",'2-3.設備仕様入力(適合例)'!R$149="kW"),2,IF(AND('2-3.設備仕様入力(適合例)'!R$143="都市ガス",'2-3.設備仕様入力(適合例)'!R$149="ｍ3N/h"),3,IF(AND('2-3.設備仕様入力(適合例)'!R$143="LPG",'2-3.設備仕様入力(適合例)'!R$149="kW"),4,IF(AND('2-3.設備仕様入力(適合例)'!R$143="LPG",'2-3.設備仕様入力(適合例)'!R$149="kg/h"),5,"")))))</f>
        <v/>
      </c>
      <c r="P70" s="41" t="str">
        <f>IF(OR('2-3.設備仕様入力(適合例)'!$R$141="電気式パッケージ形空調機",'2-3.設備仕様入力(適合例)'!$R$141="ルームエアコン"),ROUND('2-3.設備仕様入力(適合例)'!$R$147*'2-3.設備仕様入力(適合例)'!$R$142*計算!$C$3*VLOOKUP('2-3.設備仕様入力(適合例)'!$R$144,計算!$N$16:$P$26,2,FALSE)/1000,1),"")</f>
        <v/>
      </c>
      <c r="Q70" s="41" t="str">
        <f>IF(OR('2-3.設備仕様入力(適合例)'!$R$141="電気式パッケージ形空調機",'2-3.設備仕様入力(適合例)'!$R$141="ルームエアコン"),ROUND('2-3.設備仕様入力(適合例)'!$R$148*'2-3.設備仕様入力(適合例)'!$R$142*計算!$C$3*VLOOKUP('2-3.設備仕様入力(適合例)'!$R$144,計算!$N$16:$P$26,3,FALSE)/1000,1),"")</f>
        <v/>
      </c>
      <c r="R70" s="41" t="str">
        <f t="shared" si="15"/>
        <v/>
      </c>
      <c r="S70" s="41" t="str">
        <f>IF('2-3.設備仕様入力(適合例)'!$R$141="ガスヒートポンプ式空調機",IF('2-3.設備仕様入力(適合例)'!$R$143="都市ガス",IF('2-3.設備仕様入力(適合例)'!$R$149="kW",ROUND('2-3.設備仕様入力(適合例)'!$R$142*'2-3.設備仕様入力(適合例)'!$R$147*3.6/1000*VLOOKUP('2-3.設備仕様入力(適合例)'!$R$144,計算!$N$16:$P$26,2,FALSE),1),""),""),"")</f>
        <v/>
      </c>
      <c r="T70" s="41" t="str">
        <f>IF('2-3.設備仕様入力(適合例)'!$R$141="ガスヒートポンプ式空調機",IF('2-3.設備仕様入力(適合例)'!$R$143="都市ガス",IF('2-3.設備仕様入力(適合例)'!$R$149="kW",ROUND('2-3.設備仕様入力(適合例)'!$R$142*'2-3.設備仕様入力(適合例)'!$R$148*3.6/1000*VLOOKUP('2-3.設備仕様入力(適合例)'!$R$144,計算!$N$16:$P$26,3,FALSE),1),""),""),"")</f>
        <v/>
      </c>
      <c r="U70" s="41" t="str">
        <f t="shared" si="16"/>
        <v/>
      </c>
      <c r="V70" s="41" t="str">
        <f>IF('2-3.設備仕様入力(適合例)'!$R$141="ガスヒートポンプ式空調機",IF('2-3.設備仕様入力(適合例)'!$R$149="ｍ3N/h",ROUND('2-3.設備仕様入力(適合例)'!$R$142*'2-3.設備仕様入力(適合例)'!$R$147*計算!$C$10/1000*VLOOKUP('2-3.設備仕様入力(適合例)'!$R$144,計算!$N$16:$P$26,2,FALSE),1),""),"")</f>
        <v/>
      </c>
      <c r="W70" s="41" t="str">
        <f>IF('2-3.設備仕様入力(適合例)'!$R$141="ガスヒートポンプ式空調機",IF('2-3.設備仕様入力(適合例)'!$R$149="ｍ3N/h",ROUND('2-3.設備仕様入力(適合例)'!$R$142*'2-3.設備仕様入力(適合例)'!$R$148*計算!$C$10/1000*VLOOKUP('2-3.設備仕様入力(適合例)'!$R$144,計算!$N$16:$P$26,3,FALSE),1),""),"")</f>
        <v/>
      </c>
      <c r="X70" s="41" t="str">
        <f t="shared" si="17"/>
        <v/>
      </c>
      <c r="Y70" s="41" t="str">
        <f>IF('2-3.設備仕様入力(適合例)'!$R$141="ガスヒートポンプ式空調機",IF('2-3.設備仕様入力(適合例)'!$R$143="LPG",IF('2-3.設備仕様入力(適合例)'!$R$149="kW",ROUND('2-3.設備仕様入力(適合例)'!$R$142*'2-3.設備仕様入力(適合例)'!$R$147*3.6/1000*VLOOKUP('2-3.設備仕様入力(適合例)'!$R$144,計算!$N$16:$P$26,2,FALSE),1),""),""),"")</f>
        <v/>
      </c>
      <c r="Z70" s="41" t="str">
        <f>IF('2-3.設備仕様入力(適合例)'!$R$141="ガスヒートポンプ式空調機",IF('2-3.設備仕様入力(適合例)'!$R$143="LPG",IF('2-3.設備仕様入力(適合例)'!$R$149="kW",ROUND('2-3.設備仕様入力(適合例)'!$R$142*'2-3.設備仕様入力(適合例)'!$R$148*3.6/1000*VLOOKUP('2-3.設備仕様入力(適合例)'!$R$144,計算!$N$16:$P$26,3,FALSE),1),""),""),"")</f>
        <v/>
      </c>
      <c r="AA70" s="41" t="str">
        <f t="shared" si="18"/>
        <v/>
      </c>
      <c r="AB70" s="41" t="str">
        <f>IF('2-3.設備仕様入力(適合例)'!$R$141="ガスヒートポンプ式空調機",IF('2-3.設備仕様入力(適合例)'!$R$143="LPG",IF('2-3.設備仕様入力(適合例)'!$R$149="kg/h",ROUND('2-3.設備仕様入力(適合例)'!$R$142*'2-3.設備仕様入力(適合例)'!$R$147*計算!$C$11/1000*VLOOKUP('2-3.設備仕様入力(適合例)'!$R$144,計算!$N$16:$P$26,2,FALSE),1),""),""),"")</f>
        <v/>
      </c>
      <c r="AC70" s="41" t="str">
        <f>IF('2-3.設備仕様入力(適合例)'!$R$141="ガスヒートポンプ式空調機",IF('2-3.設備仕様入力(適合例)'!$R$143="LPG",IF('2-3.設備仕様入力(適合例)'!$R$149="kg/h",ROUND('2-3.設備仕様入力(適合例)'!$R$142*'2-3.設備仕様入力(適合例)'!$R$148*計算!$C$11/1000*VLOOKUP('2-3.設備仕様入力(適合例)'!$R$144,計算!$N$16:$P$26,3,FALSE),1),""),""),"")</f>
        <v/>
      </c>
      <c r="AD70" s="41" t="str">
        <f t="shared" si="19"/>
        <v/>
      </c>
    </row>
    <row r="71" spans="14:30" ht="19.2" x14ac:dyDescent="0.55000000000000004">
      <c r="N71" s="80" t="s">
        <v>376</v>
      </c>
      <c r="O71" s="34" t="str">
        <f>IF(AND('2-3.設備仕様入力(適合例)'!S$143="電気",'2-3.設備仕様入力(適合例)'!S$149="kW"),1,IF(AND('2-3.設備仕様入力(適合例)'!S$143="都市ガス",'2-3.設備仕様入力(適合例)'!S$149="kW"),2,IF(AND('2-3.設備仕様入力(適合例)'!S$143="都市ガス",'2-3.設備仕様入力(適合例)'!S$149="ｍ3N/h"),3,IF(AND('2-3.設備仕様入力(適合例)'!S$143="LPG",'2-3.設備仕様入力(適合例)'!S$149="kW"),4,IF(AND('2-3.設備仕様入力(適合例)'!S$143="LPG",'2-3.設備仕様入力(適合例)'!S$149="kg/h"),5,"")))))</f>
        <v/>
      </c>
      <c r="P71" s="41" t="str">
        <f>IF(OR('2-3.設備仕様入力(適合例)'!$S$141="電気式パッケージ形空調機",'2-3.設備仕様入力(適合例)'!$S$141="ルームエアコン"),ROUND('2-3.設備仕様入力(適合例)'!$S$147*'2-3.設備仕様入力(適合例)'!$S$142*計算!$C$3*VLOOKUP('2-3.設備仕様入力(適合例)'!$S$144,計算!$N$16:$P$26,2,FALSE)/1000,1),"")</f>
        <v/>
      </c>
      <c r="Q71" s="41" t="str">
        <f>IF(OR('2-3.設備仕様入力(適合例)'!$S$141="電気式パッケージ形空調機",'2-3.設備仕様入力(適合例)'!$S$141="ルームエアコン"),ROUND('2-3.設備仕様入力(適合例)'!$S$148*'2-3.設備仕様入力(適合例)'!$S$142*計算!$C$3*VLOOKUP('2-3.設備仕様入力(適合例)'!$S$144,計算!$N$16:$P$26,3,FALSE)/1000,1),"")</f>
        <v/>
      </c>
      <c r="R71" s="41" t="str">
        <f t="shared" si="15"/>
        <v/>
      </c>
      <c r="S71" s="41" t="str">
        <f>IF('2-3.設備仕様入力(適合例)'!$S$141="ガスヒートポンプ式空調機",IF('2-3.設備仕様入力(適合例)'!$S$143="都市ガス",IF('2-3.設備仕様入力(適合例)'!$S$149="kW",ROUND('2-3.設備仕様入力(適合例)'!$S$142*'2-3.設備仕様入力(適合例)'!$S$147*3.6/1000*VLOOKUP('2-3.設備仕様入力(適合例)'!$S$144,計算!$N$16:$P$26,2,FALSE),1),""),""),"")</f>
        <v/>
      </c>
      <c r="T71" s="41" t="str">
        <f>IF('2-3.設備仕様入力(適合例)'!$S$141="ガスヒートポンプ式空調機",IF('2-3.設備仕様入力(適合例)'!$S$143="都市ガス",IF('2-3.設備仕様入力(適合例)'!$S$149="kW",ROUND('2-3.設備仕様入力(適合例)'!$S$142*'2-3.設備仕様入力(適合例)'!$S$148*3.6/1000*VLOOKUP('2-3.設備仕様入力(適合例)'!$S$144,計算!$N$16:$P$26,3,FALSE),1),""),""),"")</f>
        <v/>
      </c>
      <c r="U71" s="41" t="str">
        <f t="shared" si="16"/>
        <v/>
      </c>
      <c r="V71" s="41" t="str">
        <f>IF('2-3.設備仕様入力(適合例)'!$S$141="ガスヒートポンプ式空調機",IF('2-3.設備仕様入力(適合例)'!$S$149="ｍ3N/h",ROUND('2-3.設備仕様入力(適合例)'!$S$142*'2-3.設備仕様入力(適合例)'!$S$147*計算!$C$10/1000*VLOOKUP('2-3.設備仕様入力(適合例)'!$S$144,計算!$N$16:$P$26,2,FALSE),1),""),"")</f>
        <v/>
      </c>
      <c r="W71" s="41" t="str">
        <f>IF('2-3.設備仕様入力(適合例)'!$S$141="ガスヒートポンプ式空調機",IF('2-3.設備仕様入力(適合例)'!$S$149="ｍ3N/h",ROUND('2-3.設備仕様入力(適合例)'!$S$142*'2-3.設備仕様入力(適合例)'!$S$148*計算!$C$10/1000*VLOOKUP('2-3.設備仕様入力(適合例)'!$S$144,計算!$N$16:$P$26,3,FALSE),1),""),"")</f>
        <v/>
      </c>
      <c r="X71" s="41" t="str">
        <f t="shared" si="17"/>
        <v/>
      </c>
      <c r="Y71" s="41" t="str">
        <f>IF('2-3.設備仕様入力(適合例)'!$S$141="ガスヒートポンプ式空調機",IF('2-3.設備仕様入力(適合例)'!$S$143="LPG",IF('2-3.設備仕様入力(適合例)'!$S$149="kW",ROUND('2-3.設備仕様入力(適合例)'!$S$142*'2-3.設備仕様入力(適合例)'!$S$147*3.6/1000*VLOOKUP('2-3.設備仕様入力(適合例)'!$S$144,計算!$N$16:$P$26,2,FALSE),1),""),""),"")</f>
        <v/>
      </c>
      <c r="Z71" s="41" t="str">
        <f>IF('2-3.設備仕様入力(適合例)'!$S$141="ガスヒートポンプ式空調機",IF('2-3.設備仕様入力(適合例)'!$S$143="LPG",IF('2-3.設備仕様入力(適合例)'!$S$149="kW",ROUND('2-3.設備仕様入力(適合例)'!$S$142*'2-3.設備仕様入力(適合例)'!$S$148*3.6/1000*VLOOKUP('2-3.設備仕様入力(適合例)'!$S$144,計算!$N$16:$P$26,3,FALSE),1),""),""),"")</f>
        <v/>
      </c>
      <c r="AA71" s="41" t="str">
        <f t="shared" si="18"/>
        <v/>
      </c>
      <c r="AB71" s="41" t="str">
        <f>IF('2-3.設備仕様入力(適合例)'!$S$141="ガスヒートポンプ式空調機",IF('2-3.設備仕様入力(適合例)'!$S$143="LPG",IF('2-3.設備仕様入力(適合例)'!$S$149="kg/h",ROUND('2-3.設備仕様入力(適合例)'!$S$142*'2-3.設備仕様入力(適合例)'!$S$147*計算!$C$11/1000*VLOOKUP('2-3.設備仕様入力(適合例)'!$S$144,計算!$N$16:$P$26,2,FALSE),1),""),""),"")</f>
        <v/>
      </c>
      <c r="AC71" s="41" t="str">
        <f>IF('2-3.設備仕様入力(適合例)'!$S$141="ガスヒートポンプ式空調機",IF('2-3.設備仕様入力(適合例)'!$S$143="LPG",IF('2-3.設備仕様入力(適合例)'!$S$149="kg/h",ROUND('2-3.設備仕様入力(適合例)'!$S$142*'2-3.設備仕様入力(適合例)'!$S$148*計算!$C$11/1000*VLOOKUP('2-3.設備仕様入力(適合例)'!$S$144,計算!$N$16:$P$26,3,FALSE),1),""),""),"")</f>
        <v/>
      </c>
      <c r="AD71" s="41" t="str">
        <f t="shared" si="19"/>
        <v/>
      </c>
    </row>
    <row r="72" spans="14:30" ht="19.2" x14ac:dyDescent="0.55000000000000004">
      <c r="N72" s="80" t="s">
        <v>377</v>
      </c>
      <c r="O72" s="34" t="str">
        <f>IF(AND('2-3.設備仕様入力(適合例)'!T$143="電気",'2-3.設備仕様入力(適合例)'!T$149="kW"),1,IF(AND('2-3.設備仕様入力(適合例)'!T$143="都市ガス",'2-3.設備仕様入力(適合例)'!T$149="kW"),2,IF(AND('2-3.設備仕様入力(適合例)'!T$143="都市ガス",'2-3.設備仕様入力(適合例)'!T$149="ｍ3N/h"),3,IF(AND('2-3.設備仕様入力(適合例)'!T$143="LPG",'2-3.設備仕様入力(適合例)'!T$149="kW"),4,IF(AND('2-3.設備仕様入力(適合例)'!T$143="LPG",'2-3.設備仕様入力(適合例)'!T$149="kg/h"),5,"")))))</f>
        <v/>
      </c>
      <c r="P72" s="41" t="str">
        <f>IF(OR('2-3.設備仕様入力(適合例)'!$T$141="電気式パッケージ形空調機",'2-3.設備仕様入力(適合例)'!$T$141="ルームエアコン"),ROUND('2-3.設備仕様入力(適合例)'!$T$147*'2-3.設備仕様入力(適合例)'!$T$142*計算!$C$3*VLOOKUP('2-3.設備仕様入力(適合例)'!$T$144,計算!$N$16:$P$26,2,FALSE)/1000,1),"")</f>
        <v/>
      </c>
      <c r="Q72" s="41" t="str">
        <f>IF(OR('2-3.設備仕様入力(適合例)'!$T$141="電気式パッケージ形空調機",'2-3.設備仕様入力(適合例)'!$T$141="ルームエアコン"),ROUND('2-3.設備仕様入力(適合例)'!$T$148*'2-3.設備仕様入力(適合例)'!$T$142*計算!$C$3*VLOOKUP('2-3.設備仕様入力(適合例)'!$T$144,計算!$N$16:$P$26,3,FALSE)/1000,1),"")</f>
        <v/>
      </c>
      <c r="R72" s="41" t="str">
        <f t="shared" si="15"/>
        <v/>
      </c>
      <c r="S72" s="41" t="str">
        <f>IF('2-3.設備仕様入力(適合例)'!$T$141="ガスヒートポンプ式空調機",IF('2-3.設備仕様入力(適合例)'!$T$143="都市ガス",IF('2-3.設備仕様入力(適合例)'!$T$149="kW",ROUND('2-3.設備仕様入力(適合例)'!$T$142*'2-3.設備仕様入力(適合例)'!$T$147*3.6/1000*VLOOKUP('2-3.設備仕様入力(適合例)'!$T$144,計算!$N$16:$P$26,2,FALSE),1),""),""),"")</f>
        <v/>
      </c>
      <c r="T72" s="41" t="str">
        <f>IF('2-3.設備仕様入力(適合例)'!$T$141="ガスヒートポンプ式空調機",IF('2-3.設備仕様入力(適合例)'!$T$143="都市ガス",IF('2-3.設備仕様入力(適合例)'!$T$149="kW",ROUND('2-3.設備仕様入力(適合例)'!$T$142*'2-3.設備仕様入力(適合例)'!$T$148*3.6/1000*VLOOKUP('2-3.設備仕様入力(適合例)'!$T$144,計算!$N$16:$P$26,3,FALSE),1),""),""),"")</f>
        <v/>
      </c>
      <c r="U72" s="41" t="str">
        <f t="shared" si="16"/>
        <v/>
      </c>
      <c r="V72" s="41" t="str">
        <f>IF('2-3.設備仕様入力(適合例)'!$T$141="ガスヒートポンプ式空調機",IF('2-3.設備仕様入力(適合例)'!$T$149="ｍ3N/h",ROUND('2-3.設備仕様入力(適合例)'!$T$142*'2-3.設備仕様入力(適合例)'!$T$147*計算!$C$10/1000*VLOOKUP('2-3.設備仕様入力(適合例)'!$T$144,計算!$N$16:$P$26,2,FALSE),1),""),"")</f>
        <v/>
      </c>
      <c r="W72" s="41" t="str">
        <f>IF('2-3.設備仕様入力(適合例)'!$T$141="ガスヒートポンプ式空調機",IF('2-3.設備仕様入力(適合例)'!$T$149="ｍ3N/h",ROUND('2-3.設備仕様入力(適合例)'!$T$142*'2-3.設備仕様入力(適合例)'!$T$148*計算!$C$10/1000*VLOOKUP('2-3.設備仕様入力(適合例)'!$T$144,計算!$N$16:$P$26,3,FALSE),1),""),"")</f>
        <v/>
      </c>
      <c r="X72" s="41" t="str">
        <f t="shared" si="17"/>
        <v/>
      </c>
      <c r="Y72" s="41" t="str">
        <f>IF('2-3.設備仕様入力(適合例)'!$T$141="ガスヒートポンプ式空調機",IF('2-3.設備仕様入力(適合例)'!$T$143="LPG",IF('2-3.設備仕様入力(適合例)'!$T$149="kW",ROUND('2-3.設備仕様入力(適合例)'!$T$142*'2-3.設備仕様入力(適合例)'!$T$147*3.6/1000*VLOOKUP('2-3.設備仕様入力(適合例)'!$T$144,計算!$N$16:$P$26,2,FALSE),1),""),""),"")</f>
        <v/>
      </c>
      <c r="Z72" s="41" t="str">
        <f>IF('2-3.設備仕様入力(適合例)'!$T$141="ガスヒートポンプ式空調機",IF('2-3.設備仕様入力(適合例)'!$T$143="LPG",IF('2-3.設備仕様入力(適合例)'!$T$149="kW",ROUND('2-3.設備仕様入力(適合例)'!$T$142*'2-3.設備仕様入力(適合例)'!$T$148*3.6/1000*VLOOKUP('2-3.設備仕様入力(適合例)'!$T$144,計算!$N$16:$P$26,3,FALSE),1),""),""),"")</f>
        <v/>
      </c>
      <c r="AA72" s="41" t="str">
        <f t="shared" si="18"/>
        <v/>
      </c>
      <c r="AB72" s="41" t="str">
        <f>IF('2-3.設備仕様入力(適合例)'!$T$141="ガスヒートポンプ式空調機",IF('2-3.設備仕様入力(適合例)'!$T$143="LPG",IF('2-3.設備仕様入力(適合例)'!$T$149="kg/h",ROUND('2-3.設備仕様入力(適合例)'!$T$142*'2-3.設備仕様入力(適合例)'!$T$147*計算!$C$11/1000*VLOOKUP('2-3.設備仕様入力(適合例)'!$T$144,計算!$N$16:$P$26,2,FALSE),1),""),""),"")</f>
        <v/>
      </c>
      <c r="AC72" s="41" t="str">
        <f>IF('2-3.設備仕様入力(適合例)'!$T$141="ガスヒートポンプ式空調機",IF('2-3.設備仕様入力(適合例)'!$T$143="LPG",IF('2-3.設備仕様入力(適合例)'!$T$149="kg/h",ROUND('2-3.設備仕様入力(適合例)'!$T$142*'2-3.設備仕様入力(適合例)'!$T$148*計算!$C$11/1000*VLOOKUP('2-3.設備仕様入力(適合例)'!$T$144,計算!$N$16:$P$26,3,FALSE),1),""),""),"")</f>
        <v/>
      </c>
      <c r="AD72" s="41" t="str">
        <f t="shared" si="19"/>
        <v/>
      </c>
    </row>
    <row r="73" spans="14:30" ht="19.2" x14ac:dyDescent="0.55000000000000004">
      <c r="N73" s="80" t="s">
        <v>378</v>
      </c>
      <c r="O73" s="34" t="str">
        <f>IF(AND('2-3.設備仕様入力(適合例)'!U$143="電気",'2-3.設備仕様入力(適合例)'!U$149="kW"),1,IF(AND('2-3.設備仕様入力(適合例)'!U$143="都市ガス",'2-3.設備仕様入力(適合例)'!U$149="kW"),2,IF(AND('2-3.設備仕様入力(適合例)'!U$143="都市ガス",'2-3.設備仕様入力(適合例)'!U$149="ｍ3N/h"),3,IF(AND('2-3.設備仕様入力(適合例)'!U$143="LPG",'2-3.設備仕様入力(適合例)'!U$149="kW"),4,IF(AND('2-3.設備仕様入力(適合例)'!U$143="LPG",'2-3.設備仕様入力(適合例)'!U$149="kg/h"),5,"")))))</f>
        <v/>
      </c>
      <c r="P73" s="41" t="str">
        <f>IF(OR('2-3.設備仕様入力(適合例)'!$U$141="電気式パッケージ形空調機",'2-3.設備仕様入力(適合例)'!$U$141="ルームエアコン"),ROUND('2-3.設備仕様入力(適合例)'!$U$147*'2-3.設備仕様入力(適合例)'!$U$142*計算!$C$3*VLOOKUP('2-3.設備仕様入力(適合例)'!$U$144,計算!$N$16:$P$26,2,FALSE)/1000,1),"")</f>
        <v/>
      </c>
      <c r="Q73" s="41" t="str">
        <f>IF(OR('2-3.設備仕様入力(適合例)'!$U$141="電気式パッケージ形空調機",'2-3.設備仕様入力(適合例)'!$U$141="ルームエアコン"),ROUND('2-3.設備仕様入力(適合例)'!$U$148*'2-3.設備仕様入力(適合例)'!$U$142*計算!$C$3*VLOOKUP('2-3.設備仕様入力(適合例)'!$U$144,計算!$N$16:$P$26,3,FALSE)/1000,1),"")</f>
        <v/>
      </c>
      <c r="R73" s="41" t="str">
        <f t="shared" si="15"/>
        <v/>
      </c>
      <c r="S73" s="41" t="str">
        <f>IF('2-3.設備仕様入力(適合例)'!$U$141="ガスヒートポンプ式空調機",IF('2-3.設備仕様入力(適合例)'!$U$143="都市ガス",IF('2-3.設備仕様入力(適合例)'!$U$149="kW",ROUND('2-3.設備仕様入力(適合例)'!$U$142*'2-3.設備仕様入力(適合例)'!$U$147*3.6/1000*VLOOKUP('2-3.設備仕様入力(適合例)'!$U$144,計算!$N$16:$P$26,2,FALSE),1),""),""),"")</f>
        <v/>
      </c>
      <c r="T73" s="41" t="str">
        <f>IF('2-3.設備仕様入力(適合例)'!$U$141="ガスヒートポンプ式空調機",IF('2-3.設備仕様入力(適合例)'!$U$143="都市ガス",IF('2-3.設備仕様入力(適合例)'!$U$149="kW",ROUND('2-3.設備仕様入力(適合例)'!$U$142*'2-3.設備仕様入力(適合例)'!$U$148*3.6/1000*VLOOKUP('2-3.設備仕様入力(適合例)'!$U$144,計算!$N$16:$P$26,3,FALSE),1),""),""),"")</f>
        <v/>
      </c>
      <c r="U73" s="41" t="str">
        <f t="shared" si="16"/>
        <v/>
      </c>
      <c r="V73" s="41" t="str">
        <f>IF('2-3.設備仕様入力(適合例)'!$U$141="ガスヒートポンプ式空調機",IF('2-3.設備仕様入力(適合例)'!$U$149="ｍ3N/h",ROUND('2-3.設備仕様入力(適合例)'!$U$142*'2-3.設備仕様入力(適合例)'!$U$147*計算!$C$10/1000*VLOOKUP('2-3.設備仕様入力(適合例)'!$U$144,計算!$N$16:$P$26,2,FALSE),1),""),"")</f>
        <v/>
      </c>
      <c r="W73" s="41" t="str">
        <f>IF('2-3.設備仕様入力(適合例)'!$U$141="ガスヒートポンプ式空調機",IF('2-3.設備仕様入力(適合例)'!$U$149="ｍ3N/h",ROUND('2-3.設備仕様入力(適合例)'!$U$142*'2-3.設備仕様入力(適合例)'!$U$148*計算!$C$10/1000*VLOOKUP('2-3.設備仕様入力(適合例)'!$U$144,計算!$N$16:$P$26,3,FALSE),1),""),"")</f>
        <v/>
      </c>
      <c r="X73" s="41" t="str">
        <f t="shared" si="17"/>
        <v/>
      </c>
      <c r="Y73" s="41" t="str">
        <f>IF('2-3.設備仕様入力(適合例)'!$U$141="ガスヒートポンプ式空調機",IF('2-3.設備仕様入力(適合例)'!$U$143="LPG",IF('2-3.設備仕様入力(適合例)'!$U$149="kW",ROUND('2-3.設備仕様入力(適合例)'!$U$142*'2-3.設備仕様入力(適合例)'!$U$147*3.6/1000*VLOOKUP('2-3.設備仕様入力(適合例)'!$U$144,計算!$N$16:$P$26,2,FALSE),1),""),""),"")</f>
        <v/>
      </c>
      <c r="Z73" s="41" t="str">
        <f>IF('2-3.設備仕様入力(適合例)'!$U$141="ガスヒートポンプ式空調機",IF('2-3.設備仕様入力(適合例)'!$U$143="LPG",IF('2-3.設備仕様入力(適合例)'!$U$149="kW",ROUND('2-3.設備仕様入力(適合例)'!$U$142*'2-3.設備仕様入力(適合例)'!$U$148*3.6/1000*VLOOKUP('2-3.設備仕様入力(適合例)'!$U$144,計算!$N$16:$P$26,3,FALSE),1),""),""),"")</f>
        <v/>
      </c>
      <c r="AA73" s="41" t="str">
        <f t="shared" si="18"/>
        <v/>
      </c>
      <c r="AB73" s="41" t="str">
        <f>IF('2-3.設備仕様入力(適合例)'!$U$141="ガスヒートポンプ式空調機",IF('2-3.設備仕様入力(適合例)'!$U$143="LPG",IF('2-3.設備仕様入力(適合例)'!$U$149="kg/h",ROUND('2-3.設備仕様入力(適合例)'!$U$142*'2-3.設備仕様入力(適合例)'!$U$147*計算!$C$11/1000*VLOOKUP('2-3.設備仕様入力(適合例)'!$U$144,計算!$N$16:$P$26,2,FALSE),1),""),""),"")</f>
        <v/>
      </c>
      <c r="AC73" s="41" t="str">
        <f>IF('2-3.設備仕様入力(適合例)'!$U$141="ガスヒートポンプ式空調機",IF('2-3.設備仕様入力(適合例)'!$U$143="LPG",IF('2-3.設備仕様入力(適合例)'!$U$149="kg/h",ROUND('2-3.設備仕様入力(適合例)'!$U$142*'2-3.設備仕様入力(適合例)'!$U$148*計算!$C$11/1000*VLOOKUP('2-3.設備仕様入力(適合例)'!$U$144,計算!$N$16:$P$26,3,FALSE),1),""),""),"")</f>
        <v/>
      </c>
      <c r="AD73" s="41" t="str">
        <f t="shared" si="19"/>
        <v/>
      </c>
    </row>
    <row r="74" spans="14:30" ht="19.2" x14ac:dyDescent="0.55000000000000004">
      <c r="N74" s="80" t="s">
        <v>379</v>
      </c>
      <c r="O74" s="34" t="str">
        <f>IF(AND('2-3.設備仕様入力(適合例)'!V$143="電気",'2-3.設備仕様入力(適合例)'!V$149="kW"),1,IF(AND('2-3.設備仕様入力(適合例)'!V$143="都市ガス",'2-3.設備仕様入力(適合例)'!V$149="kW"),2,IF(AND('2-3.設備仕様入力(適合例)'!V$143="都市ガス",'2-3.設備仕様入力(適合例)'!V$149="ｍ3N/h"),3,IF(AND('2-3.設備仕様入力(適合例)'!V$143="LPG",'2-3.設備仕様入力(適合例)'!V$149="kW"),4,IF(AND('2-3.設備仕様入力(適合例)'!V$143="LPG",'2-3.設備仕様入力(適合例)'!V$149="kg/h"),5,"")))))</f>
        <v/>
      </c>
      <c r="P74" s="41" t="str">
        <f>IF(OR('2-3.設備仕様入力(適合例)'!$V$141="電気式パッケージ形空調機",'2-3.設備仕様入力(適合例)'!$V$141="ルームエアコン"),ROUND('2-3.設備仕様入力(適合例)'!$V$147*'2-3.設備仕様入力(適合例)'!$V$142*計算!$C$3*VLOOKUP('2-3.設備仕様入力(適合例)'!$V$144,計算!$N$16:$P$26,2,FALSE)/1000,1),"")</f>
        <v/>
      </c>
      <c r="Q74" s="41" t="str">
        <f>IF(OR('2-3.設備仕様入力(適合例)'!$V$141="電気式パッケージ形空調機",'2-3.設備仕様入力(適合例)'!$V$141="ルームエアコン"),ROUND('2-3.設備仕様入力(適合例)'!$V$148*'2-3.設備仕様入力(適合例)'!$V$142*計算!$C$3*VLOOKUP('2-3.設備仕様入力(適合例)'!$V$144,計算!$N$16:$P$26,3,FALSE)/1000,1),"")</f>
        <v/>
      </c>
      <c r="R74" s="41" t="str">
        <f t="shared" si="15"/>
        <v/>
      </c>
      <c r="S74" s="41" t="str">
        <f>IF('2-3.設備仕様入力(適合例)'!$V$141="ガスヒートポンプ式空調機",IF('2-3.設備仕様入力(適合例)'!$V$143="都市ガス",IF('2-3.設備仕様入力(適合例)'!$V$149="kW",ROUND('2-3.設備仕様入力(適合例)'!$V$142*'2-3.設備仕様入力(適合例)'!$V$147*3.6/1000*VLOOKUP('2-3.設備仕様入力(適合例)'!$V$144,計算!$N$16:$P$26,2,FALSE),1),""),""),"")</f>
        <v/>
      </c>
      <c r="T74" s="41" t="str">
        <f>IF('2-3.設備仕様入力(適合例)'!$V$141="ガスヒートポンプ式空調機",IF('2-3.設備仕様入力(適合例)'!$V$143="都市ガス",IF('2-3.設備仕様入力(適合例)'!$V$149="kW",ROUND('2-3.設備仕様入力(適合例)'!$V$142*'2-3.設備仕様入力(適合例)'!$V$148*3.6/1000*VLOOKUP('2-3.設備仕様入力(適合例)'!$V$144,計算!$N$16:$P$26,3,FALSE),1),""),""),"")</f>
        <v/>
      </c>
      <c r="U74" s="41" t="str">
        <f t="shared" si="16"/>
        <v/>
      </c>
      <c r="V74" s="41" t="str">
        <f>IF('2-3.設備仕様入力(適合例)'!$V$141="ガスヒートポンプ式空調機",IF('2-3.設備仕様入力(適合例)'!$V$149="ｍ3N/h",ROUND('2-3.設備仕様入力(適合例)'!$V$142*'2-3.設備仕様入力(適合例)'!$V$147*計算!$C$10/1000*VLOOKUP('2-3.設備仕様入力(適合例)'!$V$144,計算!$N$16:$P$26,2,FALSE),1),""),"")</f>
        <v/>
      </c>
      <c r="W74" s="41" t="str">
        <f>IF('2-3.設備仕様入力(適合例)'!$V$141="ガスヒートポンプ式空調機",IF('2-3.設備仕様入力(適合例)'!$V$149="ｍ3N/h",ROUND('2-3.設備仕様入力(適合例)'!$V$142*'2-3.設備仕様入力(適合例)'!$V$148*計算!$C$10/1000*VLOOKUP('2-3.設備仕様入力(適合例)'!$V$144,計算!$N$16:$P$26,3,FALSE),1),""),"")</f>
        <v/>
      </c>
      <c r="X74" s="41" t="str">
        <f t="shared" si="17"/>
        <v/>
      </c>
      <c r="Y74" s="41" t="str">
        <f>IF('2-3.設備仕様入力(適合例)'!$V$141="ガスヒートポンプ式空調機",IF('2-3.設備仕様入力(適合例)'!$V$143="LPG",IF('2-3.設備仕様入力(適合例)'!$V$149="kW",ROUND('2-3.設備仕様入力(適合例)'!$V$142*'2-3.設備仕様入力(適合例)'!$V$147*3.6/1000*VLOOKUP('2-3.設備仕様入力(適合例)'!$V$144,計算!$N$16:$P$26,2,FALSE),1),""),""),"")</f>
        <v/>
      </c>
      <c r="Z74" s="41" t="str">
        <f>IF('2-3.設備仕様入力(適合例)'!$V$141="ガスヒートポンプ式空調機",IF('2-3.設備仕様入力(適合例)'!$V$143="LPG",IF('2-3.設備仕様入力(適合例)'!$V$149="kW",ROUND('2-3.設備仕様入力(適合例)'!$V$142*'2-3.設備仕様入力(適合例)'!$V$148*3.6/1000*VLOOKUP('2-3.設備仕様入力(適合例)'!$V$144,計算!$N$16:$P$26,3,FALSE),1),""),""),"")</f>
        <v/>
      </c>
      <c r="AA74" s="41" t="str">
        <f t="shared" si="18"/>
        <v/>
      </c>
      <c r="AB74" s="41" t="str">
        <f>IF('2-3.設備仕様入力(適合例)'!$V$141="ガスヒートポンプ式空調機",IF('2-3.設備仕様入力(適合例)'!$V$143="LPG",IF('2-3.設備仕様入力(適合例)'!$V$149="kg/h",ROUND('2-3.設備仕様入力(適合例)'!$V$142*'2-3.設備仕様入力(適合例)'!$V$147*計算!$C$11/1000*VLOOKUP('2-3.設備仕様入力(適合例)'!$V$144,計算!$N$16:$P$26,2,FALSE),1),""),""),"")</f>
        <v/>
      </c>
      <c r="AC74" s="41" t="str">
        <f>IF('2-3.設備仕様入力(適合例)'!$V$141="ガスヒートポンプ式空調機",IF('2-3.設備仕様入力(適合例)'!$V$143="LPG",IF('2-3.設備仕様入力(適合例)'!$V$149="kg/h",ROUND('2-3.設備仕様入力(適合例)'!$V$142*'2-3.設備仕様入力(適合例)'!$V$148*計算!$C$11/1000*VLOOKUP('2-3.設備仕様入力(適合例)'!$V$144,計算!$N$16:$P$26,3,FALSE),1),""),""),"")</f>
        <v/>
      </c>
      <c r="AD74" s="41" t="str">
        <f t="shared" si="19"/>
        <v/>
      </c>
    </row>
    <row r="75" spans="14:30" ht="19.2" x14ac:dyDescent="0.55000000000000004">
      <c r="N75" s="80" t="s">
        <v>380</v>
      </c>
      <c r="O75" s="34" t="str">
        <f>IF(AND('2-3.設備仕様入力(適合例)'!W$143="電気",'2-3.設備仕様入力(適合例)'!W$149="kW"),1,IF(AND('2-3.設備仕様入力(適合例)'!W$143="都市ガス",'2-3.設備仕様入力(適合例)'!W$149="kW"),2,IF(AND('2-3.設備仕様入力(適合例)'!W$143="都市ガス",'2-3.設備仕様入力(適合例)'!W$149="ｍ3N/h"),3,IF(AND('2-3.設備仕様入力(適合例)'!W$143="LPG",'2-3.設備仕様入力(適合例)'!W$149="kW"),4,IF(AND('2-3.設備仕様入力(適合例)'!W$143="LPG",'2-3.設備仕様入力(適合例)'!W$149="kg/h"),5,"")))))</f>
        <v/>
      </c>
      <c r="P75" s="41" t="str">
        <f>IF(OR('2-3.設備仕様入力(適合例)'!$W$141="電気式パッケージ形空調機",'2-3.設備仕様入力(適合例)'!$W$141="ルームエアコン"),ROUND('2-3.設備仕様入力(適合例)'!$W$147*'2-3.設備仕様入力(適合例)'!$W$142*計算!$C$3*VLOOKUP('2-3.設備仕様入力(適合例)'!$W$144,計算!$N$16:$P$26,2,FALSE)/1000,1),"")</f>
        <v/>
      </c>
      <c r="Q75" s="41" t="str">
        <f>IF(OR('2-3.設備仕様入力(適合例)'!$W$141="電気式パッケージ形空調機",'2-3.設備仕様入力(適合例)'!$W$141="ルームエアコン"),ROUND('2-3.設備仕様入力(適合例)'!$W$148*'2-3.設備仕様入力(適合例)'!$W$142*計算!$C$3*VLOOKUP('2-3.設備仕様入力(適合例)'!$W$144,計算!$N$16:$P$26,3,FALSE)/1000,1),"")</f>
        <v/>
      </c>
      <c r="R75" s="41" t="str">
        <f t="shared" si="15"/>
        <v/>
      </c>
      <c r="S75" s="41" t="str">
        <f>IF('2-3.設備仕様入力(適合例)'!$W$141="ガスヒートポンプ式空調機",IF('2-3.設備仕様入力(適合例)'!$W$143="都市ガス",IF('2-3.設備仕様入力(適合例)'!$W$149="kW",ROUND('2-3.設備仕様入力(適合例)'!$W$142*'2-3.設備仕様入力(適合例)'!$W$147*3.6/1000*VLOOKUP('2-3.設備仕様入力(適合例)'!$W$144,計算!$N$16:$P$26,2,FALSE),1),""),""),"")</f>
        <v/>
      </c>
      <c r="T75" s="41" t="str">
        <f>IF('2-3.設備仕様入力(適合例)'!$W$141="ガスヒートポンプ式空調機",IF('2-3.設備仕様入力(適合例)'!$W$143="都市ガス",IF('2-3.設備仕様入力(適合例)'!$W$149="kW",ROUND('2-3.設備仕様入力(適合例)'!$W$142*'2-3.設備仕様入力(適合例)'!$W$148*3.6/1000*VLOOKUP('2-3.設備仕様入力(適合例)'!$W$144,計算!$N$16:$P$26,3,FALSE),1),""),""),"")</f>
        <v/>
      </c>
      <c r="U75" s="41" t="str">
        <f t="shared" si="16"/>
        <v/>
      </c>
      <c r="V75" s="41" t="str">
        <f>IF('2-3.設備仕様入力(適合例)'!$W$141="ガスヒートポンプ式空調機",IF('2-3.設備仕様入力(適合例)'!$W$149="ｍ3N/h",ROUND('2-3.設備仕様入力(適合例)'!$W$142*'2-3.設備仕様入力(適合例)'!$W$147*計算!$C$10/1000*VLOOKUP('2-3.設備仕様入力(適合例)'!$W$144,計算!$N$16:$P$26,2,FALSE),1),""),"")</f>
        <v/>
      </c>
      <c r="W75" s="41" t="str">
        <f>IF('2-3.設備仕様入力(適合例)'!$W$141="ガスヒートポンプ式空調機",IF('2-3.設備仕様入力(適合例)'!$W$149="ｍ3N/h",ROUND('2-3.設備仕様入力(適合例)'!$W$142*'2-3.設備仕様入力(適合例)'!$W$148*計算!$C$10/1000*VLOOKUP('2-3.設備仕様入力(適合例)'!$W$144,計算!$N$16:$P$26,3,FALSE),1),""),"")</f>
        <v/>
      </c>
      <c r="X75" s="41" t="str">
        <f t="shared" si="17"/>
        <v/>
      </c>
      <c r="Y75" s="41" t="str">
        <f>IF('2-3.設備仕様入力(適合例)'!$W$141="ガスヒートポンプ式空調機",IF('2-3.設備仕様入力(適合例)'!$W$143="LPG",IF('2-3.設備仕様入力(適合例)'!$W$149="kW",ROUND('2-3.設備仕様入力(適合例)'!$W$142*'2-3.設備仕様入力(適合例)'!$W$147*3.6/1000*VLOOKUP('2-3.設備仕様入力(適合例)'!$W$144,計算!$N$16:$P$26,2,FALSE),1),""),""),"")</f>
        <v/>
      </c>
      <c r="Z75" s="41" t="str">
        <f>IF('2-3.設備仕様入力(適合例)'!$W$141="ガスヒートポンプ式空調機",IF('2-3.設備仕様入力(適合例)'!$W$143="LPG",IF('2-3.設備仕様入力(適合例)'!$W$149="kW",ROUND('2-3.設備仕様入力(適合例)'!$W$142*'2-3.設備仕様入力(適合例)'!$W$148*3.6/1000*VLOOKUP('2-3.設備仕様入力(適合例)'!$W$144,計算!$N$16:$P$26,3,FALSE),1),""),""),"")</f>
        <v/>
      </c>
      <c r="AA75" s="41" t="str">
        <f t="shared" si="18"/>
        <v/>
      </c>
      <c r="AB75" s="41" t="str">
        <f>IF('2-3.設備仕様入力(適合例)'!$W$141="ガスヒートポンプ式空調機",IF('2-3.設備仕様入力(適合例)'!$W$143="LPG",IF('2-3.設備仕様入力(適合例)'!$W$149="kg/h",ROUND('2-3.設備仕様入力(適合例)'!$W$142*'2-3.設備仕様入力(適合例)'!$W$147*計算!$C$11/1000*VLOOKUP('2-3.設備仕様入力(適合例)'!$W$144,計算!$N$16:$P$26,2,FALSE),1),""),""),"")</f>
        <v/>
      </c>
      <c r="AC75" s="41" t="str">
        <f>IF('2-3.設備仕様入力(適合例)'!$W$141="ガスヒートポンプ式空調機",IF('2-3.設備仕様入力(適合例)'!$W$143="LPG",IF('2-3.設備仕様入力(適合例)'!$W$149="kg/h",ROUND('2-3.設備仕様入力(適合例)'!$W$142*'2-3.設備仕様入力(適合例)'!$W$148*計算!$C$11/1000*VLOOKUP('2-3.設備仕様入力(適合例)'!$W$144,計算!$N$16:$P$26,3,FALSE),1),""),""),"")</f>
        <v/>
      </c>
      <c r="AD75" s="41" t="str">
        <f t="shared" si="19"/>
        <v/>
      </c>
    </row>
    <row r="76" spans="14:30" ht="19.2" x14ac:dyDescent="0.55000000000000004">
      <c r="P76" s="133"/>
      <c r="Q76" s="133"/>
      <c r="R76" s="133"/>
      <c r="S76" s="133"/>
      <c r="T76" s="133"/>
      <c r="U76" s="133"/>
      <c r="V76" s="133"/>
      <c r="W76" s="133"/>
      <c r="X76" s="133"/>
      <c r="Y76" s="133"/>
      <c r="Z76" s="133"/>
      <c r="AA76" s="133"/>
      <c r="AB76" s="133"/>
      <c r="AC76" s="133"/>
      <c r="AD76" s="133"/>
    </row>
  </sheetData>
  <mergeCells count="13">
    <mergeCell ref="P53:AD53"/>
    <mergeCell ref="P54:R54"/>
    <mergeCell ref="S54:U54"/>
    <mergeCell ref="V54:X54"/>
    <mergeCell ref="Y54:AA54"/>
    <mergeCell ref="AB54:AD54"/>
    <mergeCell ref="J1:K1"/>
    <mergeCell ref="P28:AD28"/>
    <mergeCell ref="Y29:AA29"/>
    <mergeCell ref="AB29:AD29"/>
    <mergeCell ref="P29:R29"/>
    <mergeCell ref="S29:U29"/>
    <mergeCell ref="V29:X29"/>
  </mergeCells>
  <phoneticPr fontId="2"/>
  <pageMargins left="0.7" right="0.7" top="0.75" bottom="0.75" header="0.3" footer="0.3"/>
  <pageSetup paperSize="9" scale="3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76"/>
  <sheetViews>
    <sheetView zoomScale="90" zoomScaleNormal="90" workbookViewId="0">
      <selection activeCell="E9" sqref="E9"/>
    </sheetView>
  </sheetViews>
  <sheetFormatPr defaultColWidth="8.83203125" defaultRowHeight="17.399999999999999" x14ac:dyDescent="0.55000000000000004"/>
  <cols>
    <col min="1" max="1" width="8.83203125" style="2"/>
    <col min="2" max="2" width="22.1640625" style="2" customWidth="1"/>
    <col min="3" max="3" width="10.33203125" style="2" customWidth="1"/>
    <col min="4" max="4" width="8.58203125" style="2" bestFit="1" customWidth="1"/>
    <col min="5" max="5" width="10.5" style="5" bestFit="1" customWidth="1"/>
    <col min="6" max="6" width="11.4140625" style="2" bestFit="1" customWidth="1"/>
    <col min="7" max="7" width="7" style="2" customWidth="1"/>
    <col min="8" max="9" width="5.33203125" style="2" customWidth="1"/>
    <col min="10" max="10" width="7.9140625" style="2" customWidth="1"/>
    <col min="11" max="11" width="9.4140625" style="2" bestFit="1" customWidth="1"/>
    <col min="12" max="13" width="8.83203125" style="2"/>
    <col min="14" max="14" width="13.9140625" style="2" customWidth="1"/>
    <col min="15" max="15" width="11.9140625" style="2" customWidth="1"/>
    <col min="16" max="16" width="19.08203125" style="2" customWidth="1"/>
    <col min="17" max="17" width="16.08203125" style="2" customWidth="1"/>
    <col min="18" max="19" width="19.4140625" style="2" customWidth="1"/>
    <col min="20" max="20" width="14.33203125" style="2" customWidth="1"/>
    <col min="21" max="21" width="23" style="2" customWidth="1"/>
    <col min="22" max="22" width="11.1640625" style="2" customWidth="1"/>
    <col min="23" max="23" width="8.83203125" style="2"/>
    <col min="24" max="24" width="13.83203125" style="2" customWidth="1"/>
    <col min="25" max="25" width="15.1640625" style="2" customWidth="1"/>
    <col min="26" max="26" width="16.9140625" style="2" customWidth="1"/>
    <col min="27" max="27" width="12.1640625" style="2" customWidth="1"/>
    <col min="28" max="28" width="12.33203125" style="2" customWidth="1"/>
    <col min="29" max="16384" width="8.83203125" style="2"/>
  </cols>
  <sheetData>
    <row r="1" spans="1:29" ht="18" thickBot="1" x14ac:dyDescent="0.6">
      <c r="J1" s="273" t="s">
        <v>172</v>
      </c>
      <c r="K1" s="273"/>
    </row>
    <row r="2" spans="1:29" x14ac:dyDescent="0.55000000000000004">
      <c r="B2" s="2" t="s">
        <v>90</v>
      </c>
      <c r="C2" s="2" t="s">
        <v>89</v>
      </c>
      <c r="I2" s="82" t="s">
        <v>447</v>
      </c>
      <c r="J2" s="15" t="s">
        <v>20</v>
      </c>
      <c r="K2" s="14" t="s">
        <v>19</v>
      </c>
      <c r="N2" s="2" t="s">
        <v>88</v>
      </c>
      <c r="Q2" s="188" t="s">
        <v>495</v>
      </c>
      <c r="Y2" s="100" t="s">
        <v>255</v>
      </c>
      <c r="Z2" s="2" t="s">
        <v>262</v>
      </c>
    </row>
    <row r="3" spans="1:29" x14ac:dyDescent="0.55000000000000004">
      <c r="B3" s="2" t="s">
        <v>87</v>
      </c>
      <c r="C3" s="3">
        <v>9.76</v>
      </c>
      <c r="D3" s="2" t="s">
        <v>86</v>
      </c>
      <c r="E3" s="2">
        <v>0.48899999999999999</v>
      </c>
      <c r="F3" s="2" t="s">
        <v>85</v>
      </c>
      <c r="I3" s="82" t="s">
        <v>97</v>
      </c>
      <c r="J3" s="16">
        <f>IF(ISERROR('4.エネルギー使用量 (不適合)'!$O$24/1000*$C$3*$C$7),"",ROUND('4.エネルギー使用量 (不適合)'!$O$24/1000*$C$3*$C$7,2))</f>
        <v>752.14</v>
      </c>
      <c r="K3" s="10">
        <f>IF(ISERROR('4.エネルギー使用量(適合例)'!$O$24/1000*$E$3),"",ROUND('4.エネルギー使用量(適合例)'!$O$24/1000*$E$3,2))</f>
        <v>6.64</v>
      </c>
      <c r="N3" s="2" t="s">
        <v>84</v>
      </c>
      <c r="O3" s="2" t="s">
        <v>188</v>
      </c>
      <c r="P3" s="2" t="s">
        <v>254</v>
      </c>
      <c r="Q3" s="2" t="s">
        <v>254</v>
      </c>
      <c r="R3" s="2" t="s">
        <v>112</v>
      </c>
      <c r="S3" s="2" t="s">
        <v>112</v>
      </c>
      <c r="T3" s="2" t="s">
        <v>113</v>
      </c>
      <c r="U3" s="1" t="s">
        <v>112</v>
      </c>
      <c r="V3" s="1" t="s">
        <v>227</v>
      </c>
      <c r="X3" s="2" t="s">
        <v>114</v>
      </c>
      <c r="Y3" s="100" t="s">
        <v>115</v>
      </c>
      <c r="Z3" s="2" t="s">
        <v>115</v>
      </c>
      <c r="AA3" s="2" t="s">
        <v>84</v>
      </c>
      <c r="AB3" s="2" t="s">
        <v>113</v>
      </c>
      <c r="AC3" s="2" t="s">
        <v>237</v>
      </c>
    </row>
    <row r="4" spans="1:29" ht="22.2" thickBot="1" x14ac:dyDescent="0.6">
      <c r="A4" s="195" t="s">
        <v>499</v>
      </c>
      <c r="B4" s="2" t="s">
        <v>500</v>
      </c>
      <c r="C4" s="3">
        <v>1.36</v>
      </c>
      <c r="D4" s="2" t="s">
        <v>83</v>
      </c>
      <c r="E4" s="2">
        <v>5.7000000000000002E-2</v>
      </c>
      <c r="F4" s="2" t="s">
        <v>82</v>
      </c>
      <c r="N4" s="2" t="s">
        <v>81</v>
      </c>
      <c r="O4" s="2" t="s">
        <v>186</v>
      </c>
      <c r="P4" s="2" t="s">
        <v>80</v>
      </c>
      <c r="Q4" s="2" t="s">
        <v>441</v>
      </c>
      <c r="R4" s="2" t="s">
        <v>207</v>
      </c>
      <c r="S4" s="2" t="s">
        <v>207</v>
      </c>
      <c r="T4" s="2" t="s">
        <v>91</v>
      </c>
      <c r="U4" s="1" t="s">
        <v>14</v>
      </c>
      <c r="V4" s="2" t="s">
        <v>238</v>
      </c>
      <c r="X4" s="2" t="s">
        <v>174</v>
      </c>
      <c r="Y4" s="100" t="s">
        <v>98</v>
      </c>
      <c r="Z4" s="2" t="s">
        <v>98</v>
      </c>
      <c r="AA4" s="2" t="s">
        <v>97</v>
      </c>
      <c r="AB4" s="2" t="s">
        <v>233</v>
      </c>
      <c r="AC4" s="93">
        <v>0.9</v>
      </c>
    </row>
    <row r="5" spans="1:29" ht="21.6" x14ac:dyDescent="0.55000000000000004">
      <c r="B5" s="17" t="s">
        <v>501</v>
      </c>
      <c r="C5" s="3">
        <v>1.02</v>
      </c>
      <c r="D5" s="2" t="s">
        <v>79</v>
      </c>
      <c r="E5" s="2">
        <v>0.06</v>
      </c>
      <c r="F5" s="2" t="s">
        <v>78</v>
      </c>
      <c r="I5" s="82" t="s">
        <v>448</v>
      </c>
      <c r="J5" s="15" t="s">
        <v>20</v>
      </c>
      <c r="K5" s="14" t="s">
        <v>19</v>
      </c>
      <c r="N5" s="2" t="s">
        <v>77</v>
      </c>
      <c r="O5" s="2" t="s">
        <v>187</v>
      </c>
      <c r="P5" s="2" t="s">
        <v>76</v>
      </c>
      <c r="Q5" s="2" t="s">
        <v>488</v>
      </c>
      <c r="R5" s="2" t="s">
        <v>6</v>
      </c>
      <c r="S5" s="2" t="s">
        <v>6</v>
      </c>
      <c r="T5" s="2" t="s">
        <v>92</v>
      </c>
      <c r="U5" s="1" t="s">
        <v>15</v>
      </c>
      <c r="V5" s="2" t="s">
        <v>239</v>
      </c>
      <c r="X5" s="2" t="s">
        <v>182</v>
      </c>
      <c r="Y5" s="100" t="s">
        <v>109</v>
      </c>
      <c r="Z5" s="2" t="s">
        <v>109</v>
      </c>
      <c r="AA5" s="2" t="s">
        <v>81</v>
      </c>
      <c r="AB5" s="2" t="s">
        <v>234</v>
      </c>
      <c r="AC5" s="93">
        <v>2.6</v>
      </c>
    </row>
    <row r="6" spans="1:29" ht="21.6" x14ac:dyDescent="0.55000000000000004">
      <c r="B6" s="17" t="s">
        <v>502</v>
      </c>
      <c r="C6" s="3">
        <v>1.36</v>
      </c>
      <c r="D6" s="2" t="s">
        <v>79</v>
      </c>
      <c r="E6" s="2">
        <v>5.7000000000000002E-2</v>
      </c>
      <c r="F6" s="2" t="s">
        <v>78</v>
      </c>
      <c r="I6" s="82" t="s">
        <v>453</v>
      </c>
      <c r="J6" s="11">
        <f>IF(ISERROR('4.エネルギー使用量 (不適合)'!$O$36/1000*$C$10*$C$7*$C$15),"",ROUND('4.エネルギー使用量 (不適合)'!$O$36/1000*$C$10*$C$7*$C$15,2))</f>
        <v>893.05</v>
      </c>
      <c r="K6" s="10">
        <f>IF(ISERROR('4.エネルギー使用量(適合例)'!$O$36/1000*$C$10*$E$10*$E$7),"",ROUND('4.エネルギー使用量(適合例)'!$O$36/1000*$C$10*$E$10*$E$7,2))</f>
        <v>8.1199999999999992</v>
      </c>
      <c r="L6" s="2" t="s">
        <v>454</v>
      </c>
      <c r="N6" s="2" t="s">
        <v>43</v>
      </c>
      <c r="O6" s="163" t="s">
        <v>441</v>
      </c>
      <c r="P6" s="2" t="s">
        <v>133</v>
      </c>
      <c r="Q6" s="2" t="s">
        <v>489</v>
      </c>
      <c r="R6" s="2" t="s">
        <v>208</v>
      </c>
      <c r="S6" s="2" t="s">
        <v>209</v>
      </c>
      <c r="T6" s="2" t="s">
        <v>93</v>
      </c>
      <c r="U6" s="1" t="s">
        <v>17</v>
      </c>
      <c r="V6" s="2" t="s">
        <v>240</v>
      </c>
      <c r="X6" s="2" t="s">
        <v>102</v>
      </c>
      <c r="Y6" s="100" t="s">
        <v>108</v>
      </c>
      <c r="Z6" s="2" t="s">
        <v>108</v>
      </c>
      <c r="AA6" s="2" t="s">
        <v>77</v>
      </c>
      <c r="AB6" s="2" t="s">
        <v>235</v>
      </c>
      <c r="AC6" s="93">
        <v>1.5</v>
      </c>
    </row>
    <row r="7" spans="1:29" ht="21.6" x14ac:dyDescent="0.55000000000000004">
      <c r="B7" s="2" t="s">
        <v>75</v>
      </c>
      <c r="C7" s="5">
        <v>2.58E-2</v>
      </c>
      <c r="D7" s="2" t="s">
        <v>74</v>
      </c>
      <c r="E7" s="2">
        <f>44/12</f>
        <v>3.6666666666666665</v>
      </c>
      <c r="F7" s="2" t="s">
        <v>73</v>
      </c>
      <c r="I7" s="82" t="s">
        <v>451</v>
      </c>
      <c r="J7" s="11">
        <f>IF(ISERROR('4.エネルギー使用量(適合例)'!$O$36/$G$11*$C$11*$C$7),"",ROUND('4.エネルギー使用量(適合例)'!$O$36/$G$11*$C$11*$C$7,2))</f>
        <v>9.84</v>
      </c>
      <c r="K7" s="10">
        <f>IF(ISERROR('4.エネルギー使用量(適合例)'!$O$36/$G$11*$C$11*$E$11*$E$7),"",ROUND('4.エネルギー使用量(適合例)'!$O$36/$G$11*$C$11*$E$11*$E$7,2))</f>
        <v>22.5</v>
      </c>
      <c r="L7" s="57">
        <f>IF(ISERROR('4.エネルギー使用量(適合例)'!$O$36/1000*$C$11*$C$7),"",'4.エネルギー使用量(適合例)'!$O$36/1000*$C$11*$C$7)</f>
        <v>4.7405848799999992</v>
      </c>
      <c r="M7" s="2" t="s">
        <v>250</v>
      </c>
      <c r="N7" s="2" t="s">
        <v>72</v>
      </c>
      <c r="O7" s="2" t="s">
        <v>188</v>
      </c>
      <c r="P7" s="2" t="s">
        <v>71</v>
      </c>
      <c r="Q7" s="2" t="s">
        <v>490</v>
      </c>
      <c r="R7" s="2" t="s">
        <v>209</v>
      </c>
      <c r="S7" s="2" t="s">
        <v>210</v>
      </c>
      <c r="T7" s="1" t="s">
        <v>94</v>
      </c>
      <c r="Y7" s="100" t="s">
        <v>107</v>
      </c>
      <c r="Z7" s="2" t="s">
        <v>107</v>
      </c>
      <c r="AA7" s="2" t="s">
        <v>43</v>
      </c>
      <c r="AB7" s="2" t="s">
        <v>236</v>
      </c>
      <c r="AC7" s="93">
        <v>1</v>
      </c>
    </row>
    <row r="8" spans="1:29" ht="21.6" x14ac:dyDescent="0.55000000000000004">
      <c r="I8" s="82" t="s">
        <v>452</v>
      </c>
      <c r="J8" s="11">
        <f>IF(ISERROR('4.エネルギー使用量(適合例)'!$O$36*$C$28*$C$12*$C$7),"",ROUND('4.エネルギー使用量(適合例)'!$O$36*$C$28*$C$12*$C$7,2))</f>
        <v>2.3199999999999998</v>
      </c>
      <c r="K8" s="10">
        <f>IF(ISERROR('4.エネルギー使用量(適合例)'!$O$36*$C$28*$C$12*$E$12*$E$7),"",ROUND('4.エネルギー使用量(適合例)'!$O$36*$C$28*$C$12*$E$12*$E$7,2))</f>
        <v>4.46</v>
      </c>
      <c r="N8" s="2" t="s">
        <v>44</v>
      </c>
      <c r="O8" s="2" t="s">
        <v>442</v>
      </c>
      <c r="P8" s="2" t="s">
        <v>69</v>
      </c>
      <c r="Q8" s="2" t="s">
        <v>491</v>
      </c>
      <c r="R8" s="2" t="s">
        <v>210</v>
      </c>
      <c r="S8" s="2" t="s">
        <v>11</v>
      </c>
      <c r="Y8" s="100" t="s">
        <v>106</v>
      </c>
      <c r="Z8" s="2" t="s">
        <v>256</v>
      </c>
      <c r="AA8" s="2" t="s">
        <v>72</v>
      </c>
      <c r="AB8" s="2" t="s">
        <v>11</v>
      </c>
      <c r="AC8" s="93">
        <v>1.2</v>
      </c>
    </row>
    <row r="9" spans="1:29" x14ac:dyDescent="0.55000000000000004">
      <c r="C9" s="2" t="s">
        <v>70</v>
      </c>
      <c r="I9" s="82" t="s">
        <v>455</v>
      </c>
      <c r="J9" s="11">
        <f>IF(ISERROR('4.エネルギー使用量(適合例)'!$O$36/1000*$C$13*$C$7),"",ROUND('4.エネルギー使用量(適合例)'!$O$36/1000*$C$13*$C$7,2))</f>
        <v>4.1900000000000004</v>
      </c>
      <c r="K9" s="10">
        <f>IF(ISERROR('4.エネルギー使用量(適合例)'!$O$36/1000*$C$12*$E$12*$E$7),"",ROUND('4.エネルギー使用量(適合例)'!$O$36/1000*$C$12*$E$12*$E$7,2))</f>
        <v>9.7799999999999994</v>
      </c>
      <c r="O9" s="164" t="s">
        <v>450</v>
      </c>
      <c r="P9" s="2" t="s">
        <v>67</v>
      </c>
      <c r="Q9" s="2" t="s">
        <v>492</v>
      </c>
      <c r="R9" s="2" t="s">
        <v>11</v>
      </c>
      <c r="Y9" s="100" t="s">
        <v>105</v>
      </c>
      <c r="Z9" s="2" t="s">
        <v>259</v>
      </c>
      <c r="AA9" s="2" t="s">
        <v>44</v>
      </c>
    </row>
    <row r="10" spans="1:29" ht="18" thickBot="1" x14ac:dyDescent="0.6">
      <c r="B10" s="2" t="s">
        <v>68</v>
      </c>
      <c r="C10" s="9">
        <v>45</v>
      </c>
      <c r="D10" s="2" t="s">
        <v>59</v>
      </c>
      <c r="E10" s="5">
        <v>1.3599999999999999E-2</v>
      </c>
      <c r="F10" s="2" t="s">
        <v>56</v>
      </c>
      <c r="I10" s="82" t="s">
        <v>456</v>
      </c>
      <c r="J10" s="8">
        <f>IF(ISERROR('4.エネルギー使用量(適合例)'!$O$36/1000*$C$14*$C$7),"",ROUND('4.エネルギー使用量(適合例)'!$O$36/1000*$C$14*$C$7,2))</f>
        <v>4.0599999999999996</v>
      </c>
      <c r="K10" s="7">
        <f>IF(ISERROR('4.エネルギー使用量(適合例)'!$O$36/1000*$C$14*$E$14*$E$7),"",ROUND('4.エネルギー使用量(適合例)'!$O$36/1000*$C$14*$E$14*$E$7,2))</f>
        <v>8.02</v>
      </c>
      <c r="O10" s="2" t="s">
        <v>188</v>
      </c>
      <c r="P10" s="2" t="s">
        <v>64</v>
      </c>
      <c r="Q10" s="2" t="s">
        <v>493</v>
      </c>
      <c r="Y10" s="100" t="s">
        <v>104</v>
      </c>
      <c r="Z10" s="2" t="s">
        <v>105</v>
      </c>
    </row>
    <row r="11" spans="1:29" x14ac:dyDescent="0.55000000000000004">
      <c r="B11" s="2" t="s">
        <v>66</v>
      </c>
      <c r="C11" s="9">
        <v>50.8</v>
      </c>
      <c r="D11" s="2" t="s">
        <v>62</v>
      </c>
      <c r="E11" s="5">
        <v>1.61E-2</v>
      </c>
      <c r="F11" s="2" t="s">
        <v>56</v>
      </c>
      <c r="G11" s="4">
        <v>482</v>
      </c>
      <c r="H11" s="2" t="s">
        <v>65</v>
      </c>
      <c r="O11" s="2" t="s">
        <v>442</v>
      </c>
      <c r="Q11" s="2" t="s">
        <v>494</v>
      </c>
      <c r="Y11" s="100" t="s">
        <v>103</v>
      </c>
      <c r="Z11" s="2" t="s">
        <v>104</v>
      </c>
    </row>
    <row r="12" spans="1:29" x14ac:dyDescent="0.55000000000000004">
      <c r="B12" s="2" t="s">
        <v>63</v>
      </c>
      <c r="C12" s="9">
        <v>54.6</v>
      </c>
      <c r="D12" s="2" t="s">
        <v>62</v>
      </c>
      <c r="E12" s="5">
        <v>1.35E-2</v>
      </c>
      <c r="F12" s="2" t="s">
        <v>56</v>
      </c>
      <c r="G12" s="2">
        <f>1000/G11</f>
        <v>2.0746887966804981</v>
      </c>
      <c r="O12" s="2" t="s">
        <v>461</v>
      </c>
      <c r="Z12" s="2" t="s">
        <v>257</v>
      </c>
    </row>
    <row r="13" spans="1:29" ht="19.2" x14ac:dyDescent="0.55000000000000004">
      <c r="B13" s="2" t="s">
        <v>61</v>
      </c>
      <c r="C13" s="9">
        <v>44.9</v>
      </c>
      <c r="D13" s="2" t="s">
        <v>59</v>
      </c>
      <c r="E13" s="5">
        <v>1.4200000000000001E-2</v>
      </c>
      <c r="F13" s="2" t="s">
        <v>56</v>
      </c>
      <c r="G13" s="40" t="s">
        <v>180</v>
      </c>
      <c r="N13" s="1" t="s">
        <v>111</v>
      </c>
      <c r="O13" s="1"/>
      <c r="P13" s="1"/>
      <c r="Z13" s="2" t="s">
        <v>258</v>
      </c>
    </row>
    <row r="14" spans="1:29" ht="19.2" x14ac:dyDescent="0.55000000000000004">
      <c r="B14" s="2" t="s">
        <v>60</v>
      </c>
      <c r="C14" s="9">
        <v>43.5</v>
      </c>
      <c r="D14" s="2" t="s">
        <v>59</v>
      </c>
      <c r="E14" s="5">
        <v>1.3899999999999999E-2</v>
      </c>
      <c r="F14" s="2" t="s">
        <v>56</v>
      </c>
      <c r="G14" s="40" t="s">
        <v>181</v>
      </c>
      <c r="N14" s="101" t="s">
        <v>110</v>
      </c>
      <c r="O14" s="101"/>
      <c r="P14" s="101"/>
      <c r="Z14" s="2" t="s">
        <v>103</v>
      </c>
    </row>
    <row r="15" spans="1:29" ht="19.8" thickBot="1" x14ac:dyDescent="0.6">
      <c r="B15" s="2" t="s">
        <v>242</v>
      </c>
      <c r="C15" s="2">
        <v>0.9666547347078589</v>
      </c>
      <c r="J15" s="3"/>
      <c r="K15" s="3"/>
      <c r="N15" s="49"/>
      <c r="O15" s="49" t="s">
        <v>101</v>
      </c>
      <c r="P15" s="49" t="s">
        <v>100</v>
      </c>
      <c r="Q15" s="1"/>
      <c r="R15" s="45" t="s">
        <v>183</v>
      </c>
      <c r="U15" s="39" t="s">
        <v>113</v>
      </c>
    </row>
    <row r="16" spans="1:29" ht="19.2" x14ac:dyDescent="0.55000000000000004">
      <c r="I16" s="82" t="s">
        <v>457</v>
      </c>
      <c r="J16" s="13" t="s">
        <v>20</v>
      </c>
      <c r="K16" s="12" t="s">
        <v>19</v>
      </c>
      <c r="N16" s="49" t="s">
        <v>98</v>
      </c>
      <c r="O16" s="49">
        <v>800</v>
      </c>
      <c r="P16" s="49">
        <v>400</v>
      </c>
      <c r="Q16" s="1"/>
      <c r="U16" s="39" t="s">
        <v>91</v>
      </c>
    </row>
    <row r="17" spans="2:30" ht="19.2" x14ac:dyDescent="0.55000000000000004">
      <c r="B17" s="2" t="s">
        <v>58</v>
      </c>
      <c r="C17" s="9">
        <v>38.200000000000003</v>
      </c>
      <c r="D17" s="2" t="s">
        <v>57</v>
      </c>
      <c r="E17" s="5">
        <v>1.8700000000000001E-2</v>
      </c>
      <c r="F17" s="2" t="s">
        <v>56</v>
      </c>
      <c r="I17" s="82" t="s">
        <v>453</v>
      </c>
      <c r="J17" s="11">
        <f>IF(ISERROR('4.エネルギー使用量(適合例)'!$O$36/1000*$C$10*$C$7*$C$15),"",ROUND('4.エネルギー使用量(適合例)'!$O$36/1000*$C$10*$C$7*$C$15,2))</f>
        <v>4.0599999999999996</v>
      </c>
      <c r="K17" s="10">
        <f>IF(ISERROR('4.エネルギー使用量(適合例)'!$O$36/1000*$C$10*$E$10*$E$7),"",ROUND('4.エネルギー使用量(適合例)'!$O$36/1000*$C$10*$E$10*$E$7,2))</f>
        <v>8.1199999999999992</v>
      </c>
      <c r="L17" s="2" t="s">
        <v>454</v>
      </c>
      <c r="N17" s="49" t="s">
        <v>109</v>
      </c>
      <c r="O17" s="49">
        <v>900</v>
      </c>
      <c r="P17" s="49">
        <v>400</v>
      </c>
      <c r="Q17" s="1"/>
      <c r="R17" s="45" t="s">
        <v>139</v>
      </c>
      <c r="S17" s="39"/>
      <c r="T17" s="39" t="s">
        <v>140</v>
      </c>
      <c r="U17" s="39" t="s">
        <v>92</v>
      </c>
    </row>
    <row r="18" spans="2:30" ht="19.2" x14ac:dyDescent="0.55000000000000004">
      <c r="B18" s="2" t="s">
        <v>55</v>
      </c>
      <c r="C18" s="9">
        <v>36.700000000000003</v>
      </c>
      <c r="D18" s="2" t="s">
        <v>51</v>
      </c>
      <c r="E18" s="5">
        <v>1.8499999999999999E-2</v>
      </c>
      <c r="F18" s="2" t="s">
        <v>50</v>
      </c>
      <c r="I18" s="82" t="s">
        <v>197</v>
      </c>
      <c r="J18" s="16" t="str">
        <f>IF(ISERROR('4.エネルギー使用量(適合例)'!$O$47/1000*$C$4*$C$7),"",ROUND('4.エネルギー使用量(適合例)'!$O$47/1000*$C$4*$C$7,2))</f>
        <v/>
      </c>
      <c r="K18" s="10" t="str">
        <f>IF(ISERROR('4.エネルギー使用量(適合例)'!$O$47/1000*$C$4*$E$4),"",ROUND('4.エネルギー使用量(適合例)'!$O$47/1000*$C$4*$E$4,2))</f>
        <v/>
      </c>
      <c r="L18" s="82"/>
      <c r="N18" s="49" t="s">
        <v>108</v>
      </c>
      <c r="O18" s="49">
        <v>1000</v>
      </c>
      <c r="P18" s="49">
        <v>500</v>
      </c>
      <c r="Q18" s="1"/>
      <c r="R18" s="45" t="s">
        <v>142</v>
      </c>
      <c r="S18" s="39"/>
      <c r="T18" s="39" t="s">
        <v>143</v>
      </c>
      <c r="U18" s="39" t="s">
        <v>93</v>
      </c>
    </row>
    <row r="19" spans="2:30" ht="19.2" x14ac:dyDescent="0.55000000000000004">
      <c r="B19" s="2" t="s">
        <v>54</v>
      </c>
      <c r="C19" s="9">
        <v>37.700000000000003</v>
      </c>
      <c r="D19" s="2" t="s">
        <v>51</v>
      </c>
      <c r="E19" s="5">
        <v>1.8700000000000001E-2</v>
      </c>
      <c r="F19" s="2" t="s">
        <v>50</v>
      </c>
      <c r="I19" s="82" t="s">
        <v>198</v>
      </c>
      <c r="J19" s="16" t="str">
        <f>IF(ISERROR('4.エネルギー使用量(適合例)'!$O$47/1000*$C$5*$C$7),"",ROUND('4.エネルギー使用量(適合例)'!$O$47/1000*$C$5*$C$7,2))</f>
        <v/>
      </c>
      <c r="K19" s="10" t="str">
        <f>IF(ISERROR('4.エネルギー使用量(適合例)'!$O$47/1000*$C$5*$E$5),"",ROUND('4.エネルギー使用量(適合例)'!$O$47/1000*$C$5*$E$5,2))</f>
        <v/>
      </c>
      <c r="N19" s="49" t="s">
        <v>107</v>
      </c>
      <c r="O19" s="49">
        <v>1000</v>
      </c>
      <c r="P19" s="49">
        <v>1200</v>
      </c>
      <c r="Q19" s="1"/>
      <c r="R19" s="45" t="s">
        <v>145</v>
      </c>
      <c r="S19" s="39"/>
      <c r="T19" s="39"/>
      <c r="U19" s="39" t="s">
        <v>94</v>
      </c>
    </row>
    <row r="20" spans="2:30" ht="19.2" x14ac:dyDescent="0.55000000000000004">
      <c r="B20" s="2" t="s">
        <v>53</v>
      </c>
      <c r="C20" s="9">
        <v>39.1</v>
      </c>
      <c r="D20" s="2" t="s">
        <v>51</v>
      </c>
      <c r="E20" s="5">
        <v>1.89E-2</v>
      </c>
      <c r="F20" s="2" t="s">
        <v>50</v>
      </c>
      <c r="I20" s="82" t="s">
        <v>199</v>
      </c>
      <c r="J20" s="16" t="str">
        <f>IF(ISERROR('4.エネルギー使用量(適合例)'!$O$47/1000*$C$6*$C$7),"",ROUND('4.エネルギー使用量(適合例)'!$O$47/1000*$C$6*$C$7,2))</f>
        <v/>
      </c>
      <c r="K20" s="10" t="str">
        <f>IF(ISERROR('4.エネルギー使用量(適合例)'!$O$47/1000*$C$6*$E$6),"",'4.エネルギー使用量(適合例)'!$O$47/1000*$C$6*$E$6)</f>
        <v/>
      </c>
      <c r="N20" s="49" t="s">
        <v>256</v>
      </c>
      <c r="O20" s="49">
        <v>400</v>
      </c>
      <c r="P20" s="49">
        <v>500</v>
      </c>
      <c r="Q20" s="1"/>
      <c r="R20" s="45" t="s">
        <v>146</v>
      </c>
      <c r="S20" s="39"/>
      <c r="T20" s="39" t="s">
        <v>477</v>
      </c>
      <c r="U20" s="39" t="s">
        <v>484</v>
      </c>
    </row>
    <row r="21" spans="2:30" ht="19.2" x14ac:dyDescent="0.55000000000000004">
      <c r="B21" s="2" t="s">
        <v>52</v>
      </c>
      <c r="C21" s="9">
        <v>41.9</v>
      </c>
      <c r="D21" s="2" t="s">
        <v>51</v>
      </c>
      <c r="E21" s="5">
        <v>1.95E-2</v>
      </c>
      <c r="F21" s="2" t="s">
        <v>50</v>
      </c>
      <c r="I21" s="82" t="s">
        <v>193</v>
      </c>
      <c r="J21" s="11" t="str">
        <f>IF(ISERROR('4.エネルギー使用量(適合例)'!$O$47/1000*$C$18*$C$7),"",ROUND('4.エネルギー使用量(適合例)'!$O$47/1000*$C$18*$C$7,2))</f>
        <v/>
      </c>
      <c r="K21" s="10" t="str">
        <f>IF(ISERROR('4.エネルギー使用量(適合例)'!$O$47/1000*$C$18*$E$18*$E$7),"",ROUND('4.エネルギー使用量(適合例)'!$O$47/1000*$C$18*$E$18*$E$7,2))</f>
        <v/>
      </c>
      <c r="N21" s="49" t="s">
        <v>259</v>
      </c>
      <c r="O21" s="49">
        <v>400</v>
      </c>
      <c r="P21" s="49">
        <v>500</v>
      </c>
      <c r="Q21" s="1"/>
      <c r="R21" s="45" t="s">
        <v>148</v>
      </c>
      <c r="S21" s="39"/>
      <c r="T21" s="39" t="s">
        <v>478</v>
      </c>
      <c r="U21" s="39"/>
    </row>
    <row r="22" spans="2:30" ht="19.2" x14ac:dyDescent="0.55000000000000004">
      <c r="I22" s="82" t="s">
        <v>194</v>
      </c>
      <c r="J22" s="11" t="str">
        <f>IF(ISERROR('4.エネルギー使用量(適合例)'!$O$47/1000*$C$19*$C$7),"",ROUND('4.エネルギー使用量(適合例)'!$O$47/1000*$C$19*$C$7,2))</f>
        <v/>
      </c>
      <c r="K22" s="10" t="str">
        <f>IF(ISERROR('4.エネルギー使用量(適合例)'!$O$47/1000*$C$19*$E$19*$E$7),"",ROUND('4.エネルギー使用量(適合例)'!$O$47/1000*$C$19*$E$19*$E$7,2))</f>
        <v/>
      </c>
      <c r="N22" s="49" t="s">
        <v>105</v>
      </c>
      <c r="O22" s="49">
        <v>1000</v>
      </c>
      <c r="P22" s="49">
        <v>900</v>
      </c>
      <c r="Q22" s="1"/>
      <c r="R22" s="45" t="s">
        <v>149</v>
      </c>
      <c r="S22" s="39"/>
      <c r="T22" s="39" t="s">
        <v>503</v>
      </c>
      <c r="U22" s="39"/>
    </row>
    <row r="23" spans="2:30" ht="19.2" x14ac:dyDescent="0.55000000000000004">
      <c r="B23" s="2" t="s">
        <v>49</v>
      </c>
      <c r="C23" s="2" t="s">
        <v>48</v>
      </c>
      <c r="I23" s="82" t="s">
        <v>195</v>
      </c>
      <c r="J23" s="11" t="str">
        <f>IF(ISERROR('4.エネルギー使用量(適合例)'!$O$47/1000*$C$20*$C$7),"",ROUND('4.エネルギー使用量(適合例)'!$O$47/1000*$C$20*$C$7,2))</f>
        <v/>
      </c>
      <c r="K23" s="10" t="str">
        <f>IF(ISERROR('4.エネルギー使用量(適合例)'!$O$47/1000*$C$20*$E$20*$E$7),"",ROUND('4.エネルギー使用量(適合例)'!$O$47/1000*$C$20*$E$20*$E$7,2))</f>
        <v/>
      </c>
      <c r="N23" s="49" t="s">
        <v>104</v>
      </c>
      <c r="O23" s="49">
        <v>1000</v>
      </c>
      <c r="P23" s="49">
        <v>500</v>
      </c>
      <c r="Q23" s="1"/>
      <c r="R23" s="45" t="s">
        <v>150</v>
      </c>
      <c r="S23" s="39"/>
      <c r="T23" s="39" t="s">
        <v>504</v>
      </c>
    </row>
    <row r="24" spans="2:30" ht="19.8" thickBot="1" x14ac:dyDescent="0.6">
      <c r="B24" s="2" t="s">
        <v>47</v>
      </c>
      <c r="C24" s="6">
        <f>1/502</f>
        <v>1.9920318725099601E-3</v>
      </c>
      <c r="D24" s="2" t="s">
        <v>41</v>
      </c>
      <c r="I24" s="82" t="s">
        <v>196</v>
      </c>
      <c r="J24" s="8" t="str">
        <f>IF(ISERROR('4.エネルギー使用量(適合例)'!$O$47/1000*$C$21*$C$7),"",ROUND('4.エネルギー使用量(適合例)'!$O$47/1000*$C$21*$C$7,2))</f>
        <v/>
      </c>
      <c r="K24" s="7" t="str">
        <f>IF(ISERROR('4.エネルギー使用量(適合例)'!$O$47/1000*$C$21*$E$21*$E$7),"",ROUND('4.エネルギー使用量(適合例)'!$O$47/1000*$C$21*$E$21*$E$7,2))</f>
        <v/>
      </c>
      <c r="N24" s="49" t="s">
        <v>263</v>
      </c>
      <c r="O24" s="49">
        <v>800</v>
      </c>
      <c r="P24" s="49">
        <v>400</v>
      </c>
      <c r="Q24" s="1"/>
      <c r="R24" s="45" t="s">
        <v>138</v>
      </c>
      <c r="S24" s="39"/>
      <c r="T24" s="39"/>
    </row>
    <row r="25" spans="2:30" ht="18" thickBot="1" x14ac:dyDescent="0.6">
      <c r="B25" s="2" t="s">
        <v>46</v>
      </c>
      <c r="C25" s="6">
        <f>1/355</f>
        <v>2.8169014084507044E-3</v>
      </c>
      <c r="D25" s="2" t="s">
        <v>41</v>
      </c>
      <c r="N25" s="49" t="s">
        <v>258</v>
      </c>
      <c r="O25" s="49">
        <v>800</v>
      </c>
      <c r="P25" s="49">
        <v>400</v>
      </c>
      <c r="Q25" s="1"/>
      <c r="R25" s="1"/>
    </row>
    <row r="26" spans="2:30" ht="19.2" x14ac:dyDescent="0.55000000000000004">
      <c r="B26" s="2" t="s">
        <v>45</v>
      </c>
      <c r="C26" s="6">
        <f>1/458</f>
        <v>2.1834061135371178E-3</v>
      </c>
      <c r="D26" s="2" t="s">
        <v>41</v>
      </c>
      <c r="I26" s="82" t="s">
        <v>458</v>
      </c>
      <c r="J26" s="13" t="s">
        <v>20</v>
      </c>
      <c r="K26" s="12" t="s">
        <v>19</v>
      </c>
      <c r="N26" s="49" t="s">
        <v>103</v>
      </c>
      <c r="O26" s="49">
        <v>800</v>
      </c>
      <c r="P26" s="49">
        <v>400</v>
      </c>
      <c r="Q26" s="1"/>
      <c r="T26" s="39" t="s">
        <v>223</v>
      </c>
    </row>
    <row r="27" spans="2:30" x14ac:dyDescent="0.55000000000000004">
      <c r="B27" s="2" t="s">
        <v>44</v>
      </c>
      <c r="C27" s="6">
        <f>1/1220</f>
        <v>8.1967213114754098E-4</v>
      </c>
      <c r="D27" s="2" t="s">
        <v>41</v>
      </c>
      <c r="E27" s="3">
        <f>C33/C32</f>
        <v>1208.955223880597</v>
      </c>
      <c r="F27" s="2" t="s">
        <v>40</v>
      </c>
      <c r="I27" s="82" t="s">
        <v>197</v>
      </c>
      <c r="J27" s="16" t="str">
        <f>IF(ISERROR('4.エネルギー使用量(適合例)'!$O$58/1000*$C$4*$C$7),"",ROUND('4.エネルギー使用量(適合例)'!$O$58/1000*$C$4*$C$7,2))</f>
        <v/>
      </c>
      <c r="K27" s="10" t="str">
        <f>IF(ISERROR('4.エネルギー使用量(適合例)'!$O$58/1000*$C$4*$E$4),"",ROUND('4.エネルギー使用量(適合例)'!$O$58/1000*$C$4*$E$4,2))</f>
        <v/>
      </c>
      <c r="N27" s="1"/>
      <c r="O27" s="1"/>
      <c r="P27" s="1"/>
      <c r="Q27" s="1"/>
    </row>
    <row r="28" spans="2:30" ht="19.2" x14ac:dyDescent="0.55000000000000004">
      <c r="B28" s="2" t="s">
        <v>43</v>
      </c>
      <c r="C28" s="6">
        <f>1/E28</f>
        <v>4.557823129251701E-4</v>
      </c>
      <c r="D28" s="2" t="s">
        <v>41</v>
      </c>
      <c r="E28" s="3">
        <f>C31/C32*1000</f>
        <v>2194.0298507462685</v>
      </c>
      <c r="F28" s="2" t="s">
        <v>40</v>
      </c>
      <c r="I28" s="82" t="s">
        <v>198</v>
      </c>
      <c r="J28" s="16" t="str">
        <f>IF(ISERROR('4.エネルギー使用量(適合例)'!$O$58/1000*$C$5*$C$7),"",ROUND('4.エネルギー使用量(適合例)'!$O$58/1000*$C$5*$C$7,2))</f>
        <v/>
      </c>
      <c r="K28" s="10" t="str">
        <f>IF(ISERROR('4.エネルギー使用量(適合例)'!$O$58/1000*$C$5*$E$5),"",ROUND('4.エネルギー使用量(適合例)'!$O$58/1000*$C$5*$E$5,2))</f>
        <v/>
      </c>
      <c r="N28" s="18"/>
      <c r="O28" s="18"/>
      <c r="P28" s="274" t="s">
        <v>173</v>
      </c>
      <c r="Q28" s="275"/>
      <c r="R28" s="275"/>
      <c r="S28" s="275"/>
      <c r="T28" s="275"/>
      <c r="U28" s="275"/>
      <c r="V28" s="275"/>
      <c r="W28" s="275"/>
      <c r="X28" s="275"/>
      <c r="Y28" s="275"/>
      <c r="Z28" s="275"/>
      <c r="AA28" s="275"/>
      <c r="AB28" s="275"/>
      <c r="AC28" s="275"/>
      <c r="AD28" s="276"/>
    </row>
    <row r="29" spans="2:30" ht="19.2" x14ac:dyDescent="0.55000000000000004">
      <c r="I29" s="82" t="s">
        <v>199</v>
      </c>
      <c r="J29" s="16" t="str">
        <f>IF(ISERROR('4.エネルギー使用量(適合例)'!$O$58/1000*$C$6*$C$7),"",ROUND('4.エネルギー使用量(適合例)'!$O$58/1000*$C$6*$C$7,2))</f>
        <v/>
      </c>
      <c r="K29" s="10" t="str">
        <f>IF(ISERROR('4.エネルギー使用量(適合例)'!$O$58/1000*$C$6*$E$6),"",ROUND('4.エネルギー使用量(適合例)'!$O$58/1000*$C$6*$E$6,2))</f>
        <v/>
      </c>
      <c r="N29" s="18"/>
      <c r="O29" s="18"/>
      <c r="P29" s="277" t="s">
        <v>176</v>
      </c>
      <c r="Q29" s="277"/>
      <c r="R29" s="277"/>
      <c r="S29" s="277" t="s">
        <v>175</v>
      </c>
      <c r="T29" s="277"/>
      <c r="U29" s="277"/>
      <c r="V29" s="277" t="s">
        <v>117</v>
      </c>
      <c r="W29" s="277"/>
      <c r="X29" s="277"/>
      <c r="Y29" s="277" t="s">
        <v>118</v>
      </c>
      <c r="Z29" s="277"/>
      <c r="AA29" s="277"/>
      <c r="AB29" s="277" t="s">
        <v>119</v>
      </c>
      <c r="AC29" s="277"/>
      <c r="AD29" s="277"/>
    </row>
    <row r="30" spans="2:30" ht="19.2" x14ac:dyDescent="0.55000000000000004">
      <c r="B30" s="2" t="s">
        <v>42</v>
      </c>
      <c r="I30" s="82" t="s">
        <v>193</v>
      </c>
      <c r="J30" s="11" t="str">
        <f>IF(ISERROR('4.エネルギー使用量(適合例)'!$O$58/1000*$C$18*$C$7),"",ROUND('4.エネルギー使用量(適合例)'!$O$58/1000*$C$18*$C$7,2))</f>
        <v/>
      </c>
      <c r="K30" s="10" t="str">
        <f>IF(ISERROR('4.エネルギー使用量(適合例)'!$O$58/1000*$C$18*$E$18*$E$7),"",ROUND('4.エネルギー使用量(適合例)'!$O$58/1000*$C$18*$E$18*$E$7,2))</f>
        <v/>
      </c>
      <c r="N30" s="18"/>
      <c r="O30" s="18"/>
      <c r="P30" s="197" t="s">
        <v>101</v>
      </c>
      <c r="Q30" s="197" t="s">
        <v>100</v>
      </c>
      <c r="R30" s="197" t="s">
        <v>99</v>
      </c>
      <c r="S30" s="197" t="s">
        <v>101</v>
      </c>
      <c r="T30" s="197" t="s">
        <v>100</v>
      </c>
      <c r="U30" s="197" t="s">
        <v>99</v>
      </c>
      <c r="V30" s="197" t="s">
        <v>101</v>
      </c>
      <c r="W30" s="197" t="s">
        <v>100</v>
      </c>
      <c r="X30" s="197" t="s">
        <v>99</v>
      </c>
      <c r="Y30" s="197" t="s">
        <v>101</v>
      </c>
      <c r="Z30" s="197" t="s">
        <v>100</v>
      </c>
      <c r="AA30" s="197" t="s">
        <v>99</v>
      </c>
      <c r="AB30" s="197" t="s">
        <v>101</v>
      </c>
      <c r="AC30" s="197" t="s">
        <v>100</v>
      </c>
      <c r="AD30" s="197" t="s">
        <v>99</v>
      </c>
    </row>
    <row r="31" spans="2:30" ht="19.2" x14ac:dyDescent="0.55000000000000004">
      <c r="C31" s="4">
        <f>147000</f>
        <v>147000</v>
      </c>
      <c r="D31" s="2" t="s">
        <v>40</v>
      </c>
      <c r="I31" s="82" t="s">
        <v>194</v>
      </c>
      <c r="J31" s="11" t="str">
        <f>IF(ISERROR('4.エネルギー使用量(適合例)'!$O$58/1000*$C$19*$C$7),"",ROUND('4.エネルギー使用量(適合例)'!$O$58/1000*$C$19*$C$7,2))</f>
        <v/>
      </c>
      <c r="K31" s="10" t="str">
        <f>IF(ISERROR('4.エネルギー使用量(適合例)'!$O$58/1000*$C$19*$E$19*$E$7),"",ROUND('4.エネルギー使用量(適合例)'!$O$58/1000*$C$19*$E$19*$E$7,2))</f>
        <v/>
      </c>
      <c r="N31" s="80" t="s">
        <v>152</v>
      </c>
      <c r="O31" s="34">
        <f>IF(AND('2-3.設備仕様入力(適合例)'!D$122="電気",'2-3.設備仕様入力(適合例)'!D$128="kW"),1,IF(AND('2-3.設備仕様入力(適合例)'!D$122="都市ガス",'2-3.設備仕様入力(適合例)'!D$128="kW"),2,IF(AND('2-3.設備仕様入力(適合例)'!D$122="都市ガス",'2-3.設備仕様入力(適合例)'!D$128="ｍ3N/h"),3,IF(AND('2-3.設備仕様入力(適合例)'!D$122="LPG",'2-3.設備仕様入力(適合例)'!D$128="kW"),4,IF(AND('2-3.設備仕様入力(適合例)'!D$122="LPG",'2-3.設備仕様入力(適合例)'!D$128="kg/h"),5,"")))))</f>
        <v>1</v>
      </c>
      <c r="P31" s="41">
        <f>IF(OR('2-3.設備仕様入力(適合例)'!$D$120="電気式パッケージ形空調機",'2-3.設備仕様入力(適合例)'!$D$120="ルームエアコン"),ROUND('2-3.設備仕様入力(適合例)'!$D$126*'2-3.設備仕様入力(適合例)'!$D$121*計算式!$C$3*VLOOKUP('2-3.設備仕様入力(適合例)'!$D$123,計算式!$N$16:$P$26,2,FALSE)/1000,1),"")</f>
        <v>28.1</v>
      </c>
      <c r="Q31" s="41">
        <f>IF(OR('2-3.設備仕様入力(適合例)'!$D$120="電気式パッケージ形空調機",'2-3.設備仕様入力(適合例)'!$D$120="ルームエアコン"),ROUND('2-3.設備仕様入力(適合例)'!$D$127*'2-3.設備仕様入力(適合例)'!$D$121*計算式!$C$3*VLOOKUP('2-3.設備仕様入力(適合例)'!$D$123,計算式!$N$16:$P$26,3,FALSE)/1000,1),"")</f>
        <v>14.8</v>
      </c>
      <c r="R31" s="41">
        <f t="shared" ref="R31:R50" si="0">IF(AND(P31="",Q31=""),"",P31+Q31)</f>
        <v>42.900000000000006</v>
      </c>
      <c r="S31" s="41" t="str">
        <f>IF('2-3.設備仕様入力(適合例)'!$D$120="ガスヒートポンプ式空調機",IF('2-3.設備仕様入力(適合例)'!$D$122="都市ガス",IF('2-3.設備仕様入力(適合例)'!$D$128="kW",ROUND('2-3.設備仕様入力(適合例)'!$D$121*'2-3.設備仕様入力(適合例)'!$D$126*3.6/1000*VLOOKUP('2-3.設備仕様入力(適合例)'!$D$123,計算式!$N$16:$P$26,2,FALSE),1),""),""),"")</f>
        <v/>
      </c>
      <c r="T31" s="41" t="str">
        <f>IF('2-3.設備仕様入力(適合例)'!$D$120="ガスヒートポンプ式空調機",IF('2-3.設備仕様入力(適合例)'!$D$122="都市ガス",IF('2-3.設備仕様入力(適合例)'!$D$128="kW",ROUND('2-3.設備仕様入力(適合例)'!$D$121*'2-3.設備仕様入力(適合例)'!$D$127*3.6/1000*VLOOKUP('2-3.設備仕様入力(適合例)'!$D$123,計算式!$N$16:$P$26,3,FALSE),1),""),""),"")</f>
        <v/>
      </c>
      <c r="U31" s="41" t="str">
        <f t="shared" ref="U31:U50" si="1">IF(AND(S31="",T31=""),"",S31+T31)</f>
        <v/>
      </c>
      <c r="V31" s="41" t="str">
        <f>IF('2-3.設備仕様入力(適合例)'!$D$120="ガスヒートポンプ式空調機",IF('2-3.設備仕様入力(適合例)'!$D$128="ｍ3N/h",ROUND('2-3.設備仕様入力(適合例)'!$D$121*'2-3.設備仕様入力(適合例)'!$D$126*計算式!$C$10/1000*VLOOKUP('2-3.設備仕様入力(適合例)'!$D$123,計算式!$N$16:$P$26,2,FALSE),1),""),"")</f>
        <v/>
      </c>
      <c r="W31" s="41" t="str">
        <f>IF('2-3.設備仕様入力(適合例)'!$D$120="ガスヒートポンプ式空調機",IF('2-3.設備仕様入力(適合例)'!$D$128="ｍ3N/h",ROUND('2-3.設備仕様入力(適合例)'!$D$121*'2-3.設備仕様入力(適合例)'!$D$127*計算式!$C$10/1000*VLOOKUP('2-3.設備仕様入力(適合例)'!$D$123,計算式!$N$16:$P$26,3,FALSE),1),""),"")</f>
        <v/>
      </c>
      <c r="X31" s="41" t="str">
        <f t="shared" ref="X31:X50" si="2">IF(AND(V31="",W31=""),"",V31+W31)</f>
        <v/>
      </c>
      <c r="Y31" s="41" t="str">
        <f>IF('2-3.設備仕様入力(適合例)'!$D$120="ガスヒートポンプ式空調機",IF('2-3.設備仕様入力(適合例)'!$D$122="LPG",IF('2-3.設備仕様入力(適合例)'!$D$128="kW",ROUND('2-3.設備仕様入力(適合例)'!$D$121*'2-3.設備仕様入力(適合例)'!$D$126*3.6/1000*VLOOKUP('2-3.設備仕様入力(適合例)'!$D$123,計算式!$N$16:$P$26,2,FALSE),1),""),""),"")</f>
        <v/>
      </c>
      <c r="Z31" s="41" t="str">
        <f>IF('2-3.設備仕様入力(適合例)'!$D$120="ガスヒートポンプ式空調機",IF('2-3.設備仕様入力(適合例)'!$D$122="LPG",IF('2-3.設備仕様入力(適合例)'!$D$128="kW",ROUND('2-3.設備仕様入力(適合例)'!$D$121*'2-3.設備仕様入力(適合例)'!$D$127*3.6/1000*VLOOKUP('2-3.設備仕様入力(適合例)'!$D$123,計算式!$N$16:$P$26,3,FALSE),1),""),""),"")</f>
        <v/>
      </c>
      <c r="AA31" s="41" t="str">
        <f t="shared" ref="AA31:AA50" si="3">IF(AND(Y31="",Z31=""),"",Y31+Z31)</f>
        <v/>
      </c>
      <c r="AB31" s="41" t="str">
        <f>IF('2-3.設備仕様入力(適合例)'!$D$120="ガスヒートポンプ式空調機",IF('2-3.設備仕様入力(適合例)'!$D$122="LPG",IF('2-3.設備仕様入力(適合例)'!$D$128="kg/h",ROUND('2-3.設備仕様入力(適合例)'!$D$121*'2-3.設備仕様入力(適合例)'!$D$126*計算式!$C$11/1000*VLOOKUP('2-3.設備仕様入力(適合例)'!$D$123,計算式!$N$16:$P$26,2,FALSE),1),""),""),"")</f>
        <v/>
      </c>
      <c r="AC31" s="41" t="str">
        <f>IF('2-3.設備仕様入力(適合例)'!$D$120="ガスヒートポンプ式空調機",IF('2-3.設備仕様入力(適合例)'!$D$122="LPG",IF('2-3.設備仕様入力(適合例)'!$D$128="kg/h",ROUND('2-3.設備仕様入力(適合例)'!$D$121*'2-3.設備仕様入力(適合例)'!$D$127*計算式!$C$11/1000*VLOOKUP('2-3.設備仕様入力(適合例)'!$D$123,計算式!$N$16:$P$26,3,FALSE),1),""),""),"")</f>
        <v/>
      </c>
      <c r="AD31" s="41" t="str">
        <f t="shared" ref="AD31:AD50" si="4">IF(AND(AB31="",AC31=""),"",AB31+AC31)</f>
        <v/>
      </c>
    </row>
    <row r="32" spans="2:30" ht="19.2" x14ac:dyDescent="0.55000000000000004">
      <c r="C32" s="4">
        <f>67000</f>
        <v>67000</v>
      </c>
      <c r="D32" s="2" t="s">
        <v>41</v>
      </c>
      <c r="I32" s="82" t="s">
        <v>195</v>
      </c>
      <c r="J32" s="11" t="str">
        <f>IF(ISERROR('4.エネルギー使用量(適合例)'!$O$58/1000*$C$20*$C$7),"",ROUND('4.エネルギー使用量(適合例)'!$O$58/1000*$C$20*$C$7,2))</f>
        <v/>
      </c>
      <c r="K32" s="10" t="str">
        <f>IF(ISERROR('4.エネルギー使用量(適合例)'!$O$58/1000*$C$20*$E$20*$E$7),"",ROUND('4.エネルギー使用量(適合例)'!$O$58/1000*$C$20*$E$20*$E$7,2))</f>
        <v/>
      </c>
      <c r="N32" s="80" t="s">
        <v>120</v>
      </c>
      <c r="O32" s="34" t="str">
        <f>IF(AND('2-3.設備仕様入力(適合例)'!E$122="電気",'2-3.設備仕様入力(適合例)'!E$128="kW"),1,IF(AND('2-3.設備仕様入力(適合例)'!E$122="都市ガス",'2-3.設備仕様入力(適合例)'!E$128="kW"),2,IF(AND('2-3.設備仕様入力(適合例)'!E$122="都市ガス",'2-3.設備仕様入力(適合例)'!E$128="ｍ3N/h"),3,IF(AND('2-3.設備仕様入力(適合例)'!E$122="LPG",'2-3.設備仕様入力(適合例)'!E$128="kW"),4,IF(AND('2-3.設備仕様入力(適合例)'!E$122="LPG",'2-3.設備仕様入力(適合例)'!E$128="kg/h"),5,"")))))</f>
        <v/>
      </c>
      <c r="P32" s="41" t="str">
        <f>IF(OR('2-3.設備仕様入力(適合例)'!$E$120="電気式パッケージ形空調機",'2-3.設備仕様入力(適合例)'!$E$120="ルームエアコン"),ROUND('2-3.設備仕様入力(適合例)'!$E$126*'2-3.設備仕様入力(適合例)'!$E$121*計算式!$C$3*VLOOKUP('2-3.設備仕様入力(適合例)'!$E$123,計算式!$N$16:$P$26,2,FALSE)/1000,1),"")</f>
        <v/>
      </c>
      <c r="Q32" s="41" t="str">
        <f>IF(OR('2-3.設備仕様入力(適合例)'!$E$120="電気式パッケージ形空調機",'2-3.設備仕様入力(適合例)'!$E$120="ルームエアコン"),ROUND('2-3.設備仕様入力(適合例)'!$E$127*'2-3.設備仕様入力(適合例)'!$E$121*計算式!$C$3*VLOOKUP('2-3.設備仕様入力(適合例)'!$E$123,計算式!$N$16:$P$26,3,FALSE)/1000,1),"")</f>
        <v/>
      </c>
      <c r="R32" s="41" t="str">
        <f t="shared" si="0"/>
        <v/>
      </c>
      <c r="S32" s="41" t="str">
        <f>IF('2-3.設備仕様入力(適合例)'!$E$120="ガスヒートポンプ式空調機",IF('2-3.設備仕様入力(適合例)'!$E$122="都市ガス",IF('2-3.設備仕様入力(適合例)'!$E$128="kW",ROUND('2-3.設備仕様入力(適合例)'!$E$121*'2-3.設備仕様入力(適合例)'!$E$126*3.6/1000*VLOOKUP('2-3.設備仕様入力(適合例)'!$E$123,計算式!$N$16:$P$26,2,FALSE),1),""),""),"")</f>
        <v/>
      </c>
      <c r="T32" s="41" t="str">
        <f>IF('2-3.設備仕様入力(適合例)'!$E$120="ガスヒートポンプ式空調機",IF('2-3.設備仕様入力(適合例)'!$E$122="都市ガス",IF('2-3.設備仕様入力(適合例)'!$E$128="kW",ROUND('2-3.設備仕様入力(適合例)'!$E$121*'2-3.設備仕様入力(適合例)'!$E$127*3.6/1000*VLOOKUP('2-3.設備仕様入力(適合例)'!$E$123,計算式!$N$16:$P$26,3,FALSE),1),""),""),"")</f>
        <v/>
      </c>
      <c r="U32" s="41" t="str">
        <f t="shared" si="1"/>
        <v/>
      </c>
      <c r="V32" s="41" t="str">
        <f>IF('2-3.設備仕様入力(適合例)'!$E$120="ガスヒートポンプ式空調機",IF('2-3.設備仕様入力(適合例)'!$E$128="ｍ3N/h",ROUND('2-3.設備仕様入力(適合例)'!$E$121*'2-3.設備仕様入力(適合例)'!$E$126*計算式!$C$10/1000*VLOOKUP('2-3.設備仕様入力(適合例)'!$E$123,計算式!$N$16:$P$26,2,FALSE),1),""),"")</f>
        <v/>
      </c>
      <c r="W32" s="41" t="str">
        <f>IF('2-3.設備仕様入力(適合例)'!$E$120="ガスヒートポンプ式空調機",IF('2-3.設備仕様入力(適合例)'!$E$128="ｍ3N/h",ROUND('2-3.設備仕様入力(適合例)'!$E$121*'2-3.設備仕様入力(適合例)'!$E$127*計算式!$C$10/1000*VLOOKUP('2-3.設備仕様入力(適合例)'!$E$123,計算式!$N$16:$P$26,3,FALSE),1),""),"")</f>
        <v/>
      </c>
      <c r="X32" s="41" t="str">
        <f t="shared" si="2"/>
        <v/>
      </c>
      <c r="Y32" s="41" t="str">
        <f>IF('2-3.設備仕様入力(適合例)'!$E$120="ガスヒートポンプ式空調機",IF('2-3.設備仕様入力(適合例)'!$E$122="LPG",IF('2-3.設備仕様入力(適合例)'!$E$128="kW",ROUND('2-3.設備仕様入力(適合例)'!$E$121*'2-3.設備仕様入力(適合例)'!$E$126*3.6/1000*VLOOKUP('2-3.設備仕様入力(適合例)'!$E$123,計算式!$N$16:$P$26,2,FALSE),1),""),""),"")</f>
        <v/>
      </c>
      <c r="Z32" s="41" t="str">
        <f>IF('2-3.設備仕様入力(適合例)'!$E$120="ガスヒートポンプ式空調機",IF('2-3.設備仕様入力(適合例)'!$E$122="LPG",IF('2-3.設備仕様入力(適合例)'!$E$128="kW",ROUND('2-3.設備仕様入力(適合例)'!$E$121*'2-3.設備仕様入力(適合例)'!$E$127*3.6/1000*VLOOKUP('2-3.設備仕様入力(適合例)'!$E$123,計算式!$N$16:$P$26,3,FALSE),1),""),""),"")</f>
        <v/>
      </c>
      <c r="AA32" s="41" t="str">
        <f t="shared" si="3"/>
        <v/>
      </c>
      <c r="AB32" s="41" t="str">
        <f>IF('2-3.設備仕様入力(適合例)'!$E$120="ガスヒートポンプ式空調機",IF('2-3.設備仕様入力(適合例)'!$E$122="LPG",IF('2-3.設備仕様入力(適合例)'!$E$128="kg/h",ROUND('2-3.設備仕様入力(適合例)'!$E$121*'2-3.設備仕様入力(適合例)'!$E$126*計算式!$C$11/1000*VLOOKUP('2-3.設備仕様入力(適合例)'!$E$123,計算式!$N$16:$P$26,2,FALSE),1),""),""),"")</f>
        <v/>
      </c>
      <c r="AC32" s="41" t="str">
        <f>IF('2-3.設備仕様入力(適合例)'!$E$120="ガスヒートポンプ式空調機",IF('2-3.設備仕様入力(適合例)'!$E$122="LPG",IF('2-3.設備仕様入力(適合例)'!$E$128="kg/h",ROUND('2-3.設備仕様入力(適合例)'!$E$121*'2-3.設備仕様入力(適合例)'!$E$127*計算式!$C$11/1000*VLOOKUP('2-3.設備仕様入力(適合例)'!$E$123,計算式!$N$16:$P$26,3,FALSE),1),""),""),"")</f>
        <v/>
      </c>
      <c r="AD32" s="41" t="str">
        <f t="shared" si="4"/>
        <v/>
      </c>
    </row>
    <row r="33" spans="3:30" ht="19.8" thickBot="1" x14ac:dyDescent="0.6">
      <c r="C33" s="4">
        <f>81000000</f>
        <v>81000000</v>
      </c>
      <c r="D33" s="2" t="s">
        <v>40</v>
      </c>
      <c r="E33" s="3">
        <f>C33/C31</f>
        <v>551.0204081632653</v>
      </c>
      <c r="F33" s="2" t="s">
        <v>39</v>
      </c>
      <c r="I33" s="82" t="s">
        <v>196</v>
      </c>
      <c r="J33" s="8" t="str">
        <f>IF(ISERROR('4.エネルギー使用量(適合例)'!$O$58/1000*$C$21*$C$7),"",ROUND('4.エネルギー使用量(適合例)'!$O$58/1000*$C$21*$C$7,2))</f>
        <v/>
      </c>
      <c r="K33" s="7" t="str">
        <f>IF(ISERROR('4.エネルギー使用量(適合例)'!$O$58/1000*$C$21*$E$21*$E$7),"",ROUND('4.エネルギー使用量(適合例)'!$O$58/1000*$C$21*$E$21*$E$7,2))</f>
        <v/>
      </c>
      <c r="N33" s="80" t="s">
        <v>121</v>
      </c>
      <c r="O33" s="34" t="str">
        <f>IF(AND('2-3.設備仕様入力(適合例)'!F$122="電気",'2-3.設備仕様入力(適合例)'!F$128="kW"),1,IF(AND('2-3.設備仕様入力(適合例)'!F$122="都市ガス",'2-3.設備仕様入力(適合例)'!F$128="kW"),2,IF(AND('2-3.設備仕様入力(適合例)'!F$122="都市ガス",'2-3.設備仕様入力(適合例)'!F$128="ｍ3N/h"),3,IF(AND('2-3.設備仕様入力(適合例)'!F$122="LPG",'2-3.設備仕様入力(適合例)'!F$128="kW"),4,IF(AND('2-3.設備仕様入力(適合例)'!F$122="LPG",'2-3.設備仕様入力(適合例)'!F$128="kg/h"),5,"")))))</f>
        <v/>
      </c>
      <c r="P33" s="41" t="str">
        <f>IF(OR('2-3.設備仕様入力(適合例)'!$F$120="電気式パッケージ形空調機",'2-3.設備仕様入力(適合例)'!$F$120="ルームエアコン"),ROUND('2-3.設備仕様入力(適合例)'!$F$126*'2-3.設備仕様入力(適合例)'!$F$121*計算式!$C$3*VLOOKUP('2-3.設備仕様入力(適合例)'!$F$123,計算式!$N$16:$P$26,2,FALSE)/1000,1),"")</f>
        <v/>
      </c>
      <c r="Q33" s="41" t="str">
        <f>IF(OR('2-3.設備仕様入力(適合例)'!$F$120="電気式パッケージ形空調機",'2-3.設備仕様入力(適合例)'!$F$120="ルームエアコン"),ROUND('2-3.設備仕様入力(適合例)'!$F$127*'2-3.設備仕様入力(適合例)'!$F$121*計算式!$C$3*VLOOKUP('2-3.設備仕様入力(適合例)'!$F$123,計算式!$N$16:$P$26,3,FALSE)/1000,1),"")</f>
        <v/>
      </c>
      <c r="R33" s="41" t="str">
        <f t="shared" si="0"/>
        <v/>
      </c>
      <c r="S33" s="41" t="str">
        <f>IF('2-3.設備仕様入力(適合例)'!$F$120="ガスヒートポンプ式空調機",IF('2-3.設備仕様入力(適合例)'!$F$122="都市ガス",IF('2-3.設備仕様入力(適合例)'!$F$128="kW",ROUND('2-3.設備仕様入力(適合例)'!$F$121*'2-3.設備仕様入力(適合例)'!$F$126*3.6/1000*VLOOKUP('2-3.設備仕様入力(適合例)'!$F$123,計算式!$N$16:$P$26,2,FALSE),1),""),""),"")</f>
        <v/>
      </c>
      <c r="T33" s="41" t="str">
        <f>IF('2-3.設備仕様入力(適合例)'!$F$120="ガスヒートポンプ式空調機",IF('2-3.設備仕様入力(適合例)'!$F$122="都市ガス",IF('2-3.設備仕様入力(適合例)'!$F$128="kW",ROUND('2-3.設備仕様入力(適合例)'!$F$121*'2-3.設備仕様入力(適合例)'!$F$127*3.6/1000*VLOOKUP('2-3.設備仕様入力(適合例)'!$F$123,計算式!$N$16:$P$26,3,FALSE),1),""),""),"")</f>
        <v/>
      </c>
      <c r="U33" s="41" t="str">
        <f t="shared" si="1"/>
        <v/>
      </c>
      <c r="V33" s="41" t="str">
        <f>IF('2-3.設備仕様入力(適合例)'!$F$120="ガスヒートポンプ式空調機",IF('2-3.設備仕様入力(適合例)'!$F$128="ｍ3N/h",ROUND('2-3.設備仕様入力(適合例)'!$F$121*'2-3.設備仕様入力(適合例)'!$F$126*計算式!$C$10/1000*VLOOKUP('2-3.設備仕様入力(適合例)'!$F$123,計算式!$N$16:$P$26,2,FALSE),1),""),"")</f>
        <v/>
      </c>
      <c r="W33" s="41" t="str">
        <f>IF('2-3.設備仕様入力(適合例)'!$F$120="ガスヒートポンプ式空調機",IF('2-3.設備仕様入力(適合例)'!$F$128="ｍ3N/h",ROUND('2-3.設備仕様入力(適合例)'!$F$121*'2-3.設備仕様入力(適合例)'!$F$127*計算式!$C$10/1000*VLOOKUP('2-3.設備仕様入力(適合例)'!$F$123,計算式!$N$16:$P$26,3,FALSE),1),""),"")</f>
        <v/>
      </c>
      <c r="X33" s="41" t="str">
        <f t="shared" si="2"/>
        <v/>
      </c>
      <c r="Y33" s="41" t="str">
        <f>IF('2-3.設備仕様入力(適合例)'!$F$120="ガスヒートポンプ式空調機",IF('2-3.設備仕様入力(適合例)'!$F$122="LPG",IF('2-3.設備仕様入力(適合例)'!$F$128="kW",ROUND('2-3.設備仕様入力(適合例)'!$F$121*'2-3.設備仕様入力(適合例)'!$F$126*3.6/1000*VLOOKUP('2-3.設備仕様入力(適合例)'!$F$123,計算式!$N$16:$P$26,2,FALSE),1),""),""),"")</f>
        <v/>
      </c>
      <c r="Z33" s="41" t="str">
        <f>IF('2-3.設備仕様入力(適合例)'!$F$120="ガスヒートポンプ式空調機",IF('2-3.設備仕様入力(適合例)'!$F$122="LPG",IF('2-3.設備仕様入力(適合例)'!$F$128="kW",ROUND('2-3.設備仕様入力(適合例)'!$F$121*'2-3.設備仕様入力(適合例)'!$F$127*3.6/1000*VLOOKUP('2-3.設備仕様入力(適合例)'!$F$123,計算式!$N$16:$P$26,3,FALSE),1),""),""),"")</f>
        <v/>
      </c>
      <c r="AA33" s="41" t="str">
        <f t="shared" si="3"/>
        <v/>
      </c>
      <c r="AB33" s="41" t="str">
        <f>IF('2-3.設備仕様入力(適合例)'!$F$120="ガスヒートポンプ式空調機",IF('2-3.設備仕様入力(適合例)'!$F$122="LPG",IF('2-3.設備仕様入力(適合例)'!$F$128="kg/h",ROUND('2-3.設備仕様入力(適合例)'!$F$121*'2-3.設備仕様入力(適合例)'!$F$126*計算式!$C$11/1000*VLOOKUP('2-3.設備仕様入力(適合例)'!$F$123,計算式!$N$16:$P$26,2,FALSE),1),""),""),"")</f>
        <v/>
      </c>
      <c r="AC33" s="41" t="str">
        <f>IF('2-3.設備仕様入力(適合例)'!$F$120="ガスヒートポンプ式空調機",IF('2-3.設備仕様入力(適合例)'!$F$122="LPG",IF('2-3.設備仕様入力(適合例)'!$F$128="kg/h",ROUND('2-3.設備仕様入力(適合例)'!$F$121*'2-3.設備仕様入力(適合例)'!$F$127*計算式!$C$11/1000*VLOOKUP('2-3.設備仕様入力(適合例)'!$F$123,計算式!$N$16:$P$26,3,FALSE),1),""),""),"")</f>
        <v/>
      </c>
      <c r="AD33" s="41" t="str">
        <f t="shared" si="4"/>
        <v/>
      </c>
    </row>
    <row r="34" spans="3:30" ht="19.8" thickBot="1" x14ac:dyDescent="0.6">
      <c r="N34" s="80" t="s">
        <v>122</v>
      </c>
      <c r="O34" s="34" t="str">
        <f>IF(AND('2-3.設備仕様入力(適合例)'!G$122="電気",'2-3.設備仕様入力(適合例)'!G$128="kW"),1,IF(AND('2-3.設備仕様入力(適合例)'!G$122="都市ガス",'2-3.設備仕様入力(適合例)'!G$128="kW"),2,IF(AND('2-3.設備仕様入力(適合例)'!G$122="都市ガス",'2-3.設備仕様入力(適合例)'!G$128="ｍ3N/h"),3,IF(AND('2-3.設備仕様入力(適合例)'!G$122="LPG",'2-3.設備仕様入力(適合例)'!G$128="kW"),4,IF(AND('2-3.設備仕様入力(適合例)'!G$122="LPG",'2-3.設備仕様入力(適合例)'!G$128="kg/h"),5,"")))))</f>
        <v/>
      </c>
      <c r="P34" s="41" t="str">
        <f>IF(OR('2-3.設備仕様入力(適合例)'!$G$120="電気式パッケージ形空調機",'2-3.設備仕様入力(適合例)'!$G$120="ルームエアコン"),ROUND('2-3.設備仕様入力(適合例)'!$G$126*'2-3.設備仕様入力(適合例)'!$G$121*計算式!$C$3*VLOOKUP('2-3.設備仕様入力(適合例)'!$G$123,計算式!$N$16:$P$26,2,FALSE)/1000,1),"")</f>
        <v/>
      </c>
      <c r="Q34" s="41" t="str">
        <f>IF(OR('2-3.設備仕様入力(適合例)'!$G$120="電気式パッケージ形空調機",'2-3.設備仕様入力(適合例)'!$G$120="ルームエアコン"),ROUND('2-3.設備仕様入力(適合例)'!$G$127*'2-3.設備仕様入力(適合例)'!$G$121*計算式!$C$3*VLOOKUP('2-3.設備仕様入力(適合例)'!$G$123,計算式!$N$16:$P$26,3,FALSE)/1000,1),"")</f>
        <v/>
      </c>
      <c r="R34" s="41" t="str">
        <f t="shared" si="0"/>
        <v/>
      </c>
      <c r="S34" s="41" t="str">
        <f>IF('2-3.設備仕様入力(適合例)'!$G$120="ガスヒートポンプ式空調機",IF('2-3.設備仕様入力(適合例)'!$G$122="都市ガス",IF('2-3.設備仕様入力(適合例)'!$G$128="kW",ROUND('2-3.設備仕様入力(適合例)'!$G$121*'2-3.設備仕様入力(適合例)'!$G$126*3.6/1000*VLOOKUP('2-3.設備仕様入力(適合例)'!$G$123,計算式!$N$16:$P$26,2,FALSE),1),""),""),"")</f>
        <v/>
      </c>
      <c r="T34" s="41" t="str">
        <f>IF('2-3.設備仕様入力(適合例)'!$G$120="ガスヒートポンプ式空調機",IF('2-3.設備仕様入力(適合例)'!$G$122="都市ガス",IF('2-3.設備仕様入力(適合例)'!$G$128="kW",ROUND('2-3.設備仕様入力(適合例)'!$G$121*'2-3.設備仕様入力(適合例)'!$G$127*3.6/1000*VLOOKUP('2-3.設備仕様入力(適合例)'!$G$123,計算式!$N$16:$P$26,3,FALSE),1),""),""),"")</f>
        <v/>
      </c>
      <c r="U34" s="41" t="str">
        <f t="shared" si="1"/>
        <v/>
      </c>
      <c r="V34" s="41" t="str">
        <f>IF('2-3.設備仕様入力(適合例)'!$G$120="ガスヒートポンプ式空調機",IF('2-3.設備仕様入力(適合例)'!$G$128="ｍ3N/h",ROUND('2-3.設備仕様入力(適合例)'!$G$121*'2-3.設備仕様入力(適合例)'!$G$126*計算式!$C$10/1000*VLOOKUP('2-3.設備仕様入力(適合例)'!$G$123,計算式!$N$16:$P$26,2,FALSE),1),""),"")</f>
        <v/>
      </c>
      <c r="W34" s="41" t="str">
        <f>IF('2-3.設備仕様入力(適合例)'!$G$120="ガスヒートポンプ式空調機",IF('2-3.設備仕様入力(適合例)'!$G$128="ｍ3N/h",ROUND('2-3.設備仕様入力(適合例)'!$G$121*'2-3.設備仕様入力(適合例)'!$G$127*計算式!$C$10/1000*VLOOKUP('2-3.設備仕様入力(適合例)'!$G$123,計算式!$N$16:$P$26,3,FALSE),1),""),"")</f>
        <v/>
      </c>
      <c r="X34" s="41" t="str">
        <f t="shared" si="2"/>
        <v/>
      </c>
      <c r="Y34" s="41" t="str">
        <f>IF('2-3.設備仕様入力(適合例)'!$G$120="ガスヒートポンプ式空調機",IF('2-3.設備仕様入力(適合例)'!$G$122="LPG",IF('2-3.設備仕様入力(適合例)'!$G$128="kW",ROUND('2-3.設備仕様入力(適合例)'!$G$121*'2-3.設備仕様入力(適合例)'!$G$126*3.6/1000*VLOOKUP('2-3.設備仕様入力(適合例)'!$G$123,計算式!$N$16:$P$26,2,FALSE),1),""),""),"")</f>
        <v/>
      </c>
      <c r="Z34" s="41" t="str">
        <f>IF('2-3.設備仕様入力(適合例)'!$G$120="ガスヒートポンプ式空調機",IF('2-3.設備仕様入力(適合例)'!$G$122="LPG",IF('2-3.設備仕様入力(適合例)'!$G$128="kW",ROUND('2-3.設備仕様入力(適合例)'!$G$121*'2-3.設備仕様入力(適合例)'!$G$127*3.6/1000*VLOOKUP('2-3.設備仕様入力(適合例)'!$G$123,計算式!$N$16:$P$26,3,FALSE),1),""),""),"")</f>
        <v/>
      </c>
      <c r="AA34" s="41" t="str">
        <f t="shared" si="3"/>
        <v/>
      </c>
      <c r="AB34" s="41" t="str">
        <f>IF('2-3.設備仕様入力(適合例)'!$G$120="ガスヒートポンプ式空調機",IF('2-3.設備仕様入力(適合例)'!$G$122="LPG",IF('2-3.設備仕様入力(適合例)'!$G$128="kg/h",ROUND('2-3.設備仕様入力(適合例)'!$G$121*'2-3.設備仕様入力(適合例)'!$G$126*計算式!$C$11/1000*VLOOKUP('2-3.設備仕様入力(適合例)'!$G$123,計算式!$N$16:$P$26,2,FALSE),1),""),""),"")</f>
        <v/>
      </c>
      <c r="AC34" s="41" t="str">
        <f>IF('2-3.設備仕様入力(適合例)'!$G$120="ガスヒートポンプ式空調機",IF('2-3.設備仕様入力(適合例)'!$G$122="LPG",IF('2-3.設備仕様入力(適合例)'!$G$128="kg/h",ROUND('2-3.設備仕様入力(適合例)'!$G$121*'2-3.設備仕様入力(適合例)'!$G$127*計算式!$C$11/1000*VLOOKUP('2-3.設備仕様入力(適合例)'!$G$123,計算式!$N$16:$P$26,3,FALSE),1),""),""),"")</f>
        <v/>
      </c>
      <c r="AD34" s="41" t="str">
        <f t="shared" si="4"/>
        <v/>
      </c>
    </row>
    <row r="35" spans="3:30" ht="19.2" x14ac:dyDescent="0.55000000000000004">
      <c r="I35" s="82" t="s">
        <v>459</v>
      </c>
      <c r="J35" s="13" t="s">
        <v>20</v>
      </c>
      <c r="K35" s="12" t="s">
        <v>19</v>
      </c>
      <c r="N35" s="80" t="s">
        <v>123</v>
      </c>
      <c r="O35" s="34" t="str">
        <f>IF(AND('2-3.設備仕様入力(適合例)'!H$122="電気",'2-3.設備仕様入力(適合例)'!H$128="kW"),1,IF(AND('2-3.設備仕様入力(適合例)'!H$122="都市ガス",'2-3.設備仕様入力(適合例)'!H$128="kW"),2,IF(AND('2-3.設備仕様入力(適合例)'!H$122="都市ガス",'2-3.設備仕様入力(適合例)'!H$128="ｍ3N/h"),3,IF(AND('2-3.設備仕様入力(適合例)'!H$122="LPG",'2-3.設備仕様入力(適合例)'!H$128="kW"),4,IF(AND('2-3.設備仕様入力(適合例)'!H$122="LPG",'2-3.設備仕様入力(適合例)'!H$128="kg/h"),5,"")))))</f>
        <v/>
      </c>
      <c r="P35" s="41" t="str">
        <f>IF(OR('2-3.設備仕様入力(適合例)'!$H$120="電気式パッケージ形空調機",'2-3.設備仕様入力(適合例)'!$H$120="ルームエアコン"),ROUND('2-3.設備仕様入力(適合例)'!$H$126*'2-3.設備仕様入力(適合例)'!$H$121*計算式!$C$3*VLOOKUP('2-3.設備仕様入力(適合例)'!$H$123,計算式!$N$16:$P$26,2,FALSE)/1000,1),"")</f>
        <v/>
      </c>
      <c r="Q35" s="41" t="str">
        <f>IF(OR('2-3.設備仕様入力(適合例)'!$H$120="電気式パッケージ形空調機",'2-3.設備仕様入力(適合例)'!$H$120="ルームエアコン"),ROUND('2-3.設備仕様入力(適合例)'!$H$127*'2-3.設備仕様入力(適合例)'!$H$121*計算式!$C$3*VLOOKUP('2-3.設備仕様入力(適合例)'!$H$123,計算式!$N$16:$P$26,3,FALSE)/1000,1),"")</f>
        <v/>
      </c>
      <c r="R35" s="41" t="str">
        <f t="shared" si="0"/>
        <v/>
      </c>
      <c r="S35" s="41" t="str">
        <f>IF('2-3.設備仕様入力(適合例)'!$H$120="ガスヒートポンプ式空調機",IF('2-3.設備仕様入力(適合例)'!$H$122="都市ガス",IF('2-3.設備仕様入力(適合例)'!$H$128="kW",ROUND('2-3.設備仕様入力(適合例)'!$H$121*'2-3.設備仕様入力(適合例)'!$H$126*3.6/1000*VLOOKUP('2-3.設備仕様入力(適合例)'!$H$123,計算式!$N$16:$P$26,2,FALSE),1),""),""),"")</f>
        <v/>
      </c>
      <c r="T35" s="41" t="str">
        <f>IF('2-3.設備仕様入力(適合例)'!$H$120="ガスヒートポンプ式空調機",IF('2-3.設備仕様入力(適合例)'!$H$122="都市ガス",IF('2-3.設備仕様入力(適合例)'!$H$128="kW",ROUND('2-3.設備仕様入力(適合例)'!$H$121*'2-3.設備仕様入力(適合例)'!$H$127*3.6/1000*VLOOKUP('2-3.設備仕様入力(適合例)'!$H$123,計算式!$N$16:$P$26,3,FALSE),1),""),""),"")</f>
        <v/>
      </c>
      <c r="U35" s="41" t="str">
        <f t="shared" si="1"/>
        <v/>
      </c>
      <c r="V35" s="41" t="str">
        <f>IF('2-3.設備仕様入力(適合例)'!$H$120="ガスヒートポンプ式空調機",IF('2-3.設備仕様入力(適合例)'!$H$128="ｍ3N/h",ROUND('2-3.設備仕様入力(適合例)'!$H$121*'2-3.設備仕様入力(適合例)'!$H$126*計算式!$C$10/1000*VLOOKUP('2-3.設備仕様入力(適合例)'!$H$123,計算式!$N$16:$P$26,2,FALSE),1),""),"")</f>
        <v/>
      </c>
      <c r="W35" s="41" t="str">
        <f>IF('2-3.設備仕様入力(適合例)'!$H$120="ガスヒートポンプ式空調機",IF('2-3.設備仕様入力(適合例)'!$H$128="ｍ3N/h",ROUND('2-3.設備仕様入力(適合例)'!$H$121*'2-3.設備仕様入力(適合例)'!$H$127*計算式!$C$10/1000*VLOOKUP('2-3.設備仕様入力(適合例)'!$H$123,計算式!$N$16:$P$26,3,FALSE),1),""),"")</f>
        <v/>
      </c>
      <c r="X35" s="41" t="str">
        <f t="shared" si="2"/>
        <v/>
      </c>
      <c r="Y35" s="41" t="str">
        <f>IF('2-3.設備仕様入力(適合例)'!$H$120="ガスヒートポンプ式空調機",IF('2-3.設備仕様入力(適合例)'!$H$122="LPG",IF('2-3.設備仕様入力(適合例)'!$H$128="kW",ROUND('2-3.設備仕様入力(適合例)'!$H$121*'2-3.設備仕様入力(適合例)'!$H$126*3.6/1000*VLOOKUP('2-3.設備仕様入力(適合例)'!$H$123,計算式!$N$16:$P$26,2,FALSE),1),""),""),"")</f>
        <v/>
      </c>
      <c r="Z35" s="41" t="str">
        <f>IF('2-3.設備仕様入力(適合例)'!$H$120="ガスヒートポンプ式空調機",IF('2-3.設備仕様入力(適合例)'!$H$122="LPG",IF('2-3.設備仕様入力(適合例)'!$H$128="kW",ROUND('2-3.設備仕様入力(適合例)'!$H$121*'2-3.設備仕様入力(適合例)'!$H$127*3.6/1000*VLOOKUP('2-3.設備仕様入力(適合例)'!$H$123,計算式!$N$16:$P$26,3,FALSE),1),""),""),"")</f>
        <v/>
      </c>
      <c r="AA35" s="41" t="str">
        <f t="shared" si="3"/>
        <v/>
      </c>
      <c r="AB35" s="41" t="str">
        <f>IF('2-3.設備仕様入力(適合例)'!$H$120="ガスヒートポンプ式空調機",IF('2-3.設備仕様入力(適合例)'!$H$122="LPG",IF('2-3.設備仕様入力(適合例)'!$H$128="kg/h",ROUND('2-3.設備仕様入力(適合例)'!$H$121*'2-3.設備仕様入力(適合例)'!$H$126*計算式!$C$11/1000*VLOOKUP('2-3.設備仕様入力(適合例)'!$H$123,計算式!$N$16:$P$26,2,FALSE),1),""),""),"")</f>
        <v/>
      </c>
      <c r="AC35" s="41" t="str">
        <f>IF('2-3.設備仕様入力(適合例)'!$H$120="ガスヒートポンプ式空調機",IF('2-3.設備仕様入力(適合例)'!$H$122="LPG",IF('2-3.設備仕様入力(適合例)'!$H$128="kg/h",ROUND('2-3.設備仕様入力(適合例)'!$H$121*'2-3.設備仕様入力(適合例)'!$H$127*計算式!$C$11/1000*VLOOKUP('2-3.設備仕様入力(適合例)'!$H$123,計算式!$N$16:$P$26,3,FALSE),1),""),""),"")</f>
        <v/>
      </c>
      <c r="AD35" s="41" t="str">
        <f t="shared" si="4"/>
        <v/>
      </c>
    </row>
    <row r="36" spans="3:30" ht="19.2" x14ac:dyDescent="0.55000000000000004">
      <c r="I36" s="82" t="s">
        <v>197</v>
      </c>
      <c r="J36" s="16" t="str">
        <f>IF(ISERROR('4.エネルギー使用量(適合例)'!$O$69/1000*$C$4*$C$7),"",ROUND('4.エネルギー使用量(適合例)'!$O$69/1000*$C$4*$C$7,2))</f>
        <v/>
      </c>
      <c r="K36" s="10" t="str">
        <f>IF(ISERROR('4.エネルギー使用量(適合例)'!$O$69/1000*$C$4*$E$4),"",ROUND('4.エネルギー使用量(適合例)'!$O$69/1000*$C$4*$E$4,2))</f>
        <v/>
      </c>
      <c r="N36" s="80" t="s">
        <v>124</v>
      </c>
      <c r="O36" s="34" t="str">
        <f>IF(AND('2-3.設備仕様入力(適合例)'!I$122="電気",'2-3.設備仕様入力(適合例)'!I$128="kW"),1,IF(AND('2-3.設備仕様入力(適合例)'!I$122="都市ガス",'2-3.設備仕様入力(適合例)'!I$128="kW"),2,IF(AND('2-3.設備仕様入力(適合例)'!I$122="都市ガス",'2-3.設備仕様入力(適合例)'!I$128="ｍ3N/h"),3,IF(AND('2-3.設備仕様入力(適合例)'!I$122="LPG",'2-3.設備仕様入力(適合例)'!I$128="kW"),4,IF(AND('2-3.設備仕様入力(適合例)'!I$122="LPG",'2-3.設備仕様入力(適合例)'!I$128="kg/h"),5,"")))))</f>
        <v/>
      </c>
      <c r="P36" s="41" t="str">
        <f>IF(OR('2-3.設備仕様入力(適合例)'!$I$120="電気式パッケージ形空調機",'2-3.設備仕様入力(適合例)'!$I$120="ルームエアコン"),ROUND('2-3.設備仕様入力(適合例)'!$I$126*'2-3.設備仕様入力(適合例)'!$I$121*計算式!$C$3*VLOOKUP('2-3.設備仕様入力(適合例)'!$I$123,計算式!$N$16:$P$26,2,FALSE)/1000,1),"")</f>
        <v/>
      </c>
      <c r="Q36" s="41" t="str">
        <f>IF(OR('2-3.設備仕様入力(適合例)'!$I$120="電気式パッケージ形空調機",'2-3.設備仕様入力(適合例)'!$I$120="ルームエアコン"),ROUND('2-3.設備仕様入力(適合例)'!$I$127*'2-3.設備仕様入力(適合例)'!$I$121*計算式!$C$3*VLOOKUP('2-3.設備仕様入力(適合例)'!$I$123,計算式!$N$16:$P$26,3,FALSE)/1000,1),"")</f>
        <v/>
      </c>
      <c r="R36" s="41" t="str">
        <f t="shared" si="0"/>
        <v/>
      </c>
      <c r="S36" s="41" t="str">
        <f>IF('2-3.設備仕様入力(適合例)'!$I$120="ガスヒートポンプ式空調機",IF('2-3.設備仕様入力(適合例)'!$I$122="都市ガス",IF('2-3.設備仕様入力(適合例)'!$I$128="kW",ROUND('2-3.設備仕様入力(適合例)'!$I$121*'2-3.設備仕様入力(適合例)'!$I$126*3.6/1000*VLOOKUP('2-3.設備仕様入力(適合例)'!$I$123,計算式!$N$16:$P$26,2,FALSE),1),""),""),"")</f>
        <v/>
      </c>
      <c r="T36" s="41" t="str">
        <f>IF('2-3.設備仕様入力(適合例)'!$I$120="ガスヒートポンプ式空調機",IF('2-3.設備仕様入力(適合例)'!$I$122="都市ガス",IF('2-3.設備仕様入力(適合例)'!$I$128="kW",ROUND('2-3.設備仕様入力(適合例)'!$I$121*'2-3.設備仕様入力(適合例)'!$I$127*3.6/1000*VLOOKUP('2-3.設備仕様入力(適合例)'!$I$123,計算式!$N$16:$P$26,3,FALSE),1),""),""),"")</f>
        <v/>
      </c>
      <c r="U36" s="41" t="str">
        <f t="shared" si="1"/>
        <v/>
      </c>
      <c r="V36" s="41" t="str">
        <f>IF('2-3.設備仕様入力(適合例)'!$I$120="ガスヒートポンプ式空調機",IF('2-3.設備仕様入力(適合例)'!$I$128="ｍ3N/h",ROUND('2-3.設備仕様入力(適合例)'!$I$121*'2-3.設備仕様入力(適合例)'!$I$126*計算式!$C$10/1000*VLOOKUP('2-3.設備仕様入力(適合例)'!$I$123,計算式!$N$16:$P$26,2,FALSE),1),""),"")</f>
        <v/>
      </c>
      <c r="W36" s="41" t="str">
        <f>IF('2-3.設備仕様入力(適合例)'!$I$120="ガスヒートポンプ式空調機",IF('2-3.設備仕様入力(適合例)'!$I$128="ｍ3N/h",ROUND('2-3.設備仕様入力(適合例)'!$I$121*'2-3.設備仕様入力(適合例)'!$I$127*計算式!$C$10/1000*VLOOKUP('2-3.設備仕様入力(適合例)'!$I$123,計算式!$N$16:$P$26,3,FALSE),1),""),"")</f>
        <v/>
      </c>
      <c r="X36" s="41" t="str">
        <f t="shared" si="2"/>
        <v/>
      </c>
      <c r="Y36" s="41" t="str">
        <f>IF('2-3.設備仕様入力(適合例)'!$I$120="ガスヒートポンプ式空調機",IF('2-3.設備仕様入力(適合例)'!$I$122="LPG",IF('2-3.設備仕様入力(適合例)'!$I$128="kW",ROUND('2-3.設備仕様入力(適合例)'!$I$121*'2-3.設備仕様入力(適合例)'!$I$126*3.6/1000*VLOOKUP('2-3.設備仕様入力(適合例)'!$I$123,計算式!$N$16:$P$26,2,FALSE),1),""),""),"")</f>
        <v/>
      </c>
      <c r="Z36" s="41" t="str">
        <f>IF('2-3.設備仕様入力(適合例)'!$I$120="ガスヒートポンプ式空調機",IF('2-3.設備仕様入力(適合例)'!$I$122="LPG",IF('2-3.設備仕様入力(適合例)'!$I$128="kW",ROUND('2-3.設備仕様入力(適合例)'!$I$121*'2-3.設備仕様入力(適合例)'!$I$127*3.6/1000*VLOOKUP('2-3.設備仕様入力(適合例)'!$I$123,計算式!$N$16:$P$26,3,FALSE),1),""),""),"")</f>
        <v/>
      </c>
      <c r="AA36" s="41" t="str">
        <f t="shared" si="3"/>
        <v/>
      </c>
      <c r="AB36" s="41" t="str">
        <f>IF('2-3.設備仕様入力(適合例)'!$I$120="ガスヒートポンプ式空調機",IF('2-3.設備仕様入力(適合例)'!$I$122="LPG",IF('2-3.設備仕様入力(適合例)'!$I$128="kg/h",ROUND('2-3.設備仕様入力(適合例)'!$I$121*'2-3.設備仕様入力(適合例)'!$I$126*計算式!$C$11/1000*VLOOKUP('2-3.設備仕様入力(適合例)'!$I$123,計算式!$N$16:$P$26,2,FALSE),1),""),""),"")</f>
        <v/>
      </c>
      <c r="AC36" s="41" t="str">
        <f>IF('2-3.設備仕様入力(適合例)'!$I$120="ガスヒートポンプ式空調機",IF('2-3.設備仕様入力(適合例)'!$I$122="LPG",IF('2-3.設備仕様入力(適合例)'!$I$128="kg/h",ROUND('2-3.設備仕様入力(適合例)'!$I$121*'2-3.設備仕様入力(適合例)'!$I$127*計算式!$C$11/1000*VLOOKUP('2-3.設備仕様入力(適合例)'!$I$123,計算式!$N$16:$P$26,3,FALSE),1),""),""),"")</f>
        <v/>
      </c>
      <c r="AD36" s="41" t="str">
        <f t="shared" si="4"/>
        <v/>
      </c>
    </row>
    <row r="37" spans="3:30" ht="19.2" x14ac:dyDescent="0.55000000000000004">
      <c r="F37" s="4"/>
      <c r="I37" s="82" t="s">
        <v>198</v>
      </c>
      <c r="J37" s="16" t="str">
        <f>IF(ISERROR('4.エネルギー使用量(適合例)'!$O$69/1000*$C$5*$C$7),"",ROUND('4.エネルギー使用量(適合例)'!$O$69/1000*$C$5*$C$7,2))</f>
        <v/>
      </c>
      <c r="K37" s="10" t="str">
        <f>IF(ISERROR('4.エネルギー使用量(適合例)'!$O$69/1000*$C$5*$E$5),"",ROUND('4.エネルギー使用量(適合例)'!$O$69/1000*$C$5*$E$5,2))</f>
        <v/>
      </c>
      <c r="N37" s="80" t="s">
        <v>125</v>
      </c>
      <c r="O37" s="34" t="str">
        <f>IF(AND('2-3.設備仕様入力(適合例)'!J$122="電気",'2-3.設備仕様入力(適合例)'!J$128="kW"),1,IF(AND('2-3.設備仕様入力(適合例)'!J$122="都市ガス",'2-3.設備仕様入力(適合例)'!J$128="kW"),2,IF(AND('2-3.設備仕様入力(適合例)'!J$122="都市ガス",'2-3.設備仕様入力(適合例)'!J$128="ｍ3N/h"),3,IF(AND('2-3.設備仕様入力(適合例)'!J$122="LPG",'2-3.設備仕様入力(適合例)'!J$128="kW"),4,IF(AND('2-3.設備仕様入力(適合例)'!J$122="LPG",'2-3.設備仕様入力(適合例)'!J$128="kg/h"),5,"")))))</f>
        <v/>
      </c>
      <c r="P37" s="41" t="str">
        <f>IF(OR('2-3.設備仕様入力(適合例)'!$J$120="電気式パッケージ形空調機",'2-3.設備仕様入力(適合例)'!$J$120="ルームエアコン"),ROUND('2-3.設備仕様入力(適合例)'!$J$126*'2-3.設備仕様入力(適合例)'!$J$121*計算式!$C$3*VLOOKUP('2-3.設備仕様入力(適合例)'!$J$123,計算式!$N$16:$P$26,2,FALSE)/1000,1),"")</f>
        <v/>
      </c>
      <c r="Q37" s="41" t="str">
        <f>IF(OR('2-3.設備仕様入力(適合例)'!$J$120="電気式パッケージ形空調機",'2-3.設備仕様入力(適合例)'!$J$120="ルームエアコン"),ROUND('2-3.設備仕様入力(適合例)'!$J$127*'2-3.設備仕様入力(適合例)'!$J$121*計算式!$C$3*VLOOKUP('2-3.設備仕様入力(適合例)'!$J$123,計算式!$N$16:$P$26,3,FALSE)/1000,1),"")</f>
        <v/>
      </c>
      <c r="R37" s="41" t="str">
        <f t="shared" si="0"/>
        <v/>
      </c>
      <c r="S37" s="41" t="str">
        <f>IF('2-3.設備仕様入力(適合例)'!$J$120="ガスヒートポンプ式空調機",IF('2-3.設備仕様入力(適合例)'!$J$122="都市ガス",IF('2-3.設備仕様入力(適合例)'!$J$128="kW",ROUND('2-3.設備仕様入力(適合例)'!$J$121*'2-3.設備仕様入力(適合例)'!$J$126*3.6/1000*VLOOKUP('2-3.設備仕様入力(適合例)'!$J$123,計算式!$N$16:$P$26,2,FALSE),1),""),""),"")</f>
        <v/>
      </c>
      <c r="T37" s="41" t="str">
        <f>IF('2-3.設備仕様入力(適合例)'!$J$120="ガスヒートポンプ式空調機",IF('2-3.設備仕様入力(適合例)'!$J$122="都市ガス",IF('2-3.設備仕様入力(適合例)'!$J$128="kW",ROUND('2-3.設備仕様入力(適合例)'!$J$121*'2-3.設備仕様入力(適合例)'!$J$127*3.6/1000*VLOOKUP('2-3.設備仕様入力(適合例)'!$J$123,計算式!$N$16:$P$26,3,FALSE),1),""),""),"")</f>
        <v/>
      </c>
      <c r="U37" s="41" t="str">
        <f t="shared" si="1"/>
        <v/>
      </c>
      <c r="V37" s="41" t="str">
        <f>IF('2-3.設備仕様入力(適合例)'!$J$120="ガスヒートポンプ式空調機",IF('2-3.設備仕様入力(適合例)'!$J$128="ｍ3N/h",ROUND('2-3.設備仕様入力(適合例)'!$J$121*'2-3.設備仕様入力(適合例)'!$J$126*計算式!$C$10/1000*VLOOKUP('2-3.設備仕様入力(適合例)'!$J$123,計算式!$N$16:$P$26,2,FALSE),1),""),"")</f>
        <v/>
      </c>
      <c r="W37" s="41" t="str">
        <f>IF('2-3.設備仕様入力(適合例)'!$J$120="ガスヒートポンプ式空調機",IF('2-3.設備仕様入力(適合例)'!$J$128="ｍ3N/h",ROUND('2-3.設備仕様入力(適合例)'!$J$121*'2-3.設備仕様入力(適合例)'!$J$127*計算式!$C$10/1000*VLOOKUP('2-3.設備仕様入力(適合例)'!$J$123,計算式!$N$16:$P$26,3,FALSE),1),""),"")</f>
        <v/>
      </c>
      <c r="X37" s="41" t="str">
        <f t="shared" si="2"/>
        <v/>
      </c>
      <c r="Y37" s="41" t="str">
        <f>IF('2-3.設備仕様入力(適合例)'!$J$120="ガスヒートポンプ式空調機",IF('2-3.設備仕様入力(適合例)'!$J$122="LPG",IF('2-3.設備仕様入力(適合例)'!$J$128="kW",ROUND('2-3.設備仕様入力(適合例)'!$J$121*'2-3.設備仕様入力(適合例)'!$J$126*3.6/1000*VLOOKUP('2-3.設備仕様入力(適合例)'!$J$123,計算式!$N$16:$P$26,2,FALSE),1),""),""),"")</f>
        <v/>
      </c>
      <c r="Z37" s="41" t="str">
        <f>IF('2-3.設備仕様入力(適合例)'!$J$120="ガスヒートポンプ式空調機",IF('2-3.設備仕様入力(適合例)'!$J$122="LPG",IF('2-3.設備仕様入力(適合例)'!$J$128="kW",ROUND('2-3.設備仕様入力(適合例)'!$J$121*'2-3.設備仕様入力(適合例)'!$J$127*3.6/1000*VLOOKUP('2-3.設備仕様入力(適合例)'!$J$123,計算式!$N$16:$P$26,3,FALSE),1),""),""),"")</f>
        <v/>
      </c>
      <c r="AA37" s="41" t="str">
        <f t="shared" si="3"/>
        <v/>
      </c>
      <c r="AB37" s="41" t="str">
        <f>IF('2-3.設備仕様入力(適合例)'!$J$120="ガスヒートポンプ式空調機",IF('2-3.設備仕様入力(適合例)'!$J$122="LPG",IF('2-3.設備仕様入力(適合例)'!$J$128="kg/h",ROUND('2-3.設備仕様入力(適合例)'!$J$121*'2-3.設備仕様入力(適合例)'!$J$126*計算式!$C$11/1000*VLOOKUP('2-3.設備仕様入力(適合例)'!$J$123,計算式!$N$16:$P$26,2,FALSE),1),""),""),"")</f>
        <v/>
      </c>
      <c r="AC37" s="41" t="str">
        <f>IF('2-3.設備仕様入力(適合例)'!$J$120="ガスヒートポンプ式空調機",IF('2-3.設備仕様入力(適合例)'!$J$122="LPG",IF('2-3.設備仕様入力(適合例)'!$J$128="kg/h",ROUND('2-3.設備仕様入力(適合例)'!$J$121*'2-3.設備仕様入力(適合例)'!$J$127*計算式!$C$11/1000*VLOOKUP('2-3.設備仕様入力(適合例)'!$J$123,計算式!$N$16:$P$26,3,FALSE),1),""),""),"")</f>
        <v/>
      </c>
      <c r="AD37" s="41" t="str">
        <f t="shared" si="4"/>
        <v/>
      </c>
    </row>
    <row r="38" spans="3:30" ht="19.2" x14ac:dyDescent="0.55000000000000004">
      <c r="F38" s="4"/>
      <c r="I38" s="82" t="s">
        <v>199</v>
      </c>
      <c r="J38" s="16" t="str">
        <f>IF(ISERROR('4.エネルギー使用量(適合例)'!$O$69/1000*$C$6*$C$7),"",ROUND('4.エネルギー使用量(適合例)'!$O$69/1000*$C$6*$C$7,2))</f>
        <v/>
      </c>
      <c r="K38" s="10" t="str">
        <f>IF(ISERROR('4.エネルギー使用量(適合例)'!$O$69/1000*$C$6*$E$6),"",ROUND('4.エネルギー使用量(適合例)'!$O$69/1000*$C$6*$E$6,2))</f>
        <v/>
      </c>
      <c r="N38" s="80" t="s">
        <v>126</v>
      </c>
      <c r="O38" s="34" t="str">
        <f>IF(AND('2-3.設備仕様入力(適合例)'!K$122="電気",'2-3.設備仕様入力(適合例)'!K$128="kW"),1,IF(AND('2-3.設備仕様入力(適合例)'!K$122="都市ガス",'2-3.設備仕様入力(適合例)'!K$128="kW"),2,IF(AND('2-3.設備仕様入力(適合例)'!K$122="都市ガス",'2-3.設備仕様入力(適合例)'!K$128="ｍ3N/h"),3,IF(AND('2-3.設備仕様入力(適合例)'!K$122="LPG",'2-3.設備仕様入力(適合例)'!K$128="kW"),4,IF(AND('2-3.設備仕様入力(適合例)'!K$122="LPG",'2-3.設備仕様入力(適合例)'!K$128="kg/h"),5,"")))))</f>
        <v/>
      </c>
      <c r="P38" s="41" t="str">
        <f>IF(OR('2-3.設備仕様入力(適合例)'!$K$120="電気式パッケージ形空調機",'2-3.設備仕様入力(適合例)'!$K$120="ルームエアコン"),ROUND('2-3.設備仕様入力(適合例)'!$K$126*'2-3.設備仕様入力(適合例)'!$K$121*計算式!$C$3*VLOOKUP('2-3.設備仕様入力(適合例)'!$K$123,計算式!$N$16:$P$26,2,FALSE)/1000,1),"")</f>
        <v/>
      </c>
      <c r="Q38" s="41" t="str">
        <f>IF(OR('2-3.設備仕様入力(適合例)'!$K$120="電気式パッケージ形空調機",'2-3.設備仕様入力(適合例)'!$K$120="ルームエアコン"),ROUND('2-3.設備仕様入力(適合例)'!$K$127*'2-3.設備仕様入力(適合例)'!$K$121*計算式!$C$3*VLOOKUP('2-3.設備仕様入力(適合例)'!$K$123,計算式!$N$16:$P$26,3,FALSE)/1000,1),"")</f>
        <v/>
      </c>
      <c r="R38" s="41" t="str">
        <f t="shared" si="0"/>
        <v/>
      </c>
      <c r="S38" s="41" t="str">
        <f>IF('2-3.設備仕様入力(適合例)'!$K$120="ガスヒートポンプ式空調機",IF('2-3.設備仕様入力(適合例)'!$K$122="都市ガス",IF('2-3.設備仕様入力(適合例)'!$K$128="kW",ROUND('2-3.設備仕様入力(適合例)'!$K$121*'2-3.設備仕様入力(適合例)'!$K$126*3.6/1000*VLOOKUP('2-3.設備仕様入力(適合例)'!$K$123,計算式!$N$16:$P$26,2,FALSE),1),""),""),"")</f>
        <v/>
      </c>
      <c r="T38" s="41" t="str">
        <f>IF('2-3.設備仕様入力(適合例)'!$K$120="ガスヒートポンプ式空調機",IF('2-3.設備仕様入力(適合例)'!$K$122="都市ガス",IF('2-3.設備仕様入力(適合例)'!$K$128="kW",ROUND('2-3.設備仕様入力(適合例)'!$K$121*'2-3.設備仕様入力(適合例)'!$K$127*3.6/1000*VLOOKUP('2-3.設備仕様入力(適合例)'!$K$123,計算式!$N$16:$P$26,3,FALSE),1),""),""),"")</f>
        <v/>
      </c>
      <c r="U38" s="41" t="str">
        <f t="shared" si="1"/>
        <v/>
      </c>
      <c r="V38" s="41" t="str">
        <f>IF('2-3.設備仕様入力(適合例)'!$K$120="ガスヒートポンプ式空調機",IF('2-3.設備仕様入力(適合例)'!$K$128="ｍ3N/h",ROUND('2-3.設備仕様入力(適合例)'!$K$121*'2-3.設備仕様入力(適合例)'!$K$126*計算式!$C$10/1000*VLOOKUP('2-3.設備仕様入力(適合例)'!$K$123,計算式!$N$16:$P$26,2,FALSE),1),""),"")</f>
        <v/>
      </c>
      <c r="W38" s="41" t="str">
        <f>IF('2-3.設備仕様入力(適合例)'!$K$120="ガスヒートポンプ式空調機",IF('2-3.設備仕様入力(適合例)'!$K$128="ｍ3N/h",ROUND('2-3.設備仕様入力(適合例)'!$K$121*'2-3.設備仕様入力(適合例)'!$K$127*計算式!$C$10/1000*VLOOKUP('2-3.設備仕様入力(適合例)'!$K$123,計算式!$N$16:$P$26,3,FALSE),1),""),"")</f>
        <v/>
      </c>
      <c r="X38" s="41" t="str">
        <f t="shared" si="2"/>
        <v/>
      </c>
      <c r="Y38" s="41" t="str">
        <f>IF('2-3.設備仕様入力(適合例)'!$K$120="ガスヒートポンプ式空調機",IF('2-3.設備仕様入力(適合例)'!$K$122="LPG",IF('2-3.設備仕様入力(適合例)'!$K$128="kW",ROUND('2-3.設備仕様入力(適合例)'!$K$121*'2-3.設備仕様入力(適合例)'!$K$126*3.6/1000*VLOOKUP('2-3.設備仕様入力(適合例)'!$K$123,計算式!$N$16:$P$26,2,FALSE),1),""),""),"")</f>
        <v/>
      </c>
      <c r="Z38" s="41" t="str">
        <f>IF('2-3.設備仕様入力(適合例)'!$K$120="ガスヒートポンプ式空調機",IF('2-3.設備仕様入力(適合例)'!$K$122="LPG",IF('2-3.設備仕様入力(適合例)'!$K$128="kW",ROUND('2-3.設備仕様入力(適合例)'!$K$121*'2-3.設備仕様入力(適合例)'!$K$127*3.6/1000*VLOOKUP('2-3.設備仕様入力(適合例)'!$K$123,計算式!$N$16:$P$26,3,FALSE),1),""),""),"")</f>
        <v/>
      </c>
      <c r="AA38" s="41" t="str">
        <f t="shared" si="3"/>
        <v/>
      </c>
      <c r="AB38" s="41" t="str">
        <f>IF('2-3.設備仕様入力(適合例)'!$K$120="ガスヒートポンプ式空調機",IF('2-3.設備仕様入力(適合例)'!$K$122="LPG",IF('2-3.設備仕様入力(適合例)'!$K$128="kg/h",ROUND('2-3.設備仕様入力(適合例)'!$K$121*'2-3.設備仕様入力(適合例)'!$K$126*計算式!$C$11/1000*VLOOKUP('2-3.設備仕様入力(適合例)'!$K$123,計算式!$N$16:$P$26,2,FALSE),1),""),""),"")</f>
        <v/>
      </c>
      <c r="AC38" s="41" t="str">
        <f>IF('2-3.設備仕様入力(適合例)'!$K$120="ガスヒートポンプ式空調機",IF('2-3.設備仕様入力(適合例)'!$K$122="LPG",IF('2-3.設備仕様入力(適合例)'!$K$128="kg/h",ROUND('2-3.設備仕様入力(適合例)'!$K$121*'2-3.設備仕様入力(適合例)'!$K$127*計算式!$C$11/1000*VLOOKUP('2-3.設備仕様入力(適合例)'!$K$123,計算式!$N$16:$P$26,3,FALSE),1),""),""),"")</f>
        <v/>
      </c>
      <c r="AD38" s="41" t="str">
        <f t="shared" si="4"/>
        <v/>
      </c>
    </row>
    <row r="39" spans="3:30" ht="19.2" x14ac:dyDescent="0.55000000000000004">
      <c r="F39" s="4"/>
      <c r="I39" s="82" t="s">
        <v>193</v>
      </c>
      <c r="J39" s="11" t="str">
        <f>IF(ISERROR('4.エネルギー使用量(適合例)'!$O$69/1000*$C$18*$C$7),"",ROUND('4.エネルギー使用量(適合例)'!$O$69/1000*$C$18*$C$7,2))</f>
        <v/>
      </c>
      <c r="K39" s="10" t="str">
        <f>IF(ISERROR('4.エネルギー使用量(適合例)'!$O$69/1000*$C$18*$E$18*$E$7),"",ROUND('4.エネルギー使用量(適合例)'!$O$69/1000*$C$18*$E$18*$E$7,2))</f>
        <v/>
      </c>
      <c r="N39" s="80" t="s">
        <v>127</v>
      </c>
      <c r="O39" s="34" t="str">
        <f>IF(AND('2-3.設備仕様入力(適合例)'!L$122="電気",'2-3.設備仕様入力(適合例)'!L$128="kW"),1,IF(AND('2-3.設備仕様入力(適合例)'!L$122="都市ガス",'2-3.設備仕様入力(適合例)'!L$128="kW"),2,IF(AND('2-3.設備仕様入力(適合例)'!L$122="都市ガス",'2-3.設備仕様入力(適合例)'!L$128="ｍ3N/h"),3,IF(AND('2-3.設備仕様入力(適合例)'!L$122="LPG",'2-3.設備仕様入力(適合例)'!L$128="kW"),4,IF(AND('2-3.設備仕様入力(適合例)'!L$122="LPG",'2-3.設備仕様入力(適合例)'!L$128="kg/h"),5,"")))))</f>
        <v/>
      </c>
      <c r="P39" s="41" t="str">
        <f>IF(OR('2-3.設備仕様入力(適合例)'!$L$120="電気式パッケージ形空調機",'2-3.設備仕様入力(適合例)'!$L$120="ルームエアコン"),ROUND('2-3.設備仕様入力(適合例)'!$L$126*'2-3.設備仕様入力(適合例)'!$L$121*計算式!$C$3*VLOOKUP('2-3.設備仕様入力(適合例)'!$L$123,計算式!$N$16:$P$26,2,FALSE)/1000,1),"")</f>
        <v/>
      </c>
      <c r="Q39" s="41" t="str">
        <f>IF(OR('2-3.設備仕様入力(適合例)'!$L$120="電気式パッケージ形空調機",'2-3.設備仕様入力(適合例)'!$L$120="ルームエアコン"),ROUND('2-3.設備仕様入力(適合例)'!$L$127*'2-3.設備仕様入力(適合例)'!$L$121*計算式!$C$3*VLOOKUP('2-3.設備仕様入力(適合例)'!$L$123,計算式!$N$16:$P$26,3,FALSE)/1000,1),"")</f>
        <v/>
      </c>
      <c r="R39" s="41" t="str">
        <f t="shared" si="0"/>
        <v/>
      </c>
      <c r="S39" s="41" t="str">
        <f>IF('2-3.設備仕様入力(適合例)'!$L$120="ガスヒートポンプ式空調機",IF('2-3.設備仕様入力(適合例)'!$L$122="都市ガス",IF('2-3.設備仕様入力(適合例)'!$L$128="kW",ROUND('2-3.設備仕様入力(適合例)'!$L$121*'2-3.設備仕様入力(適合例)'!$L$126*3.6/1000*VLOOKUP('2-3.設備仕様入力(適合例)'!$L$123,計算式!$N$16:$P$26,2,FALSE),1),""),""),"")</f>
        <v/>
      </c>
      <c r="T39" s="41" t="str">
        <f>IF('2-3.設備仕様入力(適合例)'!$L$120="ガスヒートポンプ式空調機",IF('2-3.設備仕様入力(適合例)'!$L$122="都市ガス",IF('2-3.設備仕様入力(適合例)'!$L$128="kW",ROUND('2-3.設備仕様入力(適合例)'!$L$121*'2-3.設備仕様入力(適合例)'!$L$127*3.6/1000*VLOOKUP('2-3.設備仕様入力(適合例)'!$L$123,計算式!$N$16:$P$26,3,FALSE),1),""),""),"")</f>
        <v/>
      </c>
      <c r="U39" s="41" t="str">
        <f t="shared" si="1"/>
        <v/>
      </c>
      <c r="V39" s="41" t="str">
        <f>IF('2-3.設備仕様入力(適合例)'!$L$120="ガスヒートポンプ式空調機",IF('2-3.設備仕様入力(適合例)'!$L$128="ｍ3N/h",ROUND('2-3.設備仕様入力(適合例)'!$L$121*'2-3.設備仕様入力(適合例)'!$L$126*計算式!$C$10/1000*VLOOKUP('2-3.設備仕様入力(適合例)'!$L$123,計算式!$N$16:$P$26,2,FALSE),1),""),"")</f>
        <v/>
      </c>
      <c r="W39" s="41" t="str">
        <f>IF('2-3.設備仕様入力(適合例)'!$L$120="ガスヒートポンプ式空調機",IF('2-3.設備仕様入力(適合例)'!$L$128="ｍ3N/h",ROUND('2-3.設備仕様入力(適合例)'!$L$121*'2-3.設備仕様入力(適合例)'!$L$127*計算式!$C$10/1000*VLOOKUP('2-3.設備仕様入力(適合例)'!$L$123,計算式!$N$16:$P$26,3,FALSE),1),""),"")</f>
        <v/>
      </c>
      <c r="X39" s="41" t="str">
        <f t="shared" si="2"/>
        <v/>
      </c>
      <c r="Y39" s="41" t="str">
        <f>IF('2-3.設備仕様入力(適合例)'!$L$120="ガスヒートポンプ式空調機",IF('2-3.設備仕様入力(適合例)'!$L$122="LPG",IF('2-3.設備仕様入力(適合例)'!$L$128="kW",ROUND('2-3.設備仕様入力(適合例)'!$L$121*'2-3.設備仕様入力(適合例)'!$L$126*3.6/1000*VLOOKUP('2-3.設備仕様入力(適合例)'!$L$123,計算式!$N$16:$P$26,2,FALSE),1),""),""),"")</f>
        <v/>
      </c>
      <c r="Z39" s="41" t="str">
        <f>IF('2-3.設備仕様入力(適合例)'!$L$120="ガスヒートポンプ式空調機",IF('2-3.設備仕様入力(適合例)'!$L$122="LPG",IF('2-3.設備仕様入力(適合例)'!$L$128="kW",ROUND('2-3.設備仕様入力(適合例)'!$L$121*'2-3.設備仕様入力(適合例)'!$L$127*3.6/1000*VLOOKUP('2-3.設備仕様入力(適合例)'!$L$123,計算式!$N$16:$P$26,3,FALSE),1),""),""),"")</f>
        <v/>
      </c>
      <c r="AA39" s="41" t="str">
        <f t="shared" si="3"/>
        <v/>
      </c>
      <c r="AB39" s="41" t="str">
        <f>IF('2-3.設備仕様入力(適合例)'!$L$120="ガスヒートポンプ式空調機",IF('2-3.設備仕様入力(適合例)'!$L$122="LPG",IF('2-3.設備仕様入力(適合例)'!$L$128="kg/h",ROUND('2-3.設備仕様入力(適合例)'!$L$121*'2-3.設備仕様入力(適合例)'!$L$126*計算式!$C$11/1000*VLOOKUP('2-3.設備仕様入力(適合例)'!$L$123,計算式!$N$16:$P$26,2,FALSE),1),""),""),"")</f>
        <v/>
      </c>
      <c r="AC39" s="41" t="str">
        <f>IF('2-3.設備仕様入力(適合例)'!$L$120="ガスヒートポンプ式空調機",IF('2-3.設備仕様入力(適合例)'!$L$122="LPG",IF('2-3.設備仕様入力(適合例)'!$L$128="kg/h",ROUND('2-3.設備仕様入力(適合例)'!$L$121*'2-3.設備仕様入力(適合例)'!$L$127*計算式!$C$11/1000*VLOOKUP('2-3.設備仕様入力(適合例)'!$L$123,計算式!$N$16:$P$26,3,FALSE),1),""),""),"")</f>
        <v/>
      </c>
      <c r="AD39" s="41" t="str">
        <f t="shared" si="4"/>
        <v/>
      </c>
    </row>
    <row r="40" spans="3:30" ht="19.2" x14ac:dyDescent="0.55000000000000004">
      <c r="F40" s="4"/>
      <c r="I40" s="82" t="s">
        <v>194</v>
      </c>
      <c r="J40" s="11" t="str">
        <f>IF(ISERROR('4.エネルギー使用量(適合例)'!$O$69/1000*$C$19*$C$7),"",ROUND('4.エネルギー使用量(適合例)'!$O$69/1000*$C$19*$C$7,2))</f>
        <v/>
      </c>
      <c r="K40" s="10" t="str">
        <f>IF(ISERROR('4.エネルギー使用量(適合例)'!$O$69/1000*$C$19*$E$19*$E$7),"",ROUND('4.エネルギー使用量(適合例)'!$O$69/1000*$C$19*$E$19*$E$7,2))</f>
        <v/>
      </c>
      <c r="N40" s="80" t="s">
        <v>128</v>
      </c>
      <c r="O40" s="34" t="str">
        <f>IF(AND('2-3.設備仕様入力(適合例)'!M$122="電気",'2-3.設備仕様入力(適合例)'!M$128="kW"),1,IF(AND('2-3.設備仕様入力(適合例)'!M$122="都市ガス",'2-3.設備仕様入力(適合例)'!M$128="kW"),2,IF(AND('2-3.設備仕様入力(適合例)'!M$122="都市ガス",'2-3.設備仕様入力(適合例)'!M$128="ｍ3N/h"),3,IF(AND('2-3.設備仕様入力(適合例)'!M$122="LPG",'2-3.設備仕様入力(適合例)'!M$128="kW"),4,IF(AND('2-3.設備仕様入力(適合例)'!M$122="LPG",'2-3.設備仕様入力(適合例)'!M$128="kg/h"),5,"")))))</f>
        <v/>
      </c>
      <c r="P40" s="41" t="str">
        <f>IF(OR('2-3.設備仕様入力(適合例)'!$M$120="電気式パッケージ形空調機",'2-3.設備仕様入力(適合例)'!$M$120="ルームエアコン"),ROUND('2-3.設備仕様入力(適合例)'!$M$126*'2-3.設備仕様入力(適合例)'!$M$121*計算式!$C$3*VLOOKUP('2-3.設備仕様入力(適合例)'!$M$123,計算式!$N$16:$P$26,2,FALSE)/1000,1),"")</f>
        <v/>
      </c>
      <c r="Q40" s="41" t="str">
        <f>IF(OR('2-3.設備仕様入力(適合例)'!$M$120="電気式パッケージ形空調機",'2-3.設備仕様入力(適合例)'!$M$120="ルームエアコン"),ROUND('2-3.設備仕様入力(適合例)'!$M$127*'2-3.設備仕様入力(適合例)'!$M$121*計算式!$C$3*VLOOKUP('2-3.設備仕様入力(適合例)'!$M$123,計算式!$N$16:$P$26,3,FALSE)/1000,1),"")</f>
        <v/>
      </c>
      <c r="R40" s="41" t="str">
        <f t="shared" si="0"/>
        <v/>
      </c>
      <c r="S40" s="41" t="str">
        <f>IF('2-3.設備仕様入力(適合例)'!$M$120="ガスヒートポンプ式空調機",IF('2-3.設備仕様入力(適合例)'!$M$122="都市ガス",IF('2-3.設備仕様入力(適合例)'!$M$128="kW",ROUND('2-3.設備仕様入力(適合例)'!$M$121*'2-3.設備仕様入力(適合例)'!$M$126*3.6/1000*VLOOKUP('2-3.設備仕様入力(適合例)'!$M$123,計算式!$N$16:$P$26,2,FALSE),1),""),""),"")</f>
        <v/>
      </c>
      <c r="T40" s="41" t="str">
        <f>IF('2-3.設備仕様入力(適合例)'!$M$120="ガスヒートポンプ式空調機",IF('2-3.設備仕様入力(適合例)'!$M$122="都市ガス",IF('2-3.設備仕様入力(適合例)'!$M$128="kW",ROUND('2-3.設備仕様入力(適合例)'!$M$121*'2-3.設備仕様入力(適合例)'!$M$127*3.6/1000*VLOOKUP('2-3.設備仕様入力(適合例)'!$M$123,計算式!$N$16:$P$26,3,FALSE),1),""),""),"")</f>
        <v/>
      </c>
      <c r="U40" s="41" t="str">
        <f t="shared" si="1"/>
        <v/>
      </c>
      <c r="V40" s="41" t="str">
        <f>IF('2-3.設備仕様入力(適合例)'!$M$120="ガスヒートポンプ式空調機",IF('2-3.設備仕様入力(適合例)'!$M$128="ｍ3N/h",ROUND('2-3.設備仕様入力(適合例)'!$M$121*'2-3.設備仕様入力(適合例)'!$M$126*計算式!$C$10/1000*VLOOKUP('2-3.設備仕様入力(適合例)'!$M$123,計算式!$N$16:$P$26,2,FALSE),1),""),"")</f>
        <v/>
      </c>
      <c r="W40" s="41" t="str">
        <f>IF('2-3.設備仕様入力(適合例)'!$M$120="ガスヒートポンプ式空調機",IF('2-3.設備仕様入力(適合例)'!$M$128="ｍ3N/h",ROUND('2-3.設備仕様入力(適合例)'!$M$121*'2-3.設備仕様入力(適合例)'!$M$127*計算式!$C$10/1000*VLOOKUP('2-3.設備仕様入力(適合例)'!$M$123,計算式!$N$16:$P$26,3,FALSE),1),""),"")</f>
        <v/>
      </c>
      <c r="X40" s="41" t="str">
        <f t="shared" si="2"/>
        <v/>
      </c>
      <c r="Y40" s="41" t="str">
        <f>IF('2-3.設備仕様入力(適合例)'!$M$120="ガスヒートポンプ式空調機",IF('2-3.設備仕様入力(適合例)'!$M$122="LPG",IF('2-3.設備仕様入力(適合例)'!$M$128="kW",ROUND('2-3.設備仕様入力(適合例)'!$M$121*'2-3.設備仕様入力(適合例)'!$M$126*3.6/1000*VLOOKUP('2-3.設備仕様入力(適合例)'!$M$123,計算式!$N$16:$P$26,2,FALSE),1),""),""),"")</f>
        <v/>
      </c>
      <c r="Z40" s="41" t="str">
        <f>IF('2-3.設備仕様入力(適合例)'!$M$120="ガスヒートポンプ式空調機",IF('2-3.設備仕様入力(適合例)'!$M$122="LPG",IF('2-3.設備仕様入力(適合例)'!$M$128="kW",ROUND('2-3.設備仕様入力(適合例)'!$M$121*'2-3.設備仕様入力(適合例)'!$M$127*3.6/1000*VLOOKUP('2-3.設備仕様入力(適合例)'!$M$123,計算式!$N$16:$P$26,3,FALSE),1),""),""),"")</f>
        <v/>
      </c>
      <c r="AA40" s="41" t="str">
        <f t="shared" si="3"/>
        <v/>
      </c>
      <c r="AB40" s="41" t="str">
        <f>IF('2-3.設備仕様入力(適合例)'!$M$120="ガスヒートポンプ式空調機",IF('2-3.設備仕様入力(適合例)'!$M$122="LPG",IF('2-3.設備仕様入力(適合例)'!$M$128="kg/h",ROUND('2-3.設備仕様入力(適合例)'!$M$121*'2-3.設備仕様入力(適合例)'!$M$126*計算式!$C$11/1000*VLOOKUP('2-3.設備仕様入力(適合例)'!$M$123,計算式!$N$16:$P$26,2,FALSE),1),""),""),"")</f>
        <v/>
      </c>
      <c r="AC40" s="41" t="str">
        <f>IF('2-3.設備仕様入力(適合例)'!$M$120="ガスヒートポンプ式空調機",IF('2-3.設備仕様入力(適合例)'!$M$122="LPG",IF('2-3.設備仕様入力(適合例)'!$M$128="kg/h",ROUND('2-3.設備仕様入力(適合例)'!$M$121*'2-3.設備仕様入力(適合例)'!$M$127*計算式!$C$11/1000*VLOOKUP('2-3.設備仕様入力(適合例)'!$M$123,計算式!$N$16:$P$26,3,FALSE),1),""),""),"")</f>
        <v/>
      </c>
      <c r="AD40" s="41" t="str">
        <f t="shared" si="4"/>
        <v/>
      </c>
    </row>
    <row r="41" spans="3:30" ht="19.2" x14ac:dyDescent="0.55000000000000004">
      <c r="F41" s="4"/>
      <c r="I41" s="82" t="s">
        <v>195</v>
      </c>
      <c r="J41" s="11" t="str">
        <f>IF(ISERROR('4.エネルギー使用量(適合例)'!$O$69/1000*$C$20*$C$7),"",ROUND('4.エネルギー使用量(適合例)'!$O$69/1000*$C$20*$C$7,2))</f>
        <v/>
      </c>
      <c r="K41" s="10" t="str">
        <f>IF(ISERROR('4.エネルギー使用量(適合例)'!$O$69/1000*$C$20*$E$20*$E$7),"",ROUND('4.エネルギー使用量(適合例)'!$O$69/1000*$C$20*$E$20*$E$7,2))</f>
        <v/>
      </c>
      <c r="N41" s="80" t="s">
        <v>371</v>
      </c>
      <c r="O41" s="34" t="str">
        <f>IF(AND('2-3.設備仕様入力(適合例)'!N$122="電気",'2-3.設備仕様入力(適合例)'!N$128="kW"),1,IF(AND('2-3.設備仕様入力(適合例)'!N$122="都市ガス",'2-3.設備仕様入力(適合例)'!N$128="kW"),2,IF(AND('2-3.設備仕様入力(適合例)'!N$122="都市ガス",'2-3.設備仕様入力(適合例)'!N$128="ｍ3N/h"),3,IF(AND('2-3.設備仕様入力(適合例)'!N$122="LPG",'2-3.設備仕様入力(適合例)'!N$128="kW"),4,IF(AND('2-3.設備仕様入力(適合例)'!N$122="LPG",'2-3.設備仕様入力(適合例)'!N$128="kg/h"),5,"")))))</f>
        <v/>
      </c>
      <c r="P41" s="41" t="str">
        <f>IF(OR('2-3.設備仕様入力(適合例)'!$N$120="電気式パッケージ形空調機",'2-3.設備仕様入力(適合例)'!$N$120="ルームエアコン"),ROUND('2-3.設備仕様入力(適合例)'!$N$126*'2-3.設備仕様入力(適合例)'!$N$121*計算式!$C$3*VLOOKUP('2-3.設備仕様入力(適合例)'!$N$123,計算式!$N$16:$P$26,2,FALSE)/1000,1),"")</f>
        <v/>
      </c>
      <c r="Q41" s="41" t="str">
        <f>IF(OR('2-3.設備仕様入力(適合例)'!$N$120="電気式パッケージ形空調機",'2-3.設備仕様入力(適合例)'!$N$120="ルームエアコン"),ROUND('2-3.設備仕様入力(適合例)'!$N$127*'2-3.設備仕様入力(適合例)'!$N$121*計算式!$C$3*VLOOKUP('2-3.設備仕様入力(適合例)'!$N$123,計算式!$N$16:$P$26,3,FALSE)/1000,1),"")</f>
        <v/>
      </c>
      <c r="R41" s="41" t="str">
        <f t="shared" si="0"/>
        <v/>
      </c>
      <c r="S41" s="41" t="str">
        <f>IF('2-3.設備仕様入力(適合例)'!$N$120="ガスヒートポンプ式空調機",IF('2-3.設備仕様入力(適合例)'!$N$122="都市ガス",IF('2-3.設備仕様入力(適合例)'!$N$128="kW",ROUND('2-3.設備仕様入力(適合例)'!$N$121*'2-3.設備仕様入力(適合例)'!$N$126*3.6/1000*VLOOKUP('2-3.設備仕様入力(適合例)'!$N$123,計算式!$N$16:$P$26,2,FALSE),1),""),""),"")</f>
        <v/>
      </c>
      <c r="T41" s="41" t="str">
        <f>IF('2-3.設備仕様入力(適合例)'!$N$120="ガスヒートポンプ式空調機",IF('2-3.設備仕様入力(適合例)'!$N$122="都市ガス",IF('2-3.設備仕様入力(適合例)'!$N$128="kW",ROUND('2-3.設備仕様入力(適合例)'!$N$121*'2-3.設備仕様入力(適合例)'!$N$127*3.6/1000*VLOOKUP('2-3.設備仕様入力(適合例)'!$N$123,計算式!$N$16:$P$26,3,FALSE),1),""),""),"")</f>
        <v/>
      </c>
      <c r="U41" s="41" t="str">
        <f t="shared" si="1"/>
        <v/>
      </c>
      <c r="V41" s="41" t="str">
        <f>IF('2-3.設備仕様入力(適合例)'!$N$120="ガスヒートポンプ式空調機",IF('2-3.設備仕様入力(適合例)'!$N$128="ｍ3N/h",ROUND('2-3.設備仕様入力(適合例)'!$N$121*'2-3.設備仕様入力(適合例)'!$N$126*計算式!$C$10/1000*VLOOKUP('2-3.設備仕様入力(適合例)'!$N$123,計算式!$N$16:$P$26,2,FALSE),1),""),"")</f>
        <v/>
      </c>
      <c r="W41" s="41" t="str">
        <f>IF('2-3.設備仕様入力(適合例)'!$N$120="ガスヒートポンプ式空調機",IF('2-3.設備仕様入力(適合例)'!$N$128="ｍ3N/h",ROUND('2-3.設備仕様入力(適合例)'!$N$121*'2-3.設備仕様入力(適合例)'!$N$127*計算式!$C$10/1000*VLOOKUP('2-3.設備仕様入力(適合例)'!$N$123,計算式!$N$16:$P$26,3,FALSE),1),""),"")</f>
        <v/>
      </c>
      <c r="X41" s="41" t="str">
        <f t="shared" si="2"/>
        <v/>
      </c>
      <c r="Y41" s="41" t="str">
        <f>IF('2-3.設備仕様入力(適合例)'!$N$120="ガスヒートポンプ式空調機",IF('2-3.設備仕様入力(適合例)'!$N$122="LPG",IF('2-3.設備仕様入力(適合例)'!$N$128="kW",ROUND('2-3.設備仕様入力(適合例)'!$N$121*'2-3.設備仕様入力(適合例)'!$N$126*3.6/1000*VLOOKUP('2-3.設備仕様入力(適合例)'!$N$123,計算式!$N$16:$P$26,2,FALSE),1),""),""),"")</f>
        <v/>
      </c>
      <c r="Z41" s="41" t="str">
        <f>IF('2-3.設備仕様入力(適合例)'!$N$120="ガスヒートポンプ式空調機",IF('2-3.設備仕様入力(適合例)'!$N$122="LPG",IF('2-3.設備仕様入力(適合例)'!$N$128="kW",ROUND('2-3.設備仕様入力(適合例)'!$N$121*'2-3.設備仕様入力(適合例)'!$N$127*3.6/1000*VLOOKUP('2-3.設備仕様入力(適合例)'!$N$123,計算式!$N$16:$P$26,3,FALSE),1),""),""),"")</f>
        <v/>
      </c>
      <c r="AA41" s="41" t="str">
        <f t="shared" si="3"/>
        <v/>
      </c>
      <c r="AB41" s="41" t="str">
        <f>IF('2-3.設備仕様入力(適合例)'!$N$120="ガスヒートポンプ式空調機",IF('2-3.設備仕様入力(適合例)'!$N$122="LPG",IF('2-3.設備仕様入力(適合例)'!$N$128="kg/h",ROUND('2-3.設備仕様入力(適合例)'!$N$121*'2-3.設備仕様入力(適合例)'!$N$126*計算式!$C$11/1000*VLOOKUP('2-3.設備仕様入力(適合例)'!$N$123,計算式!$N$16:$P$26,2,FALSE),1),""),""),"")</f>
        <v/>
      </c>
      <c r="AC41" s="41" t="str">
        <f>IF('2-3.設備仕様入力(適合例)'!$N$120="ガスヒートポンプ式空調機",IF('2-3.設備仕様入力(適合例)'!$N$122="LPG",IF('2-3.設備仕様入力(適合例)'!$N$128="kg/h",ROUND('2-3.設備仕様入力(適合例)'!$N$121*'2-3.設備仕様入力(適合例)'!$N$127*計算式!$C$11/1000*VLOOKUP('2-3.設備仕様入力(適合例)'!$N$123,計算式!$N$16:$P$26,3,FALSE),1),""),""),"")</f>
        <v/>
      </c>
      <c r="AD41" s="41" t="str">
        <f t="shared" si="4"/>
        <v/>
      </c>
    </row>
    <row r="42" spans="3:30" ht="19.8" thickBot="1" x14ac:dyDescent="0.6">
      <c r="F42" s="4"/>
      <c r="I42" s="82" t="s">
        <v>196</v>
      </c>
      <c r="J42" s="8" t="str">
        <f>IF(ISERROR('4.エネルギー使用量(適合例)'!$O$69/1000*$C$21*$C$7),"",ROUND('4.エネルギー使用量(適合例)'!$O$69/1000*$C$21*$C$7,2))</f>
        <v/>
      </c>
      <c r="K42" s="7" t="str">
        <f>IF(ISERROR('4.エネルギー使用量(適合例)'!$O$69/1000*$C$21*$E$21*$E$7),"",ROUND('4.エネルギー使用量(適合例)'!$O$69/1000*$C$21*$E$21*$E$7,2))</f>
        <v/>
      </c>
      <c r="N42" s="80" t="s">
        <v>372</v>
      </c>
      <c r="O42" s="34" t="str">
        <f>IF(AND('2-3.設備仕様入力(適合例)'!O$122="電気",'2-3.設備仕様入力(適合例)'!O$128="kW"),1,IF(AND('2-3.設備仕様入力(適合例)'!O$122="都市ガス",'2-3.設備仕様入力(適合例)'!O$128="kW"),2,IF(AND('2-3.設備仕様入力(適合例)'!O$122="都市ガス",'2-3.設備仕様入力(適合例)'!O$128="ｍ3N/h"),3,IF(AND('2-3.設備仕様入力(適合例)'!O$122="LPG",'2-3.設備仕様入力(適合例)'!O$128="kW"),4,IF(AND('2-3.設備仕様入力(適合例)'!O$122="LPG",'2-3.設備仕様入力(適合例)'!O$128="kg/h"),5,"")))))</f>
        <v/>
      </c>
      <c r="P42" s="41" t="str">
        <f>IF(OR('2-3.設備仕様入力(適合例)'!$O$120="電気式パッケージ形空調機",'2-3.設備仕様入力(適合例)'!$O$120="ルームエアコン"),ROUND('2-3.設備仕様入力(適合例)'!$O$126*'2-3.設備仕様入力(適合例)'!$O$121*計算式!$C$3*VLOOKUP('2-3.設備仕様入力(適合例)'!$O$123,計算式!$N$16:$P$26,2,FALSE)/1000,1),"")</f>
        <v/>
      </c>
      <c r="Q42" s="41" t="str">
        <f>IF(OR('2-3.設備仕様入力(適合例)'!$O$120="電気式パッケージ形空調機",'2-3.設備仕様入力(適合例)'!$O$120="ルームエアコン"),ROUND('2-3.設備仕様入力(適合例)'!$O$127*'2-3.設備仕様入力(適合例)'!$O$121*計算式!$C$3*VLOOKUP('2-3.設備仕様入力(適合例)'!$O$123,計算式!$N$16:$P$26,3,FALSE)/1000,1),"")</f>
        <v/>
      </c>
      <c r="R42" s="41" t="str">
        <f t="shared" si="0"/>
        <v/>
      </c>
      <c r="S42" s="41" t="str">
        <f>IF('2-3.設備仕様入力(適合例)'!$O$120="ガスヒートポンプ式空調機",IF('2-3.設備仕様入力(適合例)'!$O$122="都市ガス",IF('2-3.設備仕様入力(適合例)'!$O$128="kW",ROUND('2-3.設備仕様入力(適合例)'!$O$121*'2-3.設備仕様入力(適合例)'!$O$126*3.6/1000*VLOOKUP('2-3.設備仕様入力(適合例)'!$O$123,計算式!$N$16:$P$26,2,FALSE),1),""),""),"")</f>
        <v/>
      </c>
      <c r="T42" s="41" t="str">
        <f>IF('2-3.設備仕様入力(適合例)'!$O$120="ガスヒートポンプ式空調機",IF('2-3.設備仕様入力(適合例)'!$O$122="都市ガス",IF('2-3.設備仕様入力(適合例)'!$O$128="kW",ROUND('2-3.設備仕様入力(適合例)'!$O$121*'2-3.設備仕様入力(適合例)'!$O$127*3.6/1000*VLOOKUP('2-3.設備仕様入力(適合例)'!$O$123,計算式!$N$16:$P$26,3,FALSE),1),""),""),"")</f>
        <v/>
      </c>
      <c r="U42" s="41" t="str">
        <f t="shared" si="1"/>
        <v/>
      </c>
      <c r="V42" s="41" t="str">
        <f>IF('2-3.設備仕様入力(適合例)'!$O$120="ガスヒートポンプ式空調機",IF('2-3.設備仕様入力(適合例)'!$O$128="ｍ3N/h",ROUND('2-3.設備仕様入力(適合例)'!$O$121*'2-3.設備仕様入力(適合例)'!$O$126*計算式!$C$10/1000*VLOOKUP('2-3.設備仕様入力(適合例)'!$O$123,計算式!$N$16:$P$26,2,FALSE),1),""),"")</f>
        <v/>
      </c>
      <c r="W42" s="41" t="str">
        <f>IF('2-3.設備仕様入力(適合例)'!$O$120="ガスヒートポンプ式空調機",IF('2-3.設備仕様入力(適合例)'!$O$128="ｍ3N/h",ROUND('2-3.設備仕様入力(適合例)'!$O$121*'2-3.設備仕様入力(適合例)'!$O$127*計算式!$C$10/1000*VLOOKUP('2-3.設備仕様入力(適合例)'!$O$123,計算式!$N$16:$P$26,3,FALSE),1),""),"")</f>
        <v/>
      </c>
      <c r="X42" s="41" t="str">
        <f t="shared" si="2"/>
        <v/>
      </c>
      <c r="Y42" s="41" t="str">
        <f>IF('2-3.設備仕様入力(適合例)'!$O$120="ガスヒートポンプ式空調機",IF('2-3.設備仕様入力(適合例)'!$O$122="LPG",IF('2-3.設備仕様入力(適合例)'!$O$128="kW",ROUND('2-3.設備仕様入力(適合例)'!$O$121*'2-3.設備仕様入力(適合例)'!$O$126*3.6/1000*VLOOKUP('2-3.設備仕様入力(適合例)'!$O$123,計算式!$N$16:$P$26,2,FALSE),1),""),""),"")</f>
        <v/>
      </c>
      <c r="Z42" s="41" t="str">
        <f>IF('2-3.設備仕様入力(適合例)'!$O$120="ガスヒートポンプ式空調機",IF('2-3.設備仕様入力(適合例)'!$O$122="LPG",IF('2-3.設備仕様入力(適合例)'!$O$128="kW",ROUND('2-3.設備仕様入力(適合例)'!$O$121*'2-3.設備仕様入力(適合例)'!$O$127*3.6/1000*VLOOKUP('2-3.設備仕様入力(適合例)'!$O$123,計算式!$N$16:$P$26,3,FALSE),1),""),""),"")</f>
        <v/>
      </c>
      <c r="AA42" s="41" t="str">
        <f t="shared" si="3"/>
        <v/>
      </c>
      <c r="AB42" s="41" t="str">
        <f>IF('2-3.設備仕様入力(適合例)'!$O$120="ガスヒートポンプ式空調機",IF('2-3.設備仕様入力(適合例)'!$O$122="LPG",IF('2-3.設備仕様入力(適合例)'!$O$128="kg/h",ROUND('2-3.設備仕様入力(適合例)'!$O$121*'2-3.設備仕様入力(適合例)'!$O$126*計算式!$C$11/1000*VLOOKUP('2-3.設備仕様入力(適合例)'!$O$123,計算式!$N$16:$P$26,2,FALSE),1),""),""),"")</f>
        <v/>
      </c>
      <c r="AC42" s="41" t="str">
        <f>IF('2-3.設備仕様入力(適合例)'!$O$120="ガスヒートポンプ式空調機",IF('2-3.設備仕様入力(適合例)'!$O$122="LPG",IF('2-3.設備仕様入力(適合例)'!$O$128="kg/h",ROUND('2-3.設備仕様入力(適合例)'!$O$121*'2-3.設備仕様入力(適合例)'!$O$127*計算式!$C$11/1000*VLOOKUP('2-3.設備仕様入力(適合例)'!$O$123,計算式!$N$16:$P$26,3,FALSE),1),""),""),"")</f>
        <v/>
      </c>
      <c r="AD42" s="41" t="str">
        <f t="shared" si="4"/>
        <v/>
      </c>
    </row>
    <row r="43" spans="3:30" ht="19.8" thickBot="1" x14ac:dyDescent="0.6">
      <c r="F43" s="4"/>
      <c r="I43" s="82"/>
      <c r="J43" s="132"/>
      <c r="K43" s="132"/>
      <c r="N43" s="80" t="s">
        <v>373</v>
      </c>
      <c r="O43" s="34" t="str">
        <f>IF(AND('2-3.設備仕様入力(適合例)'!P$122="電気",'2-3.設備仕様入力(適合例)'!P$128="kW"),1,IF(AND('2-3.設備仕様入力(適合例)'!P$122="都市ガス",'2-3.設備仕様入力(適合例)'!P$128="kW"),2,IF(AND('2-3.設備仕様入力(適合例)'!P$122="都市ガス",'2-3.設備仕様入力(適合例)'!P$128="ｍ3N/h"),3,IF(AND('2-3.設備仕様入力(適合例)'!P$122="LPG",'2-3.設備仕様入力(適合例)'!P$128="kW"),4,IF(AND('2-3.設備仕様入力(適合例)'!P$122="LPG",'2-3.設備仕様入力(適合例)'!P$128="kg/h"),5,"")))))</f>
        <v/>
      </c>
      <c r="P43" s="41" t="str">
        <f>IF(OR('2-3.設備仕様入力(適合例)'!$P$120="電気式パッケージ形空調機",'2-3.設備仕様入力(適合例)'!$P$120="ルームエアコン"),ROUND('2-3.設備仕様入力(適合例)'!$P$126*'2-3.設備仕様入力(適合例)'!$P$121*計算式!$C$3*VLOOKUP('2-3.設備仕様入力(適合例)'!$P$123,計算式!$N$16:$P$26,2,FALSE)/1000,1),"")</f>
        <v/>
      </c>
      <c r="Q43" s="41" t="str">
        <f>IF(OR('2-3.設備仕様入力(適合例)'!$P$120="電気式パッケージ形空調機",'2-3.設備仕様入力(適合例)'!$P$120="ルームエアコン"),ROUND('2-3.設備仕様入力(適合例)'!$P$127*'2-3.設備仕様入力(適合例)'!$P$121*計算式!$C$3*VLOOKUP('2-3.設備仕様入力(適合例)'!$P$123,計算式!$N$16:$P$26,3,FALSE)/1000,1),"")</f>
        <v/>
      </c>
      <c r="R43" s="41" t="str">
        <f t="shared" si="0"/>
        <v/>
      </c>
      <c r="S43" s="41" t="str">
        <f>IF('2-3.設備仕様入力(適合例)'!$P$120="ガスヒートポンプ式空調機",IF('2-3.設備仕様入力(適合例)'!$P$122="都市ガス",IF('2-3.設備仕様入力(適合例)'!$P$128="kW",ROUND('2-3.設備仕様入力(適合例)'!$P$121*'2-3.設備仕様入力(適合例)'!$P$126*3.6/1000*VLOOKUP('2-3.設備仕様入力(適合例)'!$P$123,計算式!$N$16:$P$26,2,FALSE),1),""),""),"")</f>
        <v/>
      </c>
      <c r="T43" s="41" t="str">
        <f>IF('2-3.設備仕様入力(適合例)'!$P$120="ガスヒートポンプ式空調機",IF('2-3.設備仕様入力(適合例)'!$P$122="都市ガス",IF('2-3.設備仕様入力(適合例)'!$P$128="kW",ROUND('2-3.設備仕様入力(適合例)'!$P$121*'2-3.設備仕様入力(適合例)'!$P$127*3.6/1000*VLOOKUP('2-3.設備仕様入力(適合例)'!$P$123,計算式!$N$16:$P$26,3,FALSE),1),""),""),"")</f>
        <v/>
      </c>
      <c r="U43" s="41" t="str">
        <f t="shared" si="1"/>
        <v/>
      </c>
      <c r="V43" s="41" t="str">
        <f>IF('2-3.設備仕様入力(適合例)'!$P$120="ガスヒートポンプ式空調機",IF('2-3.設備仕様入力(適合例)'!$P$128="ｍ3N/h",ROUND('2-3.設備仕様入力(適合例)'!$P$121*'2-3.設備仕様入力(適合例)'!$P$126*計算式!$C$10/1000*VLOOKUP('2-3.設備仕様入力(適合例)'!$P$123,計算式!$N$16:$P$26,2,FALSE),1),""),"")</f>
        <v/>
      </c>
      <c r="W43" s="41" t="str">
        <f>IF('2-3.設備仕様入力(適合例)'!$P$120="ガスヒートポンプ式空調機",IF('2-3.設備仕様入力(適合例)'!$P$128="ｍ3N/h",ROUND('2-3.設備仕様入力(適合例)'!$P$121*'2-3.設備仕様入力(適合例)'!$P$127*計算式!$C$10/1000*VLOOKUP('2-3.設備仕様入力(適合例)'!$P$123,計算式!$N$16:$P$26,3,FALSE),1),""),"")</f>
        <v/>
      </c>
      <c r="X43" s="41" t="str">
        <f t="shared" si="2"/>
        <v/>
      </c>
      <c r="Y43" s="41" t="str">
        <f>IF('2-3.設備仕様入力(適合例)'!$P$120="ガスヒートポンプ式空調機",IF('2-3.設備仕様入力(適合例)'!$P$122="LPG",IF('2-3.設備仕様入力(適合例)'!$P$128="kW",ROUND('2-3.設備仕様入力(適合例)'!$P$121*'2-3.設備仕様入力(適合例)'!$P$126*3.6/1000*VLOOKUP('2-3.設備仕様入力(適合例)'!$P$123,計算式!$N$16:$P$26,2,FALSE),1),""),""),"")</f>
        <v/>
      </c>
      <c r="Z43" s="41" t="str">
        <f>IF('2-3.設備仕様入力(適合例)'!$P$120="ガスヒートポンプ式空調機",IF('2-3.設備仕様入力(適合例)'!$P$122="LPG",IF('2-3.設備仕様入力(適合例)'!$P$128="kW",ROUND('2-3.設備仕様入力(適合例)'!$P$121*'2-3.設備仕様入力(適合例)'!$P$127*3.6/1000*VLOOKUP('2-3.設備仕様入力(適合例)'!$P$123,計算式!$N$16:$P$26,3,FALSE),1),""),""),"")</f>
        <v/>
      </c>
      <c r="AA43" s="41" t="str">
        <f t="shared" si="3"/>
        <v/>
      </c>
      <c r="AB43" s="41" t="str">
        <f>IF('2-3.設備仕様入力(適合例)'!$P$120="ガスヒートポンプ式空調機",IF('2-3.設備仕様入力(適合例)'!$P$122="LPG",IF('2-3.設備仕様入力(適合例)'!$P$128="kg/h",ROUND('2-3.設備仕様入力(適合例)'!$P$121*'2-3.設備仕様入力(適合例)'!$P$126*計算式!$C$11/1000*VLOOKUP('2-3.設備仕様入力(適合例)'!$P$123,計算式!$N$16:$P$26,2,FALSE),1),""),""),"")</f>
        <v/>
      </c>
      <c r="AC43" s="41" t="str">
        <f>IF('2-3.設備仕様入力(適合例)'!$P$120="ガスヒートポンプ式空調機",IF('2-3.設備仕様入力(適合例)'!$P$122="LPG",IF('2-3.設備仕様入力(適合例)'!$P$128="kg/h",ROUND('2-3.設備仕様入力(適合例)'!$P$121*'2-3.設備仕様入力(適合例)'!$P$127*計算式!$C$11/1000*VLOOKUP('2-3.設備仕様入力(適合例)'!$P$123,計算式!$N$16:$P$26,3,FALSE),1),""),""),"")</f>
        <v/>
      </c>
      <c r="AD43" s="41" t="str">
        <f t="shared" si="4"/>
        <v/>
      </c>
    </row>
    <row r="44" spans="3:30" ht="19.2" x14ac:dyDescent="0.55000000000000004">
      <c r="F44" s="4"/>
      <c r="I44" s="82" t="s">
        <v>460</v>
      </c>
      <c r="J44" s="13" t="s">
        <v>20</v>
      </c>
      <c r="K44" s="12" t="s">
        <v>19</v>
      </c>
      <c r="N44" s="80" t="s">
        <v>374</v>
      </c>
      <c r="O44" s="34" t="str">
        <f>IF(AND('2-3.設備仕様入力(適合例)'!Q$122="電気",'2-3.設備仕様入力(適合例)'!Q$128="kW"),1,IF(AND('2-3.設備仕様入力(適合例)'!Q$122="都市ガス",'2-3.設備仕様入力(適合例)'!Q$128="kW"),2,IF(AND('2-3.設備仕様入力(適合例)'!Q$122="都市ガス",'2-3.設備仕様入力(適合例)'!Q$128="ｍ3N/h"),3,IF(AND('2-3.設備仕様入力(適合例)'!Q$122="LPG",'2-3.設備仕様入力(適合例)'!Q$128="kW"),4,IF(AND('2-3.設備仕様入力(適合例)'!Q$122="LPG",'2-3.設備仕様入力(適合例)'!Q$128="kg/h"),5,"")))))</f>
        <v/>
      </c>
      <c r="P44" s="41" t="str">
        <f>IF(OR('2-3.設備仕様入力(適合例)'!$Q$120="電気式パッケージ形空調機",'2-3.設備仕様入力(適合例)'!$Q$120="ルームエアコン"),ROUND('2-3.設備仕様入力(適合例)'!$Q$126*'2-3.設備仕様入力(適合例)'!$Q$121*計算式!$C$3*VLOOKUP('2-3.設備仕様入力(適合例)'!$Q$123,計算式!$N$16:$P$26,2,FALSE)/1000,1),"")</f>
        <v/>
      </c>
      <c r="Q44" s="41" t="str">
        <f>IF(OR('2-3.設備仕様入力(適合例)'!$Q$120="電気式パッケージ形空調機",'2-3.設備仕様入力(適合例)'!$Q$120="ルームエアコン"),ROUND('2-3.設備仕様入力(適合例)'!$Q$127*'2-3.設備仕様入力(適合例)'!$Q$121*計算式!$C$3*VLOOKUP('2-3.設備仕様入力(適合例)'!$Q$123,計算式!$N$16:$P$26,3,FALSE)/1000,1),"")</f>
        <v/>
      </c>
      <c r="R44" s="41" t="str">
        <f t="shared" si="0"/>
        <v/>
      </c>
      <c r="S44" s="41" t="str">
        <f>IF('2-3.設備仕様入力(適合例)'!$Q$120="ガスヒートポンプ式空調機",IF('2-3.設備仕様入力(適合例)'!$Q$122="都市ガス",IF('2-3.設備仕様入力(適合例)'!$Q$128="kW",ROUND('2-3.設備仕様入力(適合例)'!$Q$121*'2-3.設備仕様入力(適合例)'!$Q$126*3.6/1000*VLOOKUP('2-3.設備仕様入力(適合例)'!$Q$123,計算式!$N$16:$P$26,2,FALSE),1),""),""),"")</f>
        <v/>
      </c>
      <c r="T44" s="41" t="str">
        <f>IF('2-3.設備仕様入力(適合例)'!$Q$120="ガスヒートポンプ式空調機",IF('2-3.設備仕様入力(適合例)'!$Q$122="都市ガス",IF('2-3.設備仕様入力(適合例)'!$Q$128="kW",ROUND('2-3.設備仕様入力(適合例)'!$Q$121*'2-3.設備仕様入力(適合例)'!$Q$127*3.6/1000*VLOOKUP('2-3.設備仕様入力(適合例)'!$Q$123,計算式!$N$16:$P$26,3,FALSE),1),""),""),"")</f>
        <v/>
      </c>
      <c r="U44" s="41" t="str">
        <f t="shared" si="1"/>
        <v/>
      </c>
      <c r="V44" s="41" t="str">
        <f>IF('2-3.設備仕様入力(適合例)'!$Q$120="ガスヒートポンプ式空調機",IF('2-3.設備仕様入力(適合例)'!$Q$128="ｍ3N/h",ROUND('2-3.設備仕様入力(適合例)'!$Q$121*'2-3.設備仕様入力(適合例)'!$Q$126*計算式!$C$10/1000*VLOOKUP('2-3.設備仕様入力(適合例)'!$Q$123,計算式!$N$16:$P$26,2,FALSE),1),""),"")</f>
        <v/>
      </c>
      <c r="W44" s="41" t="str">
        <f>IF('2-3.設備仕様入力(適合例)'!$Q$120="ガスヒートポンプ式空調機",IF('2-3.設備仕様入力(適合例)'!$Q$128="ｍ3N/h",ROUND('2-3.設備仕様入力(適合例)'!$Q$121*'2-3.設備仕様入力(適合例)'!$Q$127*計算式!$C$10/1000*VLOOKUP('2-3.設備仕様入力(適合例)'!$Q$123,計算式!$N$16:$P$26,3,FALSE),1),""),"")</f>
        <v/>
      </c>
      <c r="X44" s="41" t="str">
        <f t="shared" si="2"/>
        <v/>
      </c>
      <c r="Y44" s="41" t="str">
        <f>IF('2-3.設備仕様入力(適合例)'!$Q$120="ガスヒートポンプ式空調機",IF('2-3.設備仕様入力(適合例)'!$Q$122="LPG",IF('2-3.設備仕様入力(適合例)'!$Q$128="kW",ROUND('2-3.設備仕様入力(適合例)'!$Q$121*'2-3.設備仕様入力(適合例)'!$Q$126*3.6/1000*VLOOKUP('2-3.設備仕様入力(適合例)'!$Q$123,計算式!$N$16:$P$26,2,FALSE),1),""),""),"")</f>
        <v/>
      </c>
      <c r="Z44" s="41" t="str">
        <f>IF('2-3.設備仕様入力(適合例)'!$Q$120="ガスヒートポンプ式空調機",IF('2-3.設備仕様入力(適合例)'!$Q$122="LPG",IF('2-3.設備仕様入力(適合例)'!$Q$128="kW",ROUND('2-3.設備仕様入力(適合例)'!$Q$121*'2-3.設備仕様入力(適合例)'!$Q$127*3.6/1000*VLOOKUP('2-3.設備仕様入力(適合例)'!$Q$123,計算式!$N$16:$P$26,3,FALSE),1),""),""),"")</f>
        <v/>
      </c>
      <c r="AA44" s="41" t="str">
        <f t="shared" si="3"/>
        <v/>
      </c>
      <c r="AB44" s="41" t="str">
        <f>IF('2-3.設備仕様入力(適合例)'!$Q$120="ガスヒートポンプ式空調機",IF('2-3.設備仕様入力(適合例)'!$Q$122="LPG",IF('2-3.設備仕様入力(適合例)'!$Q$128="kg/h",ROUND('2-3.設備仕様入力(適合例)'!$Q$121*'2-3.設備仕様入力(適合例)'!$Q$126*計算式!$C$11/1000*VLOOKUP('2-3.設備仕様入力(適合例)'!$Q$123,計算式!$N$16:$P$26,2,FALSE),1),""),""),"")</f>
        <v/>
      </c>
      <c r="AC44" s="41" t="str">
        <f>IF('2-3.設備仕様入力(適合例)'!$Q$120="ガスヒートポンプ式空調機",IF('2-3.設備仕様入力(適合例)'!$Q$122="LPG",IF('2-3.設備仕様入力(適合例)'!$Q$128="kg/h",ROUND('2-3.設備仕様入力(適合例)'!$Q$121*'2-3.設備仕様入力(適合例)'!$Q$127*計算式!$C$11/1000*VLOOKUP('2-3.設備仕様入力(適合例)'!$Q$123,計算式!$N$16:$P$26,3,FALSE),1),""),""),"")</f>
        <v/>
      </c>
      <c r="AD44" s="41" t="str">
        <f t="shared" si="4"/>
        <v/>
      </c>
    </row>
    <row r="45" spans="3:30" ht="19.2" x14ac:dyDescent="0.55000000000000004">
      <c r="F45" s="4"/>
      <c r="I45" s="82" t="s">
        <v>197</v>
      </c>
      <c r="J45" s="16" t="str">
        <f>IF(ISERROR('4.エネルギー使用量(適合例)'!$O$80/1000*$C$4*$C$7),"",ROUND('4.エネルギー使用量(適合例)'!$O$80/1000*$C$4*$C$7,2))</f>
        <v/>
      </c>
      <c r="K45" s="10" t="str">
        <f>IF(ISERROR('4.エネルギー使用量(適合例)'!$O$80/1000*$C$4*$E$4),"",ROUND('4.エネルギー使用量(適合例)'!$O$80/1000*$C$4*$E$4,2))</f>
        <v/>
      </c>
      <c r="N45" s="80" t="s">
        <v>375</v>
      </c>
      <c r="O45" s="34" t="str">
        <f>IF(AND('2-3.設備仕様入力(適合例)'!R$122="電気",'2-3.設備仕様入力(適合例)'!R$128="kW"),1,IF(AND('2-3.設備仕様入力(適合例)'!R$122="都市ガス",'2-3.設備仕様入力(適合例)'!R$128="kW"),2,IF(AND('2-3.設備仕様入力(適合例)'!R$122="都市ガス",'2-3.設備仕様入力(適合例)'!R$128="ｍ3N/h"),3,IF(AND('2-3.設備仕様入力(適合例)'!R$122="LPG",'2-3.設備仕様入力(適合例)'!R$128="kW"),4,IF(AND('2-3.設備仕様入力(適合例)'!R$122="LPG",'2-3.設備仕様入力(適合例)'!R$128="kg/h"),5,"")))))</f>
        <v/>
      </c>
      <c r="P45" s="41" t="str">
        <f>IF(OR('2-3.設備仕様入力(適合例)'!$R$120="電気式パッケージ形空調機",'2-3.設備仕様入力(適合例)'!$R$120="ルームエアコン"),ROUND('2-3.設備仕様入力(適合例)'!$R$126*'2-3.設備仕様入力(適合例)'!$R$121*計算式!$C$3*VLOOKUP('2-3.設備仕様入力(適合例)'!$R$123,計算式!$N$16:$P$26,2,FALSE)/1000,1),"")</f>
        <v/>
      </c>
      <c r="Q45" s="41" t="str">
        <f>IF(OR('2-3.設備仕様入力(適合例)'!$R$120="電気式パッケージ形空調機",'2-3.設備仕様入力(適合例)'!$R$120="ルームエアコン"),ROUND('2-3.設備仕様入力(適合例)'!$R$127*'2-3.設備仕様入力(適合例)'!$R$121*計算式!$C$3*VLOOKUP('2-3.設備仕様入力(適合例)'!$R$123,計算式!$N$16:$P$26,3,FALSE)/1000,1),"")</f>
        <v/>
      </c>
      <c r="R45" s="41" t="str">
        <f t="shared" si="0"/>
        <v/>
      </c>
      <c r="S45" s="41" t="str">
        <f>IF('2-3.設備仕様入力(適合例)'!$R$120="ガスヒートポンプ式空調機",IF('2-3.設備仕様入力(適合例)'!$R$122="都市ガス",IF('2-3.設備仕様入力(適合例)'!$R$128="kW",ROUND('2-3.設備仕様入力(適合例)'!$R$121*'2-3.設備仕様入力(適合例)'!$R$126*3.6/1000*VLOOKUP('2-3.設備仕様入力(適合例)'!$R$123,計算式!$N$16:$P$26,2,FALSE),1),""),""),"")</f>
        <v/>
      </c>
      <c r="T45" s="41" t="str">
        <f>IF('2-3.設備仕様入力(適合例)'!$R$120="ガスヒートポンプ式空調機",IF('2-3.設備仕様入力(適合例)'!$R$122="都市ガス",IF('2-3.設備仕様入力(適合例)'!$R$128="kW",ROUND('2-3.設備仕様入力(適合例)'!$R$121*'2-3.設備仕様入力(適合例)'!$R$127*3.6/1000*VLOOKUP('2-3.設備仕様入力(適合例)'!$R$123,計算式!$N$16:$P$26,3,FALSE),1),""),""),"")</f>
        <v/>
      </c>
      <c r="U45" s="41" t="str">
        <f t="shared" si="1"/>
        <v/>
      </c>
      <c r="V45" s="41" t="str">
        <f>IF('2-3.設備仕様入力(適合例)'!$R$120="ガスヒートポンプ式空調機",IF('2-3.設備仕様入力(適合例)'!$R$128="ｍ3N/h",ROUND('2-3.設備仕様入力(適合例)'!$R$121*'2-3.設備仕様入力(適合例)'!$R$126*計算式!$C$10/1000*VLOOKUP('2-3.設備仕様入力(適合例)'!$R$123,計算式!$N$16:$P$26,2,FALSE),1),""),"")</f>
        <v/>
      </c>
      <c r="W45" s="41" t="str">
        <f>IF('2-3.設備仕様入力(適合例)'!$R$120="ガスヒートポンプ式空調機",IF('2-3.設備仕様入力(適合例)'!$R$128="ｍ3N/h",ROUND('2-3.設備仕様入力(適合例)'!$R$121*'2-3.設備仕様入力(適合例)'!$R$127*計算式!$C$10/1000*VLOOKUP('2-3.設備仕様入力(適合例)'!$R$123,計算式!$N$16:$P$26,3,FALSE),1),""),"")</f>
        <v/>
      </c>
      <c r="X45" s="41" t="str">
        <f t="shared" si="2"/>
        <v/>
      </c>
      <c r="Y45" s="41" t="str">
        <f>IF('2-3.設備仕様入力(適合例)'!$R$120="ガスヒートポンプ式空調機",IF('2-3.設備仕様入力(適合例)'!$R$122="LPG",IF('2-3.設備仕様入力(適合例)'!$R$128="kW",ROUND('2-3.設備仕様入力(適合例)'!$R$121*'2-3.設備仕様入力(適合例)'!$R$126*3.6/1000*VLOOKUP('2-3.設備仕様入力(適合例)'!$R$123,計算式!$N$16:$P$26,2,FALSE),1),""),""),"")</f>
        <v/>
      </c>
      <c r="Z45" s="41" t="str">
        <f>IF('2-3.設備仕様入力(適合例)'!$R$120="ガスヒートポンプ式空調機",IF('2-3.設備仕様入力(適合例)'!$R$122="LPG",IF('2-3.設備仕様入力(適合例)'!$R$128="kW",ROUND('2-3.設備仕様入力(適合例)'!$R$121*'2-3.設備仕様入力(適合例)'!$R$127*3.6/1000*VLOOKUP('2-3.設備仕様入力(適合例)'!$R$123,計算式!$N$16:$P$26,3,FALSE),1),""),""),"")</f>
        <v/>
      </c>
      <c r="AA45" s="41" t="str">
        <f t="shared" si="3"/>
        <v/>
      </c>
      <c r="AB45" s="41" t="str">
        <f>IF('2-3.設備仕様入力(適合例)'!$R$120="ガスヒートポンプ式空調機",IF('2-3.設備仕様入力(適合例)'!$R$122="LPG",IF('2-3.設備仕様入力(適合例)'!$R$128="kg/h",ROUND('2-3.設備仕様入力(適合例)'!$R$121*'2-3.設備仕様入力(適合例)'!$R$126*計算式!$C$11/1000*VLOOKUP('2-3.設備仕様入力(適合例)'!$R$123,計算式!$N$16:$P$26,2,FALSE),1),""),""),"")</f>
        <v/>
      </c>
      <c r="AC45" s="41" t="str">
        <f>IF('2-3.設備仕様入力(適合例)'!$R$120="ガスヒートポンプ式空調機",IF('2-3.設備仕様入力(適合例)'!$R$122="LPG",IF('2-3.設備仕様入力(適合例)'!$R$128="kg/h",ROUND('2-3.設備仕様入力(適合例)'!$R$121*'2-3.設備仕様入力(適合例)'!$R$127*計算式!$C$11/1000*VLOOKUP('2-3.設備仕様入力(適合例)'!$R$123,計算式!$N$16:$P$26,3,FALSE),1),""),""),"")</f>
        <v/>
      </c>
      <c r="AD45" s="41" t="str">
        <f t="shared" si="4"/>
        <v/>
      </c>
    </row>
    <row r="46" spans="3:30" ht="19.2" x14ac:dyDescent="0.55000000000000004">
      <c r="F46" s="4"/>
      <c r="I46" s="82" t="s">
        <v>198</v>
      </c>
      <c r="J46" s="16" t="str">
        <f>IF(ISERROR('4.エネルギー使用量(適合例)'!$O$80/1000*$C$5*$C$7),"",ROUND('4.エネルギー使用量(適合例)'!$O$80/1000*$C$5*$C$7,2))</f>
        <v/>
      </c>
      <c r="K46" s="10" t="str">
        <f>IF(ISERROR('4.エネルギー使用量(適合例)'!$O$80/1000*$C$5*$E$5),"",ROUND('4.エネルギー使用量(適合例)'!$O$80/1000*$C$5*$E$5,2))</f>
        <v/>
      </c>
      <c r="N46" s="80" t="s">
        <v>376</v>
      </c>
      <c r="O46" s="34" t="str">
        <f>IF(AND('2-3.設備仕様入力(適合例)'!S$122="電気",'2-3.設備仕様入力(適合例)'!S$128="kW"),1,IF(AND('2-3.設備仕様入力(適合例)'!S$122="都市ガス",'2-3.設備仕様入力(適合例)'!S$128="kW"),2,IF(AND('2-3.設備仕様入力(適合例)'!S$122="都市ガス",'2-3.設備仕様入力(適合例)'!S$128="ｍ3N/h"),3,IF(AND('2-3.設備仕様入力(適合例)'!S$122="LPG",'2-3.設備仕様入力(適合例)'!S$128="kW"),4,IF(AND('2-3.設備仕様入力(適合例)'!S$122="LPG",'2-3.設備仕様入力(適合例)'!S$128="kg/h"),5,"")))))</f>
        <v/>
      </c>
      <c r="P46" s="41" t="str">
        <f>IF(OR('2-3.設備仕様入力(適合例)'!$S$120="電気式パッケージ形空調機",'2-3.設備仕様入力(適合例)'!$S$120="ルームエアコン"),ROUND('2-3.設備仕様入力(適合例)'!$S$126*'2-3.設備仕様入力(適合例)'!$S$121*計算式!$C$3*VLOOKUP('2-3.設備仕様入力(適合例)'!$S$123,計算式!$N$16:$P$26,2,FALSE)/1000,1),"")</f>
        <v/>
      </c>
      <c r="Q46" s="41" t="str">
        <f>IF(OR('2-3.設備仕様入力(適合例)'!$S$120="電気式パッケージ形空調機",'2-3.設備仕様入力(適合例)'!$S$120="ルームエアコン"),ROUND('2-3.設備仕様入力(適合例)'!$S$127*'2-3.設備仕様入力(適合例)'!$S$121*計算式!$C$3*VLOOKUP('2-3.設備仕様入力(適合例)'!$S$123,計算式!$N$16:$P$26,3,FALSE)/1000,1),"")</f>
        <v/>
      </c>
      <c r="R46" s="41" t="str">
        <f t="shared" si="0"/>
        <v/>
      </c>
      <c r="S46" s="41" t="str">
        <f>IF('2-3.設備仕様入力(適合例)'!$S$120="ガスヒートポンプ式空調機",IF('2-3.設備仕様入力(適合例)'!$S$122="都市ガス",IF('2-3.設備仕様入力(適合例)'!$S$128="kW",ROUND('2-3.設備仕様入力(適合例)'!$S$121*'2-3.設備仕様入力(適合例)'!$S$126*3.6/1000*VLOOKUP('2-3.設備仕様入力(適合例)'!$S$123,計算式!$N$16:$P$26,2,FALSE),1),""),""),"")</f>
        <v/>
      </c>
      <c r="T46" s="41" t="str">
        <f>IF('2-3.設備仕様入力(適合例)'!$S$120="ガスヒートポンプ式空調機",IF('2-3.設備仕様入力(適合例)'!$S$122="都市ガス",IF('2-3.設備仕様入力(適合例)'!$S$128="kW",ROUND('2-3.設備仕様入力(適合例)'!$S$121*'2-3.設備仕様入力(適合例)'!$S$127*3.6/1000*VLOOKUP('2-3.設備仕様入力(適合例)'!$S$123,計算式!$N$16:$P$26,3,FALSE),1),""),""),"")</f>
        <v/>
      </c>
      <c r="U46" s="41" t="str">
        <f t="shared" si="1"/>
        <v/>
      </c>
      <c r="V46" s="41" t="str">
        <f>IF('2-3.設備仕様入力(適合例)'!$S$120="ガスヒートポンプ式空調機",IF('2-3.設備仕様入力(適合例)'!$S$128="ｍ3N/h",ROUND('2-3.設備仕様入力(適合例)'!$S$121*'2-3.設備仕様入力(適合例)'!$S$126*計算式!$C$10/1000*VLOOKUP('2-3.設備仕様入力(適合例)'!$S$123,計算式!$N$16:$P$26,2,FALSE),1),""),"")</f>
        <v/>
      </c>
      <c r="W46" s="41" t="str">
        <f>IF('2-3.設備仕様入力(適合例)'!$S$120="ガスヒートポンプ式空調機",IF('2-3.設備仕様入力(適合例)'!$S$128="ｍ3N/h",ROUND('2-3.設備仕様入力(適合例)'!$S$121*'2-3.設備仕様入力(適合例)'!$S$127*計算式!$C$10/1000*VLOOKUP('2-3.設備仕様入力(適合例)'!$S$123,計算式!$N$16:$P$26,3,FALSE),1),""),"")</f>
        <v/>
      </c>
      <c r="X46" s="41" t="str">
        <f t="shared" si="2"/>
        <v/>
      </c>
      <c r="Y46" s="41" t="str">
        <f>IF('2-3.設備仕様入力(適合例)'!$S$120="ガスヒートポンプ式空調機",IF('2-3.設備仕様入力(適合例)'!$S$122="LPG",IF('2-3.設備仕様入力(適合例)'!$S$128="kW",ROUND('2-3.設備仕様入力(適合例)'!$S$121*'2-3.設備仕様入力(適合例)'!$S$126*3.6/1000*VLOOKUP('2-3.設備仕様入力(適合例)'!$S$123,計算式!$N$16:$P$26,2,FALSE),1),""),""),"")</f>
        <v/>
      </c>
      <c r="Z46" s="41" t="str">
        <f>IF('2-3.設備仕様入力(適合例)'!$S$120="ガスヒートポンプ式空調機",IF('2-3.設備仕様入力(適合例)'!$S$122="LPG",IF('2-3.設備仕様入力(適合例)'!$S$128="kW",ROUND('2-3.設備仕様入力(適合例)'!$S$121*'2-3.設備仕様入力(適合例)'!$S$127*3.6/1000*VLOOKUP('2-3.設備仕様入力(適合例)'!$S$123,計算式!$N$16:$P$26,3,FALSE),1),""),""),"")</f>
        <v/>
      </c>
      <c r="AA46" s="41" t="str">
        <f t="shared" si="3"/>
        <v/>
      </c>
      <c r="AB46" s="41" t="str">
        <f>IF('2-3.設備仕様入力(適合例)'!$S$120="ガスヒートポンプ式空調機",IF('2-3.設備仕様入力(適合例)'!$S$122="LPG",IF('2-3.設備仕様入力(適合例)'!$S$128="kg/h",ROUND('2-3.設備仕様入力(適合例)'!$S$121*'2-3.設備仕様入力(適合例)'!$S$126*計算式!$C$11/1000*VLOOKUP('2-3.設備仕様入力(適合例)'!$S$123,計算式!$N$16:$P$26,2,FALSE),1),""),""),"")</f>
        <v/>
      </c>
      <c r="AC46" s="41" t="str">
        <f>IF('2-3.設備仕様入力(適合例)'!$S$120="ガスヒートポンプ式空調機",IF('2-3.設備仕様入力(適合例)'!$S$122="LPG",IF('2-3.設備仕様入力(適合例)'!$S$128="kg/h",ROUND('2-3.設備仕様入力(適合例)'!$S$121*'2-3.設備仕様入力(適合例)'!$S$127*計算式!$C$11/1000*VLOOKUP('2-3.設備仕様入力(適合例)'!$S$123,計算式!$N$16:$P$26,3,FALSE),1),""),""),"")</f>
        <v/>
      </c>
      <c r="AD46" s="41" t="str">
        <f t="shared" si="4"/>
        <v/>
      </c>
    </row>
    <row r="47" spans="3:30" ht="19.2" x14ac:dyDescent="0.55000000000000004">
      <c r="F47" s="4"/>
      <c r="I47" s="82" t="s">
        <v>199</v>
      </c>
      <c r="J47" s="16" t="str">
        <f>IF(ISERROR('4.エネルギー使用量(適合例)'!$O$80/1000*$C$6*$C$7),"",ROUND('4.エネルギー使用量(適合例)'!$O$80/1000*$C$6*$C$7,2))</f>
        <v/>
      </c>
      <c r="K47" s="10" t="str">
        <f>IF(ISERROR('4.エネルギー使用量(適合例)'!$O$80/1000*$C$6*$E$6),"",ROUND('4.エネルギー使用量(適合例)'!$O$80/1000*$C$6*$E$6,2))</f>
        <v/>
      </c>
      <c r="N47" s="80" t="s">
        <v>377</v>
      </c>
      <c r="O47" s="34" t="str">
        <f>IF(AND('2-3.設備仕様入力(適合例)'!T$122="電気",'2-3.設備仕様入力(適合例)'!T$128="kW"),1,IF(AND('2-3.設備仕様入力(適合例)'!T$122="都市ガス",'2-3.設備仕様入力(適合例)'!T$128="kW"),2,IF(AND('2-3.設備仕様入力(適合例)'!T$122="都市ガス",'2-3.設備仕様入力(適合例)'!T$128="ｍ3N/h"),3,IF(AND('2-3.設備仕様入力(適合例)'!T$122="LPG",'2-3.設備仕様入力(適合例)'!T$128="kW"),4,IF(AND('2-3.設備仕様入力(適合例)'!T$122="LPG",'2-3.設備仕様入力(適合例)'!T$128="kg/h"),5,"")))))</f>
        <v/>
      </c>
      <c r="P47" s="41" t="str">
        <f>IF(OR('2-3.設備仕様入力(適合例)'!$T$120="電気式パッケージ形空調機",'2-3.設備仕様入力(適合例)'!$T$120="ルームエアコン"),ROUND('2-3.設備仕様入力(適合例)'!$T$126*'2-3.設備仕様入力(適合例)'!$T$121*計算式!$C$3*VLOOKUP('2-3.設備仕様入力(適合例)'!$T$123,計算式!$N$16:$P$26,2,FALSE)/1000,1),"")</f>
        <v/>
      </c>
      <c r="Q47" s="41" t="str">
        <f>IF(OR('2-3.設備仕様入力(適合例)'!$T$120="電気式パッケージ形空調機",'2-3.設備仕様入力(適合例)'!$T$120="ルームエアコン"),ROUND('2-3.設備仕様入力(適合例)'!$T$127*'2-3.設備仕様入力(適合例)'!$T$121*計算式!$C$3*VLOOKUP('2-3.設備仕様入力(適合例)'!$T$123,計算式!$N$16:$P$26,3,FALSE)/1000,1),"")</f>
        <v/>
      </c>
      <c r="R47" s="41" t="str">
        <f t="shared" si="0"/>
        <v/>
      </c>
      <c r="S47" s="41" t="str">
        <f>IF('2-3.設備仕様入力(適合例)'!$T$120="ガスヒートポンプ式空調機",IF('2-3.設備仕様入力(適合例)'!$T$122="都市ガス",IF('2-3.設備仕様入力(適合例)'!$T$128="kW",ROUND('2-3.設備仕様入力(適合例)'!$T$121*'2-3.設備仕様入力(適合例)'!$T$126*3.6/1000*VLOOKUP('2-3.設備仕様入力(適合例)'!$T$123,計算式!$N$16:$P$26,2,FALSE),1),""),""),"")</f>
        <v/>
      </c>
      <c r="T47" s="41" t="str">
        <f>IF('2-3.設備仕様入力(適合例)'!$T$120="ガスヒートポンプ式空調機",IF('2-3.設備仕様入力(適合例)'!$T$122="都市ガス",IF('2-3.設備仕様入力(適合例)'!$T$128="kW",ROUND('2-3.設備仕様入力(適合例)'!$T$121*'2-3.設備仕様入力(適合例)'!$T$127*3.6/1000*VLOOKUP('2-3.設備仕様入力(適合例)'!$T$123,計算式!$N$16:$P$26,3,FALSE),1),""),""),"")</f>
        <v/>
      </c>
      <c r="U47" s="41" t="str">
        <f t="shared" si="1"/>
        <v/>
      </c>
      <c r="V47" s="41" t="str">
        <f>IF('2-3.設備仕様入力(適合例)'!$T$120="ガスヒートポンプ式空調機",IF('2-3.設備仕様入力(適合例)'!$T$128="ｍ3N/h",ROUND('2-3.設備仕様入力(適合例)'!$T$121*'2-3.設備仕様入力(適合例)'!$T$126*計算式!$C$10/1000*VLOOKUP('2-3.設備仕様入力(適合例)'!$T$123,計算式!$N$16:$P$26,2,FALSE),1),""),"")</f>
        <v/>
      </c>
      <c r="W47" s="41" t="str">
        <f>IF('2-3.設備仕様入力(適合例)'!$T$120="ガスヒートポンプ式空調機",IF('2-3.設備仕様入力(適合例)'!$T$128="ｍ3N/h",ROUND('2-3.設備仕様入力(適合例)'!$T$121*'2-3.設備仕様入力(適合例)'!$T$127*計算式!$C$10/1000*VLOOKUP('2-3.設備仕様入力(適合例)'!$T$123,計算式!$N$16:$P$26,3,FALSE),1),""),"")</f>
        <v/>
      </c>
      <c r="X47" s="41" t="str">
        <f t="shared" si="2"/>
        <v/>
      </c>
      <c r="Y47" s="41" t="str">
        <f>IF('2-3.設備仕様入力(適合例)'!$T$120="ガスヒートポンプ式空調機",IF('2-3.設備仕様入力(適合例)'!$T$122="LPG",IF('2-3.設備仕様入力(適合例)'!$T$128="kW",ROUND('2-3.設備仕様入力(適合例)'!$T$121*'2-3.設備仕様入力(適合例)'!$T$126*3.6/1000*VLOOKUP('2-3.設備仕様入力(適合例)'!$T$123,計算式!$N$16:$P$26,2,FALSE),1),""),""),"")</f>
        <v/>
      </c>
      <c r="Z47" s="41" t="str">
        <f>IF('2-3.設備仕様入力(適合例)'!$T$120="ガスヒートポンプ式空調機",IF('2-3.設備仕様入力(適合例)'!$T$122="LPG",IF('2-3.設備仕様入力(適合例)'!$T$128="kW",ROUND('2-3.設備仕様入力(適合例)'!$T$121*'2-3.設備仕様入力(適合例)'!$T$127*3.6/1000*VLOOKUP('2-3.設備仕様入力(適合例)'!$T$123,計算式!$N$16:$P$26,3,FALSE),1),""),""),"")</f>
        <v/>
      </c>
      <c r="AA47" s="41" t="str">
        <f t="shared" si="3"/>
        <v/>
      </c>
      <c r="AB47" s="41" t="str">
        <f>IF('2-3.設備仕様入力(適合例)'!$T$120="ガスヒートポンプ式空調機",IF('2-3.設備仕様入力(適合例)'!$T$122="LPG",IF('2-3.設備仕様入力(適合例)'!$T$128="kg/h",ROUND('2-3.設備仕様入力(適合例)'!$T$121*'2-3.設備仕様入力(適合例)'!$T$126*計算式!$C$11/1000*VLOOKUP('2-3.設備仕様入力(適合例)'!$T$123,計算式!$N$16:$P$26,2,FALSE),1),""),""),"")</f>
        <v/>
      </c>
      <c r="AC47" s="41" t="str">
        <f>IF('2-3.設備仕様入力(適合例)'!$T$120="ガスヒートポンプ式空調機",IF('2-3.設備仕様入力(適合例)'!$T$122="LPG",IF('2-3.設備仕様入力(適合例)'!$T$128="kg/h",ROUND('2-3.設備仕様入力(適合例)'!$T$121*'2-3.設備仕様入力(適合例)'!$T$127*計算式!$C$11/1000*VLOOKUP('2-3.設備仕様入力(適合例)'!$T$123,計算式!$N$16:$P$26,3,FALSE),1),""),""),"")</f>
        <v/>
      </c>
      <c r="AD47" s="41" t="str">
        <f t="shared" si="4"/>
        <v/>
      </c>
    </row>
    <row r="48" spans="3:30" ht="19.2" x14ac:dyDescent="0.55000000000000004">
      <c r="F48" s="4"/>
      <c r="I48" s="82" t="s">
        <v>193</v>
      </c>
      <c r="J48" s="11" t="str">
        <f>IF(ISERROR('4.エネルギー使用量(適合例)'!$O$80/1000*$C$18*$C$7),"",ROUND('4.エネルギー使用量(適合例)'!$O$80/1000*$C$18*$C$7,2))</f>
        <v/>
      </c>
      <c r="K48" s="10" t="str">
        <f>IF(ISERROR('4.エネルギー使用量(適合例)'!$O$80/1000*$C$18*$E$18*$E$7),"",ROUND('4.エネルギー使用量(適合例)'!$O$80/1000*$C$18*$E$18*$E$7,2))</f>
        <v/>
      </c>
      <c r="N48" s="80" t="s">
        <v>378</v>
      </c>
      <c r="O48" s="34" t="str">
        <f>IF(AND('2-3.設備仕様入力(適合例)'!U$122="電気",'2-3.設備仕様入力(適合例)'!U$128="kW"),1,IF(AND('2-3.設備仕様入力(適合例)'!U$122="都市ガス",'2-3.設備仕様入力(適合例)'!U$128="kW"),2,IF(AND('2-3.設備仕様入力(適合例)'!U$122="都市ガス",'2-3.設備仕様入力(適合例)'!U$128="ｍ3N/h"),3,IF(AND('2-3.設備仕様入力(適合例)'!U$122="LPG",'2-3.設備仕様入力(適合例)'!U$128="kW"),4,IF(AND('2-3.設備仕様入力(適合例)'!U$122="LPG",'2-3.設備仕様入力(適合例)'!U$128="kg/h"),5,"")))))</f>
        <v/>
      </c>
      <c r="P48" s="41" t="str">
        <f>IF(OR('2-3.設備仕様入力(適合例)'!$U$120="電気式パッケージ形空調機",'2-3.設備仕様入力(適合例)'!$U$120="ルームエアコン"),ROUND('2-3.設備仕様入力(適合例)'!$U$126*'2-3.設備仕様入力(適合例)'!$U$121*計算式!$C$3*VLOOKUP('2-3.設備仕様入力(適合例)'!$U$123,計算式!$N$16:$P$26,2,FALSE)/1000,1),"")</f>
        <v/>
      </c>
      <c r="Q48" s="41" t="str">
        <f>IF(OR('2-3.設備仕様入力(適合例)'!$U$120="電気式パッケージ形空調機",'2-3.設備仕様入力(適合例)'!$U$120="ルームエアコン"),ROUND('2-3.設備仕様入力(適合例)'!$U$127*'2-3.設備仕様入力(適合例)'!$U$121*計算式!$C$3*VLOOKUP('2-3.設備仕様入力(適合例)'!$U$123,計算式!$N$16:$P$26,3,FALSE)/1000,1),"")</f>
        <v/>
      </c>
      <c r="R48" s="41" t="str">
        <f t="shared" si="0"/>
        <v/>
      </c>
      <c r="S48" s="41" t="str">
        <f>IF('2-3.設備仕様入力(適合例)'!$U$120="ガスヒートポンプ式空調機",IF('2-3.設備仕様入力(適合例)'!$U$122="都市ガス",IF('2-3.設備仕様入力(適合例)'!$U$128="kW",ROUND('2-3.設備仕様入力(適合例)'!$U$121*'2-3.設備仕様入力(適合例)'!$U$126*3.6/1000*VLOOKUP('2-3.設備仕様入力(適合例)'!$U$123,計算式!$N$16:$P$26,2,FALSE),1),""),""),"")</f>
        <v/>
      </c>
      <c r="T48" s="41" t="str">
        <f>IF('2-3.設備仕様入力(適合例)'!$U$120="ガスヒートポンプ式空調機",IF('2-3.設備仕様入力(適合例)'!$U$122="都市ガス",IF('2-3.設備仕様入力(適合例)'!$U$128="kW",ROUND('2-3.設備仕様入力(適合例)'!$U$121*'2-3.設備仕様入力(適合例)'!$U$127*3.6/1000*VLOOKUP('2-3.設備仕様入力(適合例)'!$U$123,計算式!$N$16:$P$26,3,FALSE),1),""),""),"")</f>
        <v/>
      </c>
      <c r="U48" s="41" t="str">
        <f t="shared" si="1"/>
        <v/>
      </c>
      <c r="V48" s="41" t="str">
        <f>IF('2-3.設備仕様入力(適合例)'!$U$120="ガスヒートポンプ式空調機",IF('2-3.設備仕様入力(適合例)'!$U$128="ｍ3N/h",ROUND('2-3.設備仕様入力(適合例)'!$U$121*'2-3.設備仕様入力(適合例)'!$U$126*計算式!$C$10/1000*VLOOKUP('2-3.設備仕様入力(適合例)'!$U$123,計算式!$N$16:$P$26,2,FALSE),1),""),"")</f>
        <v/>
      </c>
      <c r="W48" s="41" t="str">
        <f>IF('2-3.設備仕様入力(適合例)'!$U$120="ガスヒートポンプ式空調機",IF('2-3.設備仕様入力(適合例)'!$U$128="ｍ3N/h",ROUND('2-3.設備仕様入力(適合例)'!$U$121*'2-3.設備仕様入力(適合例)'!$U$127*計算式!$C$10/1000*VLOOKUP('2-3.設備仕様入力(適合例)'!$U$123,計算式!$N$16:$P$26,3,FALSE),1),""),"")</f>
        <v/>
      </c>
      <c r="X48" s="41" t="str">
        <f t="shared" si="2"/>
        <v/>
      </c>
      <c r="Y48" s="41" t="str">
        <f>IF('2-3.設備仕様入力(適合例)'!$U$120="ガスヒートポンプ式空調機",IF('2-3.設備仕様入力(適合例)'!$U$122="LPG",IF('2-3.設備仕様入力(適合例)'!$U$128="kW",ROUND('2-3.設備仕様入力(適合例)'!$U$121*'2-3.設備仕様入力(適合例)'!$U$126*3.6/1000*VLOOKUP('2-3.設備仕様入力(適合例)'!$U$123,計算式!$N$16:$P$26,2,FALSE),1),""),""),"")</f>
        <v/>
      </c>
      <c r="Z48" s="41" t="str">
        <f>IF('2-3.設備仕様入力(適合例)'!$U$120="ガスヒートポンプ式空調機",IF('2-3.設備仕様入力(適合例)'!$U$122="LPG",IF('2-3.設備仕様入力(適合例)'!$U$128="kW",ROUND('2-3.設備仕様入力(適合例)'!$U$121*'2-3.設備仕様入力(適合例)'!$U$127*3.6/1000*VLOOKUP('2-3.設備仕様入力(適合例)'!$U$123,計算式!$N$16:$P$26,3,FALSE),1),""),""),"")</f>
        <v/>
      </c>
      <c r="AA48" s="41" t="str">
        <f t="shared" si="3"/>
        <v/>
      </c>
      <c r="AB48" s="41" t="str">
        <f>IF('2-3.設備仕様入力(適合例)'!$U$120="ガスヒートポンプ式空調機",IF('2-3.設備仕様入力(適合例)'!$U$122="LPG",IF('2-3.設備仕様入力(適合例)'!$U$128="kg/h",ROUND('2-3.設備仕様入力(適合例)'!$U$121*'2-3.設備仕様入力(適合例)'!$U$126*計算式!$C$11/1000*VLOOKUP('2-3.設備仕様入力(適合例)'!$U$123,計算式!$N$16:$P$26,2,FALSE),1),""),""),"")</f>
        <v/>
      </c>
      <c r="AC48" s="41" t="str">
        <f>IF('2-3.設備仕様入力(適合例)'!$U$120="ガスヒートポンプ式空調機",IF('2-3.設備仕様入力(適合例)'!$U$122="LPG",IF('2-3.設備仕様入力(適合例)'!$U$128="kg/h",ROUND('2-3.設備仕様入力(適合例)'!$U$121*'2-3.設備仕様入力(適合例)'!$U$127*計算式!$C$11/1000*VLOOKUP('2-3.設備仕様入力(適合例)'!$U$123,計算式!$N$16:$P$26,3,FALSE),1),""),""),"")</f>
        <v/>
      </c>
      <c r="AD48" s="41" t="str">
        <f t="shared" si="4"/>
        <v/>
      </c>
    </row>
    <row r="49" spans="6:30" ht="19.2" x14ac:dyDescent="0.55000000000000004">
      <c r="F49" s="4"/>
      <c r="I49" s="82" t="s">
        <v>194</v>
      </c>
      <c r="J49" s="11" t="str">
        <f>IF(ISERROR('4.エネルギー使用量(適合例)'!$O$80/1000*$C$19*$C$7),"",ROUND('4.エネルギー使用量(適合例)'!$O$80/1000*$C$19*$C$7,2))</f>
        <v/>
      </c>
      <c r="K49" s="10" t="str">
        <f>IF(ISERROR('4.エネルギー使用量(適合例)'!$O$80/1000*$C$19*$E$19*$E$7),"",ROUND('4.エネルギー使用量(適合例)'!$O$80/1000*$C$19*$E$19*$E$7,2))</f>
        <v/>
      </c>
      <c r="N49" s="80" t="s">
        <v>379</v>
      </c>
      <c r="O49" s="34" t="str">
        <f>IF(AND('2-3.設備仕様入力(適合例)'!V$122="電気",'2-3.設備仕様入力(適合例)'!V$128="kW"),1,IF(AND('2-3.設備仕様入力(適合例)'!V$122="都市ガス",'2-3.設備仕様入力(適合例)'!V$128="kW"),2,IF(AND('2-3.設備仕様入力(適合例)'!V$122="都市ガス",'2-3.設備仕様入力(適合例)'!V$128="ｍ3N/h"),3,IF(AND('2-3.設備仕様入力(適合例)'!V$122="LPG",'2-3.設備仕様入力(適合例)'!V$128="kW"),4,IF(AND('2-3.設備仕様入力(適合例)'!V$122="LPG",'2-3.設備仕様入力(適合例)'!V$128="kg/h"),5,"")))))</f>
        <v/>
      </c>
      <c r="P49" s="41" t="str">
        <f>IF(OR('2-3.設備仕様入力(適合例)'!$V$120="電気式パッケージ形空調機",'2-3.設備仕様入力(適合例)'!$V$120="ルームエアコン"),ROUND('2-3.設備仕様入力(適合例)'!$V$126*'2-3.設備仕様入力(適合例)'!$V$121*計算式!$C$3*VLOOKUP('2-3.設備仕様入力(適合例)'!$V$123,計算式!$N$16:$P$26,2,FALSE)/1000,1),"")</f>
        <v/>
      </c>
      <c r="Q49" s="41" t="str">
        <f>IF(OR('2-3.設備仕様入力(適合例)'!$V$120="電気式パッケージ形空調機",'2-3.設備仕様入力(適合例)'!$V$120="ルームエアコン"),ROUND('2-3.設備仕様入力(適合例)'!$V$127*'2-3.設備仕様入力(適合例)'!$V$121*計算式!$C$3*VLOOKUP('2-3.設備仕様入力(適合例)'!$V$123,計算式!$N$16:$P$26,3,FALSE)/1000,1),"")</f>
        <v/>
      </c>
      <c r="R49" s="41" t="str">
        <f t="shared" si="0"/>
        <v/>
      </c>
      <c r="S49" s="41" t="str">
        <f>IF('2-3.設備仕様入力(適合例)'!$V$120="ガスヒートポンプ式空調機",IF('2-3.設備仕様入力(適合例)'!$V$122="都市ガス",IF('2-3.設備仕様入力(適合例)'!$V$128="kW",ROUND('2-3.設備仕様入力(適合例)'!$V$121*'2-3.設備仕様入力(適合例)'!$V$126*3.6/1000*VLOOKUP('2-3.設備仕様入力(適合例)'!$V$123,計算式!$N$16:$P$26,2,FALSE),1),""),""),"")</f>
        <v/>
      </c>
      <c r="T49" s="41" t="str">
        <f>IF('2-3.設備仕様入力(適合例)'!$V$120="ガスヒートポンプ式空調機",IF('2-3.設備仕様入力(適合例)'!$V$122="都市ガス",IF('2-3.設備仕様入力(適合例)'!$V$128="kW",ROUND('2-3.設備仕様入力(適合例)'!$V$121*'2-3.設備仕様入力(適合例)'!$V$127*3.6/1000*VLOOKUP('2-3.設備仕様入力(適合例)'!$V$123,計算式!$N$16:$P$26,3,FALSE),1),""),""),"")</f>
        <v/>
      </c>
      <c r="U49" s="41" t="str">
        <f t="shared" si="1"/>
        <v/>
      </c>
      <c r="V49" s="41" t="str">
        <f>IF('2-3.設備仕様入力(適合例)'!$V$120="ガスヒートポンプ式空調機",IF('2-3.設備仕様入力(適合例)'!$V$128="ｍ3N/h",ROUND('2-3.設備仕様入力(適合例)'!$V$121*'2-3.設備仕様入力(適合例)'!$V$126*計算式!$C$10/1000*VLOOKUP('2-3.設備仕様入力(適合例)'!$V$123,計算式!$N$16:$P$26,2,FALSE),1),""),"")</f>
        <v/>
      </c>
      <c r="W49" s="41" t="str">
        <f>IF('2-3.設備仕様入力(適合例)'!$V$120="ガスヒートポンプ式空調機",IF('2-3.設備仕様入力(適合例)'!$V$128="ｍ3N/h",ROUND('2-3.設備仕様入力(適合例)'!$V$121*'2-3.設備仕様入力(適合例)'!$V$127*計算式!$C$10/1000*VLOOKUP('2-3.設備仕様入力(適合例)'!$V$123,計算式!$N$16:$P$26,3,FALSE),1),""),"")</f>
        <v/>
      </c>
      <c r="X49" s="41" t="str">
        <f t="shared" si="2"/>
        <v/>
      </c>
      <c r="Y49" s="41" t="str">
        <f>IF('2-3.設備仕様入力(適合例)'!$V$120="ガスヒートポンプ式空調機",IF('2-3.設備仕様入力(適合例)'!$V$122="LPG",IF('2-3.設備仕様入力(適合例)'!$V$128="kW",ROUND('2-3.設備仕様入力(適合例)'!$V$121*'2-3.設備仕様入力(適合例)'!$V$126*3.6/1000*VLOOKUP('2-3.設備仕様入力(適合例)'!$V$123,計算式!$N$16:$P$26,2,FALSE),1),""),""),"")</f>
        <v/>
      </c>
      <c r="Z49" s="41" t="str">
        <f>IF('2-3.設備仕様入力(適合例)'!$V$120="ガスヒートポンプ式空調機",IF('2-3.設備仕様入力(適合例)'!$V$122="LPG",IF('2-3.設備仕様入力(適合例)'!$V$128="kW",ROUND('2-3.設備仕様入力(適合例)'!$V$121*'2-3.設備仕様入力(適合例)'!$V$127*3.6/1000*VLOOKUP('2-3.設備仕様入力(適合例)'!$V$123,計算式!$N$16:$P$26,3,FALSE),1),""),""),"")</f>
        <v/>
      </c>
      <c r="AA49" s="41" t="str">
        <f t="shared" si="3"/>
        <v/>
      </c>
      <c r="AB49" s="41" t="str">
        <f>IF('2-3.設備仕様入力(適合例)'!$V$120="ガスヒートポンプ式空調機",IF('2-3.設備仕様入力(適合例)'!$V$122="LPG",IF('2-3.設備仕様入力(適合例)'!$V$128="kg/h",ROUND('2-3.設備仕様入力(適合例)'!$V$121*'2-3.設備仕様入力(適合例)'!$V$126*計算式!$C$11/1000*VLOOKUP('2-3.設備仕様入力(適合例)'!$V$123,計算式!$N$16:$P$26,2,FALSE),1),""),""),"")</f>
        <v/>
      </c>
      <c r="AC49" s="41" t="str">
        <f>IF('2-3.設備仕様入力(適合例)'!$V$120="ガスヒートポンプ式空調機",IF('2-3.設備仕様入力(適合例)'!$V$122="LPG",IF('2-3.設備仕様入力(適合例)'!$V$128="kg/h",ROUND('2-3.設備仕様入力(適合例)'!$V$121*'2-3.設備仕様入力(適合例)'!$V$127*計算式!$C$11/1000*VLOOKUP('2-3.設備仕様入力(適合例)'!$V$123,計算式!$N$16:$P$26,3,FALSE),1),""),""),"")</f>
        <v/>
      </c>
      <c r="AD49" s="41" t="str">
        <f t="shared" si="4"/>
        <v/>
      </c>
    </row>
    <row r="50" spans="6:30" ht="19.2" x14ac:dyDescent="0.55000000000000004">
      <c r="F50" s="4"/>
      <c r="I50" s="82" t="s">
        <v>195</v>
      </c>
      <c r="J50" s="11" t="str">
        <f>IF(ISERROR('4.エネルギー使用量(適合例)'!$O$80/1000*$C$20*$C$7),"",ROUND('4.エネルギー使用量(適合例)'!$O$80/1000*$C$20*$C$7,2))</f>
        <v/>
      </c>
      <c r="K50" s="10" t="str">
        <f>IF(ISERROR('4.エネルギー使用量(適合例)'!$O$80/1000*$C$20*$E$20*$E$7),"",ROUND('4.エネルギー使用量(適合例)'!$O$80/1000*$C$20*$E$20*$E$7,2))</f>
        <v/>
      </c>
      <c r="N50" s="80" t="s">
        <v>380</v>
      </c>
      <c r="O50" s="34" t="str">
        <f>IF(AND('2-3.設備仕様入力(適合例)'!W$122="電気",'2-3.設備仕様入力(適合例)'!W$128="kW"),1,IF(AND('2-3.設備仕様入力(適合例)'!W$122="都市ガス",'2-3.設備仕様入力(適合例)'!W$128="kW"),2,IF(AND('2-3.設備仕様入力(適合例)'!W$122="都市ガス",'2-3.設備仕様入力(適合例)'!W$128="ｍ3N/h"),3,IF(AND('2-3.設備仕様入力(適合例)'!W$122="LPG",'2-3.設備仕様入力(適合例)'!W$128="kW"),4,IF(AND('2-3.設備仕様入力(適合例)'!W$122="LPG",'2-3.設備仕様入力(適合例)'!W$128="kg/h"),5,"")))))</f>
        <v/>
      </c>
      <c r="P50" s="41" t="str">
        <f>IF(OR('2-3.設備仕様入力(適合例)'!$W$120="電気式パッケージ形空調機",'2-3.設備仕様入力(適合例)'!$W$120="ルームエアコン"),ROUND('2-3.設備仕様入力(適合例)'!$W$126*'2-3.設備仕様入力(適合例)'!$W$121*計算式!$C$3*VLOOKUP('2-3.設備仕様入力(適合例)'!$W$123,計算式!$N$16:$P$26,2,FALSE)/1000,1),"")</f>
        <v/>
      </c>
      <c r="Q50" s="41" t="str">
        <f>IF(OR('2-3.設備仕様入力(適合例)'!$W$120="電気式パッケージ形空調機",'2-3.設備仕様入力(適合例)'!$W$120="ルームエアコン"),ROUND('2-3.設備仕様入力(適合例)'!$W$127*'2-3.設備仕様入力(適合例)'!$W$121*計算式!$C$3*VLOOKUP('2-3.設備仕様入力(適合例)'!$W$123,計算式!$N$16:$P$26,3,FALSE)/1000,1),"")</f>
        <v/>
      </c>
      <c r="R50" s="41" t="str">
        <f t="shared" si="0"/>
        <v/>
      </c>
      <c r="S50" s="41" t="str">
        <f>IF('2-3.設備仕様入力(適合例)'!$W$120="ガスヒートポンプ式空調機",IF('2-3.設備仕様入力(適合例)'!$W$122="都市ガス",IF('2-3.設備仕様入力(適合例)'!$W$128="kW",ROUND('2-3.設備仕様入力(適合例)'!$W$121*'2-3.設備仕様入力(適合例)'!$W$126*3.6/1000*VLOOKUP('2-3.設備仕様入力(適合例)'!$W$123,計算式!$N$16:$P$26,2,FALSE),1),""),""),"")</f>
        <v/>
      </c>
      <c r="T50" s="41" t="str">
        <f>IF('2-3.設備仕様入力(適合例)'!$W$120="ガスヒートポンプ式空調機",IF('2-3.設備仕様入力(適合例)'!$W$122="都市ガス",IF('2-3.設備仕様入力(適合例)'!$W$128="kW",ROUND('2-3.設備仕様入力(適合例)'!$W$121*'2-3.設備仕様入力(適合例)'!$W$127*3.6/1000*VLOOKUP('2-3.設備仕様入力(適合例)'!$W$123,計算式!$N$16:$P$26,3,FALSE),1),""),""),"")</f>
        <v/>
      </c>
      <c r="U50" s="41" t="str">
        <f t="shared" si="1"/>
        <v/>
      </c>
      <c r="V50" s="41" t="str">
        <f>IF('2-3.設備仕様入力(適合例)'!$W$120="ガスヒートポンプ式空調機",IF('2-3.設備仕様入力(適合例)'!$W$128="ｍ3N/h",ROUND('2-3.設備仕様入力(適合例)'!$W$121*'2-3.設備仕様入力(適合例)'!$W$126*計算式!$C$10/1000*VLOOKUP('2-3.設備仕様入力(適合例)'!$W$123,計算式!$N$16:$P$26,2,FALSE),1),""),"")</f>
        <v/>
      </c>
      <c r="W50" s="41" t="str">
        <f>IF('2-3.設備仕様入力(適合例)'!$W$120="ガスヒートポンプ式空調機",IF('2-3.設備仕様入力(適合例)'!$W$128="ｍ3N/h",ROUND('2-3.設備仕様入力(適合例)'!$W$121*'2-3.設備仕様入力(適合例)'!$W$127*計算式!$C$10/1000*VLOOKUP('2-3.設備仕様入力(適合例)'!$W$123,計算式!$N$16:$P$26,3,FALSE),1),""),"")</f>
        <v/>
      </c>
      <c r="X50" s="41" t="str">
        <f t="shared" si="2"/>
        <v/>
      </c>
      <c r="Y50" s="41" t="str">
        <f>IF('2-3.設備仕様入力(適合例)'!$W$120="ガスヒートポンプ式空調機",IF('2-3.設備仕様入力(適合例)'!$W$122="LPG",IF('2-3.設備仕様入力(適合例)'!$W$128="kW",ROUND('2-3.設備仕様入力(適合例)'!$W$121*'2-3.設備仕様入力(適合例)'!$W$126*3.6/1000*VLOOKUP('2-3.設備仕様入力(適合例)'!$W$123,計算式!$N$16:$P$26,2,FALSE),1),""),""),"")</f>
        <v/>
      </c>
      <c r="Z50" s="41" t="str">
        <f>IF('2-3.設備仕様入力(適合例)'!$W$120="ガスヒートポンプ式空調機",IF('2-3.設備仕様入力(適合例)'!$W$122="LPG",IF('2-3.設備仕様入力(適合例)'!$W$128="kW",ROUND('2-3.設備仕様入力(適合例)'!$W$121*'2-3.設備仕様入力(適合例)'!$W$127*3.6/1000*VLOOKUP('2-3.設備仕様入力(適合例)'!$W$123,計算式!$N$16:$P$26,3,FALSE),1),""),""),"")</f>
        <v/>
      </c>
      <c r="AA50" s="41" t="str">
        <f t="shared" si="3"/>
        <v/>
      </c>
      <c r="AB50" s="41" t="str">
        <f>IF('2-3.設備仕様入力(適合例)'!$W$120="ガスヒートポンプ式空調機",IF('2-3.設備仕様入力(適合例)'!$W$122="LPG",IF('2-3.設備仕様入力(適合例)'!$W$128="kg/h",ROUND('2-3.設備仕様入力(適合例)'!$W$121*'2-3.設備仕様入力(適合例)'!$W$126*計算式!$C$11/1000*VLOOKUP('2-3.設備仕様入力(適合例)'!$W$123,計算式!$N$16:$P$26,2,FALSE),1),""),""),"")</f>
        <v/>
      </c>
      <c r="AC50" s="41" t="str">
        <f>IF('2-3.設備仕様入力(適合例)'!$W$120="ガスヒートポンプ式空調機",IF('2-3.設備仕様入力(適合例)'!$W$122="LPG",IF('2-3.設備仕様入力(適合例)'!$W$128="kg/h",ROUND('2-3.設備仕様入力(適合例)'!$W$121*'2-3.設備仕様入力(適合例)'!$W$127*計算式!$C$11/1000*VLOOKUP('2-3.設備仕様入力(適合例)'!$W$123,計算式!$N$16:$P$26,3,FALSE),1),""),""),"")</f>
        <v/>
      </c>
      <c r="AD50" s="41" t="str">
        <f t="shared" si="4"/>
        <v/>
      </c>
    </row>
    <row r="51" spans="6:30" ht="19.8" thickBot="1" x14ac:dyDescent="0.6">
      <c r="F51" s="4"/>
      <c r="I51" s="82" t="s">
        <v>196</v>
      </c>
      <c r="J51" s="8" t="str">
        <f>IF(ISERROR('4.エネルギー使用量(適合例)'!$O$80/1000*$C$21*$C$7),"",ROUND('4.エネルギー使用量(適合例)'!$O$80/1000*$C$21*$C$7,2))</f>
        <v/>
      </c>
      <c r="K51" s="7" t="str">
        <f>IF(ISERROR('4.エネルギー使用量(適合例)'!$O$80/1000*$C$21*$E$21*$E$7),"",ROUND('4.エネルギー使用量(適合例)'!$O$80/1000*$C$21*$E$21*$E$7,2))</f>
        <v/>
      </c>
      <c r="P51" s="133"/>
      <c r="Q51" s="133"/>
      <c r="R51" s="133"/>
      <c r="S51" s="133"/>
      <c r="T51" s="133"/>
      <c r="U51" s="133"/>
      <c r="V51" s="133"/>
      <c r="W51" s="133"/>
      <c r="X51" s="133"/>
      <c r="Y51" s="133"/>
      <c r="Z51" s="133"/>
      <c r="AA51" s="133"/>
      <c r="AB51" s="133"/>
      <c r="AC51" s="133"/>
      <c r="AD51" s="133"/>
    </row>
    <row r="52" spans="6:30" x14ac:dyDescent="0.55000000000000004">
      <c r="I52" s="82"/>
      <c r="J52" s="132"/>
      <c r="K52" s="132"/>
    </row>
    <row r="53" spans="6:30" ht="18" x14ac:dyDescent="0.55000000000000004">
      <c r="N53" s="79"/>
      <c r="O53" s="34"/>
      <c r="P53" s="274" t="s">
        <v>173</v>
      </c>
      <c r="Q53" s="275"/>
      <c r="R53" s="275"/>
      <c r="S53" s="275"/>
      <c r="T53" s="275"/>
      <c r="U53" s="275"/>
      <c r="V53" s="275"/>
      <c r="W53" s="275"/>
      <c r="X53" s="275"/>
      <c r="Y53" s="275"/>
      <c r="Z53" s="275"/>
      <c r="AA53" s="275"/>
      <c r="AB53" s="275"/>
      <c r="AC53" s="275"/>
      <c r="AD53" s="276"/>
    </row>
    <row r="54" spans="6:30" ht="18" x14ac:dyDescent="0.55000000000000004">
      <c r="N54" s="79"/>
      <c r="O54" s="34"/>
      <c r="P54" s="277" t="s">
        <v>176</v>
      </c>
      <c r="Q54" s="277"/>
      <c r="R54" s="277"/>
      <c r="S54" s="277" t="s">
        <v>175</v>
      </c>
      <c r="T54" s="277"/>
      <c r="U54" s="277"/>
      <c r="V54" s="277" t="s">
        <v>117</v>
      </c>
      <c r="W54" s="277"/>
      <c r="X54" s="277"/>
      <c r="Y54" s="277" t="s">
        <v>118</v>
      </c>
      <c r="Z54" s="277"/>
      <c r="AA54" s="277"/>
      <c r="AB54" s="277" t="s">
        <v>119</v>
      </c>
      <c r="AC54" s="277"/>
      <c r="AD54" s="277"/>
    </row>
    <row r="55" spans="6:30" ht="18" x14ac:dyDescent="0.55000000000000004">
      <c r="N55" s="79"/>
      <c r="O55" s="34"/>
      <c r="P55" s="197" t="s">
        <v>101</v>
      </c>
      <c r="Q55" s="197" t="s">
        <v>100</v>
      </c>
      <c r="R55" s="197" t="s">
        <v>99</v>
      </c>
      <c r="S55" s="197" t="s">
        <v>101</v>
      </c>
      <c r="T55" s="197" t="s">
        <v>100</v>
      </c>
      <c r="U55" s="197" t="s">
        <v>99</v>
      </c>
      <c r="V55" s="197" t="s">
        <v>101</v>
      </c>
      <c r="W55" s="197" t="s">
        <v>100</v>
      </c>
      <c r="X55" s="197" t="s">
        <v>99</v>
      </c>
      <c r="Y55" s="197" t="s">
        <v>101</v>
      </c>
      <c r="Z55" s="197" t="s">
        <v>100</v>
      </c>
      <c r="AA55" s="197" t="s">
        <v>99</v>
      </c>
      <c r="AB55" s="197" t="s">
        <v>101</v>
      </c>
      <c r="AC55" s="197" t="s">
        <v>100</v>
      </c>
      <c r="AD55" s="197" t="s">
        <v>99</v>
      </c>
    </row>
    <row r="56" spans="6:30" ht="19.2" x14ac:dyDescent="0.55000000000000004">
      <c r="N56" s="80" t="s">
        <v>152</v>
      </c>
      <c r="O56" s="34">
        <f>IF(AND('2-3.設備仕様入力(適合例)'!D$143="電気",'2-3.設備仕様入力(適合例)'!D$149="kW"),1,IF(AND('2-3.設備仕様入力(適合例)'!D$143="都市ガス",'2-3.設備仕様入力(適合例)'!D$149="kW"),2,IF(AND('2-3.設備仕様入力(適合例)'!D$143="都市ガス",'2-3.設備仕様入力(適合例)'!D$149="ｍ3N/h"),3,IF(AND('2-3.設備仕様入力(適合例)'!D$143="LPG",'2-3.設備仕様入力(適合例)'!D$149="kW"),4,IF(AND('2-3.設備仕様入力(適合例)'!D$143="LPG",'2-3.設備仕様入力(適合例)'!D$149="kg/h"),5,"")))))</f>
        <v>1</v>
      </c>
      <c r="P56" s="198">
        <v>24.2</v>
      </c>
      <c r="Q56" s="198">
        <v>25.6</v>
      </c>
      <c r="R56" s="41">
        <f>IF(AND(P56="",Q56=""),"",P56+Q56)</f>
        <v>49.8</v>
      </c>
      <c r="S56" s="41" t="str">
        <f>IF('2-3.設備仕様入力(適合例)'!$D$141="ガスヒートポンプ式空調機",IF('2-3.設備仕様入力(適合例)'!$D$143="都市ガス",IF('2-3.設備仕様入力(適合例)'!$D$149="kW",ROUND('2-3.設備仕様入力(適合例)'!$D$142*'2-3.設備仕様入力(適合例)'!$D$147*3.6/1000*VLOOKUP('2-3.設備仕様入力(適合例)'!$D$144,計算式!$N$16:$P$26,2,FALSE),1),""),""),"")</f>
        <v/>
      </c>
      <c r="T56" s="41" t="str">
        <f>IF('2-3.設備仕様入力(適合例)'!$D$141="ガスヒートポンプ式空調機",IF('2-3.設備仕様入力(適合例)'!$D$143="都市ガス",IF('2-3.設備仕様入力(適合例)'!$D$149="kW",ROUND('2-3.設備仕様入力(適合例)'!$D$142*'2-3.設備仕様入力(適合例)'!$D$148*3.6/1000*VLOOKUP('2-3.設備仕様入力(適合例)'!$D$144,計算式!$N$16:$P$26,3,FALSE),1),""),""),"")</f>
        <v/>
      </c>
      <c r="U56" s="41" t="str">
        <f t="shared" ref="U56:U75" si="5">IF(AND(S56="",T56=""),"",S56+T56)</f>
        <v/>
      </c>
      <c r="V56" s="41" t="str">
        <f>IF('2-3.設備仕様入力(適合例)'!$D$141="ガスヒートポンプ式空調機",IF('2-3.設備仕様入力(適合例)'!$D$149="ｍ3N/h",ROUND('2-3.設備仕様入力(適合例)'!$D$142*'2-3.設備仕様入力(適合例)'!$D$147*計算式!$C$10/1000*VLOOKUP('2-3.設備仕様入力(適合例)'!$D$144,計算式!$N$16:$P$26,2,FALSE),1),""),"")</f>
        <v/>
      </c>
      <c r="W56" s="41" t="str">
        <f>IF('2-3.設備仕様入力(適合例)'!$D$141="ガスヒートポンプ式空調機",IF('2-3.設備仕様入力(適合例)'!$D$149="ｍ3N/h",ROUND('2-3.設備仕様入力(適合例)'!$D$142*'2-3.設備仕様入力(適合例)'!$D$148*計算式!$C$10/1000*VLOOKUP('2-3.設備仕様入力(適合例)'!$D$144,計算式!$N$16:$P$26,3,FALSE),1),""),"")</f>
        <v/>
      </c>
      <c r="X56" s="41" t="str">
        <f t="shared" ref="X56:X75" si="6">IF(AND(V56="",W56=""),"",V56+W56)</f>
        <v/>
      </c>
      <c r="Y56" s="41" t="str">
        <f>IF('2-3.設備仕様入力(適合例)'!$D$141="ガスヒートポンプ式空調機",IF('2-3.設備仕様入力(適合例)'!$D$143="LPG",IF('2-3.設備仕様入力(適合例)'!$D$149="kW",ROUND('2-3.設備仕様入力(適合例)'!$D$142*'2-3.設備仕様入力(適合例)'!$D$147*3.6/1000*VLOOKUP('2-3.設備仕様入力(適合例)'!$D$144,計算式!$N$16:$P$26,2,FALSE),1),""),""),"")</f>
        <v/>
      </c>
      <c r="Z56" s="41" t="str">
        <f>IF('2-3.設備仕様入力(適合例)'!$D$141="ガスヒートポンプ式空調機",IF('2-3.設備仕様入力(適合例)'!$D$143="LPG",IF('2-3.設備仕様入力(適合例)'!$D$149="kW",ROUND('2-3.設備仕様入力(適合例)'!$D$142*'2-3.設備仕様入力(適合例)'!$D$148*3.6/1000*VLOOKUP('2-3.設備仕様入力(適合例)'!$D$144,計算式!$N$16:$P$26,3,FALSE),1),""),""),"")</f>
        <v/>
      </c>
      <c r="AA56" s="41" t="str">
        <f t="shared" ref="AA56:AA75" si="7">IF(AND(Y56="",Z56=""),"",Y56+Z56)</f>
        <v/>
      </c>
      <c r="AB56" s="41" t="str">
        <f>IF('2-3.設備仕様入力(適合例)'!$D$141="ガスヒートポンプ式空調機",IF('2-3.設備仕様入力(適合例)'!$D$143="LPG",IF('2-3.設備仕様入力(適合例)'!$D$149="kg/h",ROUND('2-3.設備仕様入力(適合例)'!$D$142*'2-3.設備仕様入力(適合例)'!$D$147*計算式!$C$11/1000*VLOOKUP('2-3.設備仕様入力(適合例)'!$D$144,計算式!$N$16:$P$26,2,FALSE),1),""),""),"")</f>
        <v/>
      </c>
      <c r="AC56" s="41" t="str">
        <f>IF('2-3.設備仕様入力(適合例)'!$D$141="ガスヒートポンプ式空調機",IF('2-3.設備仕様入力(適合例)'!$D$143="LPG",IF('2-3.設備仕様入力(適合例)'!$D$149="kg/h",ROUND('2-3.設備仕様入力(適合例)'!$D$142*'2-3.設備仕様入力(適合例)'!$D$148*計算式!$C$11/1000*VLOOKUP('2-3.設備仕様入力(適合例)'!$D$144,計算式!$N$16:$P$26,3,FALSE),1),""),""),"")</f>
        <v/>
      </c>
      <c r="AD56" s="41" t="str">
        <f t="shared" ref="AD56:AD75" si="8">IF(AND(AB56="",AC56=""),"",AB56+AC56)</f>
        <v/>
      </c>
    </row>
    <row r="57" spans="6:30" ht="19.2" x14ac:dyDescent="0.55000000000000004">
      <c r="N57" s="80" t="s">
        <v>120</v>
      </c>
      <c r="O57" s="34" t="str">
        <f>IF(AND('2-3.設備仕様入力(適合例)'!E$143="電気",'2-3.設備仕様入力(適合例)'!E$149="kW"),1,IF(AND('2-3.設備仕様入力(適合例)'!E$143="都市ガス",'2-3.設備仕様入力(適合例)'!E$149="kW"),2,IF(AND('2-3.設備仕様入力(適合例)'!E$143="都市ガス",'2-3.設備仕様入力(適合例)'!E$149="ｍ3N/h"),3,IF(AND('2-3.設備仕様入力(適合例)'!E$143="LPG",'2-3.設備仕様入力(適合例)'!E$149="kW"),4,IF(AND('2-3.設備仕様入力(適合例)'!E$143="LPG",'2-3.設備仕様入力(適合例)'!E$149="kg/h"),5,"")))))</f>
        <v/>
      </c>
      <c r="P57" s="41"/>
      <c r="Q57" s="41" t="str">
        <f>IF(OR('2-3.設備仕様入力(適合例)'!$E$141="電気式パッケージ形空調機",'2-3.設備仕様入力(適合例)'!$E$141="ルームエアコン"),ROUND('2-3.設備仕様入力(適合例)'!$E$148*'2-3.設備仕様入力(適合例)'!$E$142*計算式!$C$3*VLOOKUP('2-3.設備仕様入力(適合例)'!$E$144,計算式!$N$16:$P$26,3,FALSE)/1000,1),"")</f>
        <v/>
      </c>
      <c r="R57" s="41" t="str">
        <f t="shared" ref="R57:R75" si="9">IF(AND(P57="",Q57=""),"",P57+Q57)</f>
        <v/>
      </c>
      <c r="S57" s="41" t="str">
        <f>IF('2-3.設備仕様入力(適合例)'!$E$141="ガスヒートポンプ式空調機",IF('2-3.設備仕様入力(適合例)'!$E$143="都市ガス",IF('2-3.設備仕様入力(適合例)'!$E$149="kW",ROUND('2-3.設備仕様入力(適合例)'!$E$142*'2-3.設備仕様入力(適合例)'!$E$147*3.6/1000*VLOOKUP('2-3.設備仕様入力(適合例)'!$E$144,計算式!$N$16:$P$26,2,FALSE),1),""),""),"")</f>
        <v/>
      </c>
      <c r="T57" s="41" t="str">
        <f>IF('2-3.設備仕様入力(適合例)'!$E$141="ガスヒートポンプ式空調機",IF('2-3.設備仕様入力(適合例)'!$E$143="都市ガス",IF('2-3.設備仕様入力(適合例)'!$E$149="kW",ROUND('2-3.設備仕様入力(適合例)'!$E$142*'2-3.設備仕様入力(適合例)'!$E$148*3.6/1000*VLOOKUP('2-3.設備仕様入力(適合例)'!$E$144,計算式!$N$16:$P$26,3,FALSE),1),""),""),"")</f>
        <v/>
      </c>
      <c r="U57" s="41" t="str">
        <f t="shared" si="5"/>
        <v/>
      </c>
      <c r="V57" s="41" t="str">
        <f>IF('2-3.設備仕様入力(適合例)'!$E$141="ガスヒートポンプ式空調機",IF('2-3.設備仕様入力(適合例)'!$E$149="ｍ3N/h",ROUND('2-3.設備仕様入力(適合例)'!$E$142*'2-3.設備仕様入力(適合例)'!$E$147*計算式!$C$10/1000*VLOOKUP('2-3.設備仕様入力(適合例)'!$E$144,計算式!$N$16:$P$26,2,FALSE),1),""),"")</f>
        <v/>
      </c>
      <c r="W57" s="41" t="str">
        <f>IF('2-3.設備仕様入力(適合例)'!$E$141="ガスヒートポンプ式空調機",IF('2-3.設備仕様入力(適合例)'!$E$149="ｍ3N/h",ROUND('2-3.設備仕様入力(適合例)'!$E$142*'2-3.設備仕様入力(適合例)'!$E$148*計算式!$C$10/1000*VLOOKUP('2-3.設備仕様入力(適合例)'!$E$144,計算式!$N$16:$P$26,3,FALSE),1),""),"")</f>
        <v/>
      </c>
      <c r="X57" s="41" t="str">
        <f t="shared" si="6"/>
        <v/>
      </c>
      <c r="Y57" s="41" t="str">
        <f>IF('2-3.設備仕様入力(適合例)'!$E$141="ガスヒートポンプ式空調機",IF('2-3.設備仕様入力(適合例)'!$E$143="LPG",IF('2-3.設備仕様入力(適合例)'!$E$149="kW",ROUND('2-3.設備仕様入力(適合例)'!$E$142*'2-3.設備仕様入力(適合例)'!$E$147*3.6/1000*VLOOKUP('2-3.設備仕様入力(適合例)'!$E$144,計算式!$N$16:$P$26,2,FALSE),1),""),""),"")</f>
        <v/>
      </c>
      <c r="Z57" s="41" t="str">
        <f>IF('2-3.設備仕様入力(適合例)'!$E$141="ガスヒートポンプ式空調機",IF('2-3.設備仕様入力(適合例)'!$E$143="LPG",IF('2-3.設備仕様入力(適合例)'!$E$149="kW",ROUND('2-3.設備仕様入力(適合例)'!$E$142*'2-3.設備仕様入力(適合例)'!$E$148*3.6/1000*VLOOKUP('2-3.設備仕様入力(適合例)'!$E$144,計算式!$N$16:$P$26,3,FALSE),1),""),""),"")</f>
        <v/>
      </c>
      <c r="AA57" s="41" t="str">
        <f t="shared" si="7"/>
        <v/>
      </c>
      <c r="AB57" s="41" t="str">
        <f>IF('2-3.設備仕様入力(適合例)'!$E$141="ガスヒートポンプ式空調機",IF('2-3.設備仕様入力(適合例)'!$E$143="LPG",IF('2-3.設備仕様入力(適合例)'!$E$149="kg/h",ROUND('2-3.設備仕様入力(適合例)'!$E$142*'2-3.設備仕様入力(適合例)'!$E$147*計算式!$C$11/1000*VLOOKUP('2-3.設備仕様入力(適合例)'!$E$144,計算式!$N$16:$P$26,2,FALSE),1),""),""),"")</f>
        <v/>
      </c>
      <c r="AC57" s="41" t="str">
        <f>IF('2-3.設備仕様入力(適合例)'!$E$141="ガスヒートポンプ式空調機",IF('2-3.設備仕様入力(適合例)'!$E$143="LPG",IF('2-3.設備仕様入力(適合例)'!$E$149="kg/h",ROUND('2-3.設備仕様入力(適合例)'!$E$142*'2-3.設備仕様入力(適合例)'!$E$148*計算式!$C$11/1000*VLOOKUP('2-3.設備仕様入力(適合例)'!$E$144,計算式!$N$16:$P$26,3,FALSE),1),""),""),"")</f>
        <v/>
      </c>
      <c r="AD57" s="41" t="str">
        <f t="shared" si="8"/>
        <v/>
      </c>
    </row>
    <row r="58" spans="6:30" ht="19.2" x14ac:dyDescent="0.55000000000000004">
      <c r="N58" s="80" t="s">
        <v>121</v>
      </c>
      <c r="O58" s="34" t="str">
        <f>IF(AND('2-3.設備仕様入力(適合例)'!F$143="電気",'2-3.設備仕様入力(適合例)'!F$149="kW"),1,IF(AND('2-3.設備仕様入力(適合例)'!F$143="都市ガス",'2-3.設備仕様入力(適合例)'!F$149="kW"),2,IF(AND('2-3.設備仕様入力(適合例)'!F$143="都市ガス",'2-3.設備仕様入力(適合例)'!F$149="ｍ3N/h"),3,IF(AND('2-3.設備仕様入力(適合例)'!F$143="LPG",'2-3.設備仕様入力(適合例)'!F$149="kW"),4,IF(AND('2-3.設備仕様入力(適合例)'!F$143="LPG",'2-3.設備仕様入力(適合例)'!F$149="kg/h"),5,"")))))</f>
        <v/>
      </c>
      <c r="P58" s="41" t="str">
        <f>IF(OR('2-3.設備仕様入力(適合例)'!$F$141="電気式パッケージ形空調機",'2-3.設備仕様入力(適合例)'!$F$141="ルームエアコン"),ROUND('2-3.設備仕様入力(適合例)'!$F$147*'2-3.設備仕様入力(適合例)'!$F$142*計算式!$C$3*VLOOKUP('2-3.設備仕様入力(適合例)'!$F$144,計算式!$N$16:$P$26,2,FALSE)/1000,1),"")</f>
        <v/>
      </c>
      <c r="Q58" s="41" t="str">
        <f>IF(OR('2-3.設備仕様入力(適合例)'!$F$141="電気式パッケージ形空調機",'2-3.設備仕様入力(適合例)'!$F$141="ルームエアコン"),ROUND('2-3.設備仕様入力(適合例)'!$F$148*'2-3.設備仕様入力(適合例)'!$F$142*計算式!$C$3*VLOOKUP('2-3.設備仕様入力(適合例)'!$F$144,計算式!$N$16:$P$26,3,FALSE)/1000,1),"")</f>
        <v/>
      </c>
      <c r="R58" s="41" t="str">
        <f t="shared" si="9"/>
        <v/>
      </c>
      <c r="S58" s="41" t="str">
        <f>IF('2-3.設備仕様入力(適合例)'!$F$141="ガスヒートポンプ式空調機",IF('2-3.設備仕様入力(適合例)'!$F$143="都市ガス",IF('2-3.設備仕様入力(適合例)'!$F$149="kW",ROUND('2-3.設備仕様入力(適合例)'!$F$142*'2-3.設備仕様入力(適合例)'!$F$147*3.6/1000*VLOOKUP('2-3.設備仕様入力(適合例)'!$F$144,計算式!$N$16:$P$26,2,FALSE),1),""),""),"")</f>
        <v/>
      </c>
      <c r="T58" s="41" t="str">
        <f>IF('2-3.設備仕様入力(適合例)'!$F$141="ガスヒートポンプ式空調機",IF('2-3.設備仕様入力(適合例)'!$F$143="都市ガス",IF('2-3.設備仕様入力(適合例)'!$F$149="kW",ROUND('2-3.設備仕様入力(適合例)'!$F$142*'2-3.設備仕様入力(適合例)'!$F$148*3.6/1000*VLOOKUP('2-3.設備仕様入力(適合例)'!$F$144,計算式!$N$16:$P$26,3,FALSE),1),""),""),"")</f>
        <v/>
      </c>
      <c r="U58" s="41" t="str">
        <f t="shared" si="5"/>
        <v/>
      </c>
      <c r="V58" s="41" t="str">
        <f>IF('2-3.設備仕様入力(適合例)'!$F$141="ガスヒートポンプ式空調機",IF('2-3.設備仕様入力(適合例)'!$F$149="ｍ3N/h",ROUND('2-3.設備仕様入力(適合例)'!$F$142*'2-3.設備仕様入力(適合例)'!$F$147*計算式!$C$10/1000*VLOOKUP('2-3.設備仕様入力(適合例)'!$F$144,計算式!$N$16:$P$26,2,FALSE),1),""),"")</f>
        <v/>
      </c>
      <c r="W58" s="41" t="str">
        <f>IF('2-3.設備仕様入力(適合例)'!$F$141="ガスヒートポンプ式空調機",IF('2-3.設備仕様入力(適合例)'!$F$149="ｍ3N/h",ROUND('2-3.設備仕様入力(適合例)'!$F$142*'2-3.設備仕様入力(適合例)'!$F$148*計算式!$C$10/1000*VLOOKUP('2-3.設備仕様入力(適合例)'!$F$144,計算式!$N$16:$P$26,3,FALSE),1),""),"")</f>
        <v/>
      </c>
      <c r="X58" s="41" t="str">
        <f t="shared" si="6"/>
        <v/>
      </c>
      <c r="Y58" s="41" t="str">
        <f>IF('2-3.設備仕様入力(適合例)'!$F$141="ガスヒートポンプ式空調機",IF('2-3.設備仕様入力(適合例)'!$F$143="LPG",IF('2-3.設備仕様入力(適合例)'!$F$149="kW",ROUND('2-3.設備仕様入力(適合例)'!$F$142*'2-3.設備仕様入力(適合例)'!$F$147*3.6/1000*VLOOKUP('2-3.設備仕様入力(適合例)'!$F$144,計算式!$N$16:$P$26,2,FALSE),1),""),""),"")</f>
        <v/>
      </c>
      <c r="Z58" s="41" t="str">
        <f>IF('2-3.設備仕様入力(適合例)'!$F$141="ガスヒートポンプ式空調機",IF('2-3.設備仕様入力(適合例)'!$F$143="LPG",IF('2-3.設備仕様入力(適合例)'!$F$149="kW",ROUND('2-3.設備仕様入力(適合例)'!$F$142*'2-3.設備仕様入力(適合例)'!$F$148*3.6/1000*VLOOKUP('2-3.設備仕様入力(適合例)'!$F$144,計算式!$N$16:$P$26,3,FALSE),1),""),""),"")</f>
        <v/>
      </c>
      <c r="AA58" s="41" t="str">
        <f t="shared" si="7"/>
        <v/>
      </c>
      <c r="AB58" s="41" t="str">
        <f>IF('2-3.設備仕様入力(適合例)'!$F$141="ガスヒートポンプ式空調機",IF('2-3.設備仕様入力(適合例)'!$F$143="LPG",IF('2-3.設備仕様入力(適合例)'!$F$149="kg/h",ROUND('2-3.設備仕様入力(適合例)'!$F$142*'2-3.設備仕様入力(適合例)'!$F$147*計算式!$C$11/1000*VLOOKUP('2-3.設備仕様入力(適合例)'!$F$144,計算式!$N$16:$P$26,2,FALSE),1),""),""),"")</f>
        <v/>
      </c>
      <c r="AC58" s="41" t="str">
        <f>IF('2-3.設備仕様入力(適合例)'!$F$141="ガスヒートポンプ式空調機",IF('2-3.設備仕様入力(適合例)'!$F$143="LPG",IF('2-3.設備仕様入力(適合例)'!$F$149="kg/h",ROUND('2-3.設備仕様入力(適合例)'!$F$142*'2-3.設備仕様入力(適合例)'!$F$148*計算式!$C$11/1000*VLOOKUP('2-3.設備仕様入力(適合例)'!$F$144,計算式!$N$16:$P$26,3,FALSE),1),""),""),"")</f>
        <v/>
      </c>
      <c r="AD58" s="41" t="str">
        <f t="shared" si="8"/>
        <v/>
      </c>
    </row>
    <row r="59" spans="6:30" ht="19.2" x14ac:dyDescent="0.55000000000000004">
      <c r="N59" s="80" t="s">
        <v>122</v>
      </c>
      <c r="O59" s="34" t="str">
        <f>IF(AND('2-3.設備仕様入力(適合例)'!G$143="電気",'2-3.設備仕様入力(適合例)'!G$149="kW"),1,IF(AND('2-3.設備仕様入力(適合例)'!G$143="都市ガス",'2-3.設備仕様入力(適合例)'!G$149="kW"),2,IF(AND('2-3.設備仕様入力(適合例)'!G$143="都市ガス",'2-3.設備仕様入力(適合例)'!G$149="ｍ3N/h"),3,IF(AND('2-3.設備仕様入力(適合例)'!G$143="LPG",'2-3.設備仕様入力(適合例)'!G$149="kW"),4,IF(AND('2-3.設備仕様入力(適合例)'!G$143="LPG",'2-3.設備仕様入力(適合例)'!G$149="kg/h"),5,"")))))</f>
        <v/>
      </c>
      <c r="P59" s="41" t="str">
        <f>IF(OR('2-3.設備仕様入力(適合例)'!$G$141="電気式パッケージ形空調機",'2-3.設備仕様入力(適合例)'!$G$141="ルームエアコン"),ROUND('2-3.設備仕様入力(適合例)'!$G$147*'2-3.設備仕様入力(適合例)'!$G$142*計算式!$C$3*VLOOKUP('2-3.設備仕様入力(適合例)'!$G$144,計算式!$N$16:$P$26,2,FALSE)/1000,1),"")</f>
        <v/>
      </c>
      <c r="Q59" s="41" t="str">
        <f>IF(OR('2-3.設備仕様入力(適合例)'!$G$141="電気式パッケージ形空調機",'2-3.設備仕様入力(適合例)'!$G$141="ルームエアコン"),ROUND('2-3.設備仕様入力(適合例)'!$G$148*'2-3.設備仕様入力(適合例)'!$G$142*計算式!$C$3*VLOOKUP('2-3.設備仕様入力(適合例)'!$G$144,計算式!$N$16:$P$26,3,FALSE)/1000,1),"")</f>
        <v/>
      </c>
      <c r="R59" s="41" t="str">
        <f t="shared" si="9"/>
        <v/>
      </c>
      <c r="S59" s="41" t="str">
        <f>IF('2-3.設備仕様入力(適合例)'!$G$141="ガスヒートポンプ式空調機",IF('2-3.設備仕様入力(適合例)'!$G$143="都市ガス",IF('2-3.設備仕様入力(適合例)'!$G$149="kW",ROUND('2-3.設備仕様入力(適合例)'!$G$142*'2-3.設備仕様入力(適合例)'!$G$147*3.6/1000*VLOOKUP('2-3.設備仕様入力(適合例)'!$G$144,計算式!$N$16:$P$26,2,FALSE),1),""),""),"")</f>
        <v/>
      </c>
      <c r="T59" s="41" t="str">
        <f>IF('2-3.設備仕様入力(適合例)'!$G$141="ガスヒートポンプ式空調機",IF('2-3.設備仕様入力(適合例)'!$G$143="都市ガス",IF('2-3.設備仕様入力(適合例)'!$G$149="kW",ROUND('2-3.設備仕様入力(適合例)'!$G$142*'2-3.設備仕様入力(適合例)'!$G$148*3.6/1000*VLOOKUP('2-3.設備仕様入力(適合例)'!$G$144,計算式!$N$16:$P$26,3,FALSE),1),""),""),"")</f>
        <v/>
      </c>
      <c r="U59" s="41" t="str">
        <f t="shared" si="5"/>
        <v/>
      </c>
      <c r="V59" s="41" t="str">
        <f>IF('2-3.設備仕様入力(適合例)'!$G$141="ガスヒートポンプ式空調機",IF('2-3.設備仕様入力(適合例)'!$G$149="ｍ3N/h",ROUND('2-3.設備仕様入力(適合例)'!$G$142*'2-3.設備仕様入力(適合例)'!$G$147*計算式!$C$10/1000*VLOOKUP('2-3.設備仕様入力(適合例)'!$G$144,計算式!$N$16:$P$26,2,FALSE),1),""),"")</f>
        <v/>
      </c>
      <c r="W59" s="41" t="str">
        <f>IF('2-3.設備仕様入力(適合例)'!$G$141="ガスヒートポンプ式空調機",IF('2-3.設備仕様入力(適合例)'!$G$149="ｍ3N/h",ROUND('2-3.設備仕様入力(適合例)'!$G$142*'2-3.設備仕様入力(適合例)'!$G$148*計算式!$C$10/1000*VLOOKUP('2-3.設備仕様入力(適合例)'!$G$144,計算式!$N$16:$P$26,3,FALSE),1),""),"")</f>
        <v/>
      </c>
      <c r="X59" s="41" t="str">
        <f t="shared" si="6"/>
        <v/>
      </c>
      <c r="Y59" s="41" t="str">
        <f>IF('2-3.設備仕様入力(適合例)'!$G$141="ガスヒートポンプ式空調機",IF('2-3.設備仕様入力(適合例)'!$G$143="LPG",IF('2-3.設備仕様入力(適合例)'!$G$149="kW",ROUND('2-3.設備仕様入力(適合例)'!$G$142*'2-3.設備仕様入力(適合例)'!$G$147*3.6/1000*VLOOKUP('2-3.設備仕様入力(適合例)'!$G$144,計算式!$N$16:$P$26,2,FALSE),1),""),""),"")</f>
        <v/>
      </c>
      <c r="Z59" s="41" t="str">
        <f>IF('2-3.設備仕様入力(適合例)'!$G$141="ガスヒートポンプ式空調機",IF('2-3.設備仕様入力(適合例)'!$G$143="LPG",IF('2-3.設備仕様入力(適合例)'!$G$149="kW",ROUND('2-3.設備仕様入力(適合例)'!$G$142*'2-3.設備仕様入力(適合例)'!$G$148*3.6/1000*VLOOKUP('2-3.設備仕様入力(適合例)'!$G$144,計算式!$N$16:$P$26,3,FALSE),1),""),""),"")</f>
        <v/>
      </c>
      <c r="AA59" s="41" t="str">
        <f t="shared" si="7"/>
        <v/>
      </c>
      <c r="AB59" s="41" t="str">
        <f>IF('2-3.設備仕様入力(適合例)'!$G$141="ガスヒートポンプ式空調機",IF('2-3.設備仕様入力(適合例)'!$G$143="LPG",IF('2-3.設備仕様入力(適合例)'!$G$149="kg/h",ROUND('2-3.設備仕様入力(適合例)'!$G$142*'2-3.設備仕様入力(適合例)'!$G$147*計算式!$C$11/1000*VLOOKUP('2-3.設備仕様入力(適合例)'!$G$144,計算式!$N$16:$P$26,2,FALSE),1),""),""),"")</f>
        <v/>
      </c>
      <c r="AC59" s="41" t="str">
        <f>IF('2-3.設備仕様入力(適合例)'!$G$141="ガスヒートポンプ式空調機",IF('2-3.設備仕様入力(適合例)'!$G$143="LPG",IF('2-3.設備仕様入力(適合例)'!$G$149="kg/h",ROUND('2-3.設備仕様入力(適合例)'!$G$142*'2-3.設備仕様入力(適合例)'!$G$148*計算式!$C$11/1000*VLOOKUP('2-3.設備仕様入力(適合例)'!$G$144,計算式!$N$16:$P$26,3,FALSE),1),""),""),"")</f>
        <v/>
      </c>
      <c r="AD59" s="41" t="str">
        <f t="shared" si="8"/>
        <v/>
      </c>
    </row>
    <row r="60" spans="6:30" ht="19.2" x14ac:dyDescent="0.55000000000000004">
      <c r="N60" s="80" t="s">
        <v>123</v>
      </c>
      <c r="O60" s="34" t="str">
        <f>IF(AND('2-3.設備仕様入力(適合例)'!H$143="電気",'2-3.設備仕様入力(適合例)'!H$149="kW"),1,IF(AND('2-3.設備仕様入力(適合例)'!H$143="都市ガス",'2-3.設備仕様入力(適合例)'!H$149="kW"),2,IF(AND('2-3.設備仕様入力(適合例)'!H$143="都市ガス",'2-3.設備仕様入力(適合例)'!H$149="ｍ3N/h"),3,IF(AND('2-3.設備仕様入力(適合例)'!H$143="LPG",'2-3.設備仕様入力(適合例)'!H$149="kW"),4,IF(AND('2-3.設備仕様入力(適合例)'!H$143="LPG",'2-3.設備仕様入力(適合例)'!H$149="kg/h"),5,"")))))</f>
        <v/>
      </c>
      <c r="P60" s="41" t="str">
        <f>IF(OR('2-3.設備仕様入力(適合例)'!$H$141="電気式パッケージ形空調機",'2-3.設備仕様入力(適合例)'!$H$141="ルームエアコン"),ROUND('2-3.設備仕様入力(適合例)'!$H$147*'2-3.設備仕様入力(適合例)'!$H$142*計算式!$C$3*VLOOKUP('2-3.設備仕様入力(適合例)'!$H$144,計算式!$N$16:$P$26,2,FALSE)/1000,1),"")</f>
        <v/>
      </c>
      <c r="Q60" s="41" t="str">
        <f>IF(OR('2-3.設備仕様入力(適合例)'!$H$141="電気式パッケージ形空調機",'2-3.設備仕様入力(適合例)'!$H$141="ルームエアコン"),ROUND('2-3.設備仕様入力(適合例)'!$H$148*'2-3.設備仕様入力(適合例)'!$H$142*計算式!$C$3*VLOOKUP('2-3.設備仕様入力(適合例)'!$H$144,計算式!$N$16:$P$26,3,FALSE)/1000,1),"")</f>
        <v/>
      </c>
      <c r="R60" s="41" t="str">
        <f t="shared" si="9"/>
        <v/>
      </c>
      <c r="S60" s="41" t="str">
        <f>IF('2-3.設備仕様入力(適合例)'!$H$141="ガスヒートポンプ式空調機",IF('2-3.設備仕様入力(適合例)'!$H$143="都市ガス",IF('2-3.設備仕様入力(適合例)'!$H$149="kW",ROUND('2-3.設備仕様入力(適合例)'!$H$142*'2-3.設備仕様入力(適合例)'!$H$147*3.6/1000*VLOOKUP('2-3.設備仕様入力(適合例)'!$H$144,計算式!$N$16:$P$26,2,FALSE),1),""),""),"")</f>
        <v/>
      </c>
      <c r="T60" s="41" t="str">
        <f>IF('2-3.設備仕様入力(適合例)'!$H$141="ガスヒートポンプ式空調機",IF('2-3.設備仕様入力(適合例)'!$H$143="都市ガス",IF('2-3.設備仕様入力(適合例)'!$H$149="kW",ROUND('2-3.設備仕様入力(適合例)'!$H$142*'2-3.設備仕様入力(適合例)'!$H$148*3.6/1000*VLOOKUP('2-3.設備仕様入力(適合例)'!$H$144,計算式!$N$16:$P$26,3,FALSE),1),""),""),"")</f>
        <v/>
      </c>
      <c r="U60" s="41" t="str">
        <f t="shared" si="5"/>
        <v/>
      </c>
      <c r="V60" s="41" t="str">
        <f>IF('2-3.設備仕様入力(適合例)'!$H$141="ガスヒートポンプ式空調機",IF('2-3.設備仕様入力(適合例)'!$H$149="ｍ3N/h",ROUND('2-3.設備仕様入力(適合例)'!$H$142*'2-3.設備仕様入力(適合例)'!$H$147*計算式!$C$10/1000*VLOOKUP('2-3.設備仕様入力(適合例)'!$H$144,計算式!$N$16:$P$26,2,FALSE),1),""),"")</f>
        <v/>
      </c>
      <c r="W60" s="41" t="str">
        <f>IF('2-3.設備仕様入力(適合例)'!$H$141="ガスヒートポンプ式空調機",IF('2-3.設備仕様入力(適合例)'!$H$149="ｍ3N/h",ROUND('2-3.設備仕様入力(適合例)'!$H$142*'2-3.設備仕様入力(適合例)'!$H$148*計算式!$C$10/1000*VLOOKUP('2-3.設備仕様入力(適合例)'!$H$144,計算式!$N$16:$P$26,3,FALSE),1),""),"")</f>
        <v/>
      </c>
      <c r="X60" s="41" t="str">
        <f t="shared" si="6"/>
        <v/>
      </c>
      <c r="Y60" s="41" t="str">
        <f>IF('2-3.設備仕様入力(適合例)'!$H$141="ガスヒートポンプ式空調機",IF('2-3.設備仕様入力(適合例)'!$H$143="LPG",IF('2-3.設備仕様入力(適合例)'!$H$149="kW",ROUND('2-3.設備仕様入力(適合例)'!$H$142*'2-3.設備仕様入力(適合例)'!$H$147*3.6/1000*VLOOKUP('2-3.設備仕様入力(適合例)'!$H$144,計算式!$N$16:$P$26,2,FALSE),1),""),""),"")</f>
        <v/>
      </c>
      <c r="Z60" s="41" t="str">
        <f>IF('2-3.設備仕様入力(適合例)'!$H$141="ガスヒートポンプ式空調機",IF('2-3.設備仕様入力(適合例)'!$H$143="LPG",IF('2-3.設備仕様入力(適合例)'!$H$149="kW",ROUND('2-3.設備仕様入力(適合例)'!$H$142*'2-3.設備仕様入力(適合例)'!$H$148*3.6/1000*VLOOKUP('2-3.設備仕様入力(適合例)'!$H$144,計算式!$N$16:$P$26,3,FALSE),1),""),""),"")</f>
        <v/>
      </c>
      <c r="AA60" s="41" t="str">
        <f t="shared" si="7"/>
        <v/>
      </c>
      <c r="AB60" s="41" t="str">
        <f>IF('2-3.設備仕様入力(適合例)'!$H$141="ガスヒートポンプ式空調機",IF('2-3.設備仕様入力(適合例)'!$H$143="LPG",IF('2-3.設備仕様入力(適合例)'!$H$149="kg/h",ROUND('2-3.設備仕様入力(適合例)'!$H$142*'2-3.設備仕様入力(適合例)'!$H$147*計算式!$C$11/1000*VLOOKUP('2-3.設備仕様入力(適合例)'!$H$144,計算式!$N$16:$P$26,2,FALSE),1),""),""),"")</f>
        <v/>
      </c>
      <c r="AC60" s="41" t="str">
        <f>IF('2-3.設備仕様入力(適合例)'!$H$141="ガスヒートポンプ式空調機",IF('2-3.設備仕様入力(適合例)'!$H$143="LPG",IF('2-3.設備仕様入力(適合例)'!$H$149="kg/h",ROUND('2-3.設備仕様入力(適合例)'!$H$142*'2-3.設備仕様入力(適合例)'!$H$148*計算式!$C$11/1000*VLOOKUP('2-3.設備仕様入力(適合例)'!$H$144,計算式!$N$16:$P$26,3,FALSE),1),""),""),"")</f>
        <v/>
      </c>
      <c r="AD60" s="41" t="str">
        <f t="shared" si="8"/>
        <v/>
      </c>
    </row>
    <row r="61" spans="6:30" ht="19.2" x14ac:dyDescent="0.55000000000000004">
      <c r="N61" s="80" t="s">
        <v>124</v>
      </c>
      <c r="O61" s="34" t="str">
        <f>IF(AND('2-3.設備仕様入力(適合例)'!I$143="電気",'2-3.設備仕様入力(適合例)'!I$149="kW"),1,IF(AND('2-3.設備仕様入力(適合例)'!I$143="都市ガス",'2-3.設備仕様入力(適合例)'!I$149="kW"),2,IF(AND('2-3.設備仕様入力(適合例)'!I$143="都市ガス",'2-3.設備仕様入力(適合例)'!I$149="ｍ3N/h"),3,IF(AND('2-3.設備仕様入力(適合例)'!I$143="LPG",'2-3.設備仕様入力(適合例)'!I$149="kW"),4,IF(AND('2-3.設備仕様入力(適合例)'!I$143="LPG",'2-3.設備仕様入力(適合例)'!I$149="kg/h"),5,"")))))</f>
        <v/>
      </c>
      <c r="P61" s="41" t="str">
        <f>IF(OR('2-3.設備仕様入力(適合例)'!$I$141="電気式パッケージ形空調機",'2-3.設備仕様入力(適合例)'!$I$141="ルームエアコン"),ROUND('2-3.設備仕様入力(適合例)'!$I$147*'2-3.設備仕様入力(適合例)'!$I$142*計算式!$C$3*VLOOKUP('2-3.設備仕様入力(適合例)'!$I$144,計算式!$N$16:$P$26,2,FALSE)/1000,1),"")</f>
        <v/>
      </c>
      <c r="Q61" s="41" t="str">
        <f>IF(OR('2-3.設備仕様入力(適合例)'!$I$141="電気式パッケージ形空調機",'2-3.設備仕様入力(適合例)'!$I$141="ルームエアコン"),ROUND('2-3.設備仕様入力(適合例)'!$I$148*'2-3.設備仕様入力(適合例)'!$I$142*計算式!$C$3*VLOOKUP('2-3.設備仕様入力(適合例)'!$I$144,計算式!$N$16:$P$26,3,FALSE)/1000,1),"")</f>
        <v/>
      </c>
      <c r="R61" s="41" t="str">
        <f t="shared" si="9"/>
        <v/>
      </c>
      <c r="S61" s="41" t="str">
        <f>IF('2-3.設備仕様入力(適合例)'!$I$141="ガスヒートポンプ式空調機",IF('2-3.設備仕様入力(適合例)'!$I$143="都市ガス",IF('2-3.設備仕様入力(適合例)'!$I$149="kW",ROUND('2-3.設備仕様入力(適合例)'!$I$142*'2-3.設備仕様入力(適合例)'!$I$147*3.6/1000*VLOOKUP('2-3.設備仕様入力(適合例)'!$I$144,計算式!$N$16:$P$26,2,FALSE),1),""),""),"")</f>
        <v/>
      </c>
      <c r="T61" s="41" t="str">
        <f>IF('2-3.設備仕様入力(適合例)'!$I$141="ガスヒートポンプ式空調機",IF('2-3.設備仕様入力(適合例)'!$I$143="都市ガス",IF('2-3.設備仕様入力(適合例)'!$I$149="kW",ROUND('2-3.設備仕様入力(適合例)'!$I$142*'2-3.設備仕様入力(適合例)'!$I$148*3.6/1000*VLOOKUP('2-3.設備仕様入力(適合例)'!$I$144,計算式!$N$16:$P$26,3,FALSE),1),""),""),"")</f>
        <v/>
      </c>
      <c r="U61" s="41" t="str">
        <f t="shared" si="5"/>
        <v/>
      </c>
      <c r="V61" s="41" t="str">
        <f>IF('2-3.設備仕様入力(適合例)'!$I$141="ガスヒートポンプ式空調機",IF('2-3.設備仕様入力(適合例)'!$I$149="ｍ3N/h",ROUND('2-3.設備仕様入力(適合例)'!$I$142*'2-3.設備仕様入力(適合例)'!$I$147*計算式!$C$10/1000*VLOOKUP('2-3.設備仕様入力(適合例)'!$I$144,計算式!$N$16:$P$26,2,FALSE),1),""),"")</f>
        <v/>
      </c>
      <c r="W61" s="41" t="str">
        <f>IF('2-3.設備仕様入力(適合例)'!$I$141="ガスヒートポンプ式空調機",IF('2-3.設備仕様入力(適合例)'!$I$149="ｍ3N/h",ROUND('2-3.設備仕様入力(適合例)'!$I$142*'2-3.設備仕様入力(適合例)'!$I$148*計算式!$C$10/1000*VLOOKUP('2-3.設備仕様入力(適合例)'!$I$144,計算式!$N$16:$P$26,3,FALSE),1),""),"")</f>
        <v/>
      </c>
      <c r="X61" s="41" t="str">
        <f t="shared" si="6"/>
        <v/>
      </c>
      <c r="Y61" s="41" t="str">
        <f>IF('2-3.設備仕様入力(適合例)'!$I$141="ガスヒートポンプ式空調機",IF('2-3.設備仕様入力(適合例)'!$I$143="LPG",IF('2-3.設備仕様入力(適合例)'!$I$149="kW",ROUND('2-3.設備仕様入力(適合例)'!$I$142*'2-3.設備仕様入力(適合例)'!$I$147*3.6/1000*VLOOKUP('2-3.設備仕様入力(適合例)'!$I$144,計算式!$N$16:$P$26,2,FALSE),1),""),""),"")</f>
        <v/>
      </c>
      <c r="Z61" s="41" t="str">
        <f>IF('2-3.設備仕様入力(適合例)'!$I$141="ガスヒートポンプ式空調機",IF('2-3.設備仕様入力(適合例)'!$I$143="LPG",IF('2-3.設備仕様入力(適合例)'!$I$149="kW",ROUND('2-3.設備仕様入力(適合例)'!$I$142*'2-3.設備仕様入力(適合例)'!$I$148*3.6/1000*VLOOKUP('2-3.設備仕様入力(適合例)'!$I$144,計算式!$N$16:$P$26,3,FALSE),1),""),""),"")</f>
        <v/>
      </c>
      <c r="AA61" s="41" t="str">
        <f t="shared" si="7"/>
        <v/>
      </c>
      <c r="AB61" s="41" t="str">
        <f>IF('2-3.設備仕様入力(適合例)'!$I$141="ガスヒートポンプ式空調機",IF('2-3.設備仕様入力(適合例)'!$I$143="LPG",IF('2-3.設備仕様入力(適合例)'!$I$149="kg/h",ROUND('2-3.設備仕様入力(適合例)'!$I$142*'2-3.設備仕様入力(適合例)'!$I$147*計算式!$C$11/1000*VLOOKUP('2-3.設備仕様入力(適合例)'!$I$144,計算式!$N$16:$P$26,2,FALSE),1),""),""),"")</f>
        <v/>
      </c>
      <c r="AC61" s="41" t="str">
        <f>IF('2-3.設備仕様入力(適合例)'!$I$141="ガスヒートポンプ式空調機",IF('2-3.設備仕様入力(適合例)'!$I$143="LPG",IF('2-3.設備仕様入力(適合例)'!$I$149="kg/h",ROUND('2-3.設備仕様入力(適合例)'!$I$142*'2-3.設備仕様入力(適合例)'!$I$148*計算式!$C$11/1000*VLOOKUP('2-3.設備仕様入力(適合例)'!$I$144,計算式!$N$16:$P$26,3,FALSE),1),""),""),"")</f>
        <v/>
      </c>
      <c r="AD61" s="41" t="str">
        <f t="shared" si="8"/>
        <v/>
      </c>
    </row>
    <row r="62" spans="6:30" ht="19.2" x14ac:dyDescent="0.55000000000000004">
      <c r="N62" s="80" t="s">
        <v>125</v>
      </c>
      <c r="O62" s="34" t="str">
        <f>IF(AND('2-3.設備仕様入力(適合例)'!J$143="電気",'2-3.設備仕様入力(適合例)'!J$149="kW"),1,IF(AND('2-3.設備仕様入力(適合例)'!J$143="都市ガス",'2-3.設備仕様入力(適合例)'!J$149="kW"),2,IF(AND('2-3.設備仕様入力(適合例)'!J$143="都市ガス",'2-3.設備仕様入力(適合例)'!J$149="ｍ3N/h"),3,IF(AND('2-3.設備仕様入力(適合例)'!J$143="LPG",'2-3.設備仕様入力(適合例)'!J$149="kW"),4,IF(AND('2-3.設備仕様入力(適合例)'!J$143="LPG",'2-3.設備仕様入力(適合例)'!J$149="kg/h"),5,"")))))</f>
        <v/>
      </c>
      <c r="P62" s="41" t="str">
        <f>IF(OR('2-3.設備仕様入力(適合例)'!$J$141="電気式パッケージ形空調機",'2-3.設備仕様入力(適合例)'!$J$141="ルームエアコン"),ROUND('2-3.設備仕様入力(適合例)'!$J$147*'2-3.設備仕様入力(適合例)'!$J$142*計算式!$C$3*VLOOKUP('2-3.設備仕様入力(適合例)'!$J$144,計算式!$N$16:$P$26,2,FALSE)/1000,1),"")</f>
        <v/>
      </c>
      <c r="Q62" s="41" t="str">
        <f>IF(OR('2-3.設備仕様入力(適合例)'!$J$141="電気式パッケージ形空調機",'2-3.設備仕様入力(適合例)'!$J$141="ルームエアコン"),ROUND('2-3.設備仕様入力(適合例)'!$J$148*'2-3.設備仕様入力(適合例)'!$J$142*計算式!$C$3*VLOOKUP('2-3.設備仕様入力(適合例)'!$J$144,計算式!$N$16:$P$26,3,FALSE)/1000,1),"")</f>
        <v/>
      </c>
      <c r="R62" s="41" t="str">
        <f t="shared" si="9"/>
        <v/>
      </c>
      <c r="S62" s="41" t="str">
        <f>IF('2-3.設備仕様入力(適合例)'!$J$141="ガスヒートポンプ式空調機",IF('2-3.設備仕様入力(適合例)'!$J$143="都市ガス",IF('2-3.設備仕様入力(適合例)'!$J$149="kW",ROUND('2-3.設備仕様入力(適合例)'!$J$142*'2-3.設備仕様入力(適合例)'!$J$147*3.6/1000*VLOOKUP('2-3.設備仕様入力(適合例)'!$J$144,計算式!$N$16:$P$26,2,FALSE),1),""),""),"")</f>
        <v/>
      </c>
      <c r="T62" s="41" t="str">
        <f>IF('2-3.設備仕様入力(適合例)'!$J$141="ガスヒートポンプ式空調機",IF('2-3.設備仕様入力(適合例)'!$J$143="都市ガス",IF('2-3.設備仕様入力(適合例)'!$J$149="kW",ROUND('2-3.設備仕様入力(適合例)'!$J$142*'2-3.設備仕様入力(適合例)'!$J$148*3.6/1000*VLOOKUP('2-3.設備仕様入力(適合例)'!$J$144,計算式!$N$16:$P$26,3,FALSE),1),""),""),"")</f>
        <v/>
      </c>
      <c r="U62" s="41" t="str">
        <f t="shared" si="5"/>
        <v/>
      </c>
      <c r="V62" s="41" t="str">
        <f>IF('2-3.設備仕様入力(適合例)'!$J$141="ガスヒートポンプ式空調機",IF('2-3.設備仕様入力(適合例)'!$J$149="ｍ3N/h",ROUND('2-3.設備仕様入力(適合例)'!$J$142*'2-3.設備仕様入力(適合例)'!$J$147*計算式!$C$10/1000*VLOOKUP('2-3.設備仕様入力(適合例)'!$J$144,計算式!$N$16:$P$26,2,FALSE),1),""),"")</f>
        <v/>
      </c>
      <c r="W62" s="41" t="str">
        <f>IF('2-3.設備仕様入力(適合例)'!$J$141="ガスヒートポンプ式空調機",IF('2-3.設備仕様入力(適合例)'!$J$149="ｍ3N/h",ROUND('2-3.設備仕様入力(適合例)'!$J$142*'2-3.設備仕様入力(適合例)'!$J$148*計算式!$C$10/1000*VLOOKUP('2-3.設備仕様入力(適合例)'!$J$144,計算式!$N$16:$P$26,3,FALSE),1),""),"")</f>
        <v/>
      </c>
      <c r="X62" s="41" t="str">
        <f t="shared" si="6"/>
        <v/>
      </c>
      <c r="Y62" s="41" t="str">
        <f>IF('2-3.設備仕様入力(適合例)'!$J$141="ガスヒートポンプ式空調機",IF('2-3.設備仕様入力(適合例)'!$J$143="LPG",IF('2-3.設備仕様入力(適合例)'!$J$149="kW",ROUND('2-3.設備仕様入力(適合例)'!$J$142*'2-3.設備仕様入力(適合例)'!$J$147*3.6/1000*VLOOKUP('2-3.設備仕様入力(適合例)'!$J$144,計算式!$N$16:$P$26,2,FALSE),1),""),""),"")</f>
        <v/>
      </c>
      <c r="Z62" s="41" t="str">
        <f>IF('2-3.設備仕様入力(適合例)'!$J$141="ガスヒートポンプ式空調機",IF('2-3.設備仕様入力(適合例)'!$J$143="LPG",IF('2-3.設備仕様入力(適合例)'!$J$149="kW",ROUND('2-3.設備仕様入力(適合例)'!$J$142*'2-3.設備仕様入力(適合例)'!$J$148*3.6/1000*VLOOKUP('2-3.設備仕様入力(適合例)'!$J$144,計算式!$N$16:$P$26,3,FALSE),1),""),""),"")</f>
        <v/>
      </c>
      <c r="AA62" s="41" t="str">
        <f t="shared" si="7"/>
        <v/>
      </c>
      <c r="AB62" s="41" t="str">
        <f>IF('2-3.設備仕様入力(適合例)'!$J$141="ガスヒートポンプ式空調機",IF('2-3.設備仕様入力(適合例)'!$J$143="LPG",IF('2-3.設備仕様入力(適合例)'!$J$149="kg/h",ROUND('2-3.設備仕様入力(適合例)'!$J$142*'2-3.設備仕様入力(適合例)'!$J$147*計算式!$C$11/1000*VLOOKUP('2-3.設備仕様入力(適合例)'!$J$144,計算式!$N$16:$P$26,2,FALSE),1),""),""),"")</f>
        <v/>
      </c>
      <c r="AC62" s="41" t="str">
        <f>IF('2-3.設備仕様入力(適合例)'!$J$141="ガスヒートポンプ式空調機",IF('2-3.設備仕様入力(適合例)'!$J$143="LPG",IF('2-3.設備仕様入力(適合例)'!$J$149="kg/h",ROUND('2-3.設備仕様入力(適合例)'!$J$142*'2-3.設備仕様入力(適合例)'!$J$148*計算式!$C$11/1000*VLOOKUP('2-3.設備仕様入力(適合例)'!$J$144,計算式!$N$16:$P$26,3,FALSE),1),""),""),"")</f>
        <v/>
      </c>
      <c r="AD62" s="41" t="str">
        <f t="shared" si="8"/>
        <v/>
      </c>
    </row>
    <row r="63" spans="6:30" ht="19.2" x14ac:dyDescent="0.55000000000000004">
      <c r="N63" s="80" t="s">
        <v>126</v>
      </c>
      <c r="O63" s="34" t="str">
        <f>IF(AND('2-3.設備仕様入力(適合例)'!K$143="電気",'2-3.設備仕様入力(適合例)'!K$149="kW"),1,IF(AND('2-3.設備仕様入力(適合例)'!K$143="都市ガス",'2-3.設備仕様入力(適合例)'!K$149="kW"),2,IF(AND('2-3.設備仕様入力(適合例)'!K$143="都市ガス",'2-3.設備仕様入力(適合例)'!K$149="ｍ3N/h"),3,IF(AND('2-3.設備仕様入力(適合例)'!K$143="LPG",'2-3.設備仕様入力(適合例)'!K$149="kW"),4,IF(AND('2-3.設備仕様入力(適合例)'!K$143="LPG",'2-3.設備仕様入力(適合例)'!K$149="kg/h"),5,"")))))</f>
        <v/>
      </c>
      <c r="P63" s="41" t="str">
        <f>IF(OR('2-3.設備仕様入力(適合例)'!$K$141="電気式パッケージ形空調機",'2-3.設備仕様入力(適合例)'!$K$141="ルームエアコン"),ROUND('2-3.設備仕様入力(適合例)'!$K$147*'2-3.設備仕様入力(適合例)'!$K$142*計算式!$C$3*VLOOKUP('2-3.設備仕様入力(適合例)'!$K$144,計算式!$N$16:$P$26,2,FALSE)/1000,1),"")</f>
        <v/>
      </c>
      <c r="Q63" s="41" t="str">
        <f>IF(OR('2-3.設備仕様入力(適合例)'!$K$141="電気式パッケージ形空調機",'2-3.設備仕様入力(適合例)'!$K$141="ルームエアコン"),ROUND('2-3.設備仕様入力(適合例)'!$K$148*'2-3.設備仕様入力(適合例)'!$K$142*計算式!$C$3*VLOOKUP('2-3.設備仕様入力(適合例)'!$K$144,計算式!$N$16:$P$26,3,FALSE)/1000,1),"")</f>
        <v/>
      </c>
      <c r="R63" s="41" t="str">
        <f t="shared" si="9"/>
        <v/>
      </c>
      <c r="S63" s="41" t="str">
        <f>IF('2-3.設備仕様入力(適合例)'!$K$141="ガスヒートポンプ式空調機",IF('2-3.設備仕様入力(適合例)'!$K$143="都市ガス",IF('2-3.設備仕様入力(適合例)'!$K$149="kW",ROUND('2-3.設備仕様入力(適合例)'!$K$142*'2-3.設備仕様入力(適合例)'!$K$147*3.6/1000*VLOOKUP('2-3.設備仕様入力(適合例)'!$K$144,計算式!$N$16:$P$26,2,FALSE),1),""),""),"")</f>
        <v/>
      </c>
      <c r="T63" s="41" t="str">
        <f>IF('2-3.設備仕様入力(適合例)'!$K$141="ガスヒートポンプ式空調機",IF('2-3.設備仕様入力(適合例)'!$K$143="都市ガス",IF('2-3.設備仕様入力(適合例)'!$K$149="kW",ROUND('2-3.設備仕様入力(適合例)'!$K$142*'2-3.設備仕様入力(適合例)'!$K$148*3.6/1000*VLOOKUP('2-3.設備仕様入力(適合例)'!$K$144,計算式!$N$16:$P$26,3,FALSE),1),""),""),"")</f>
        <v/>
      </c>
      <c r="U63" s="41" t="str">
        <f t="shared" si="5"/>
        <v/>
      </c>
      <c r="V63" s="41" t="str">
        <f>IF('2-3.設備仕様入力(適合例)'!$K$141="ガスヒートポンプ式空調機",IF('2-3.設備仕様入力(適合例)'!$K$149="ｍ3N/h",ROUND('2-3.設備仕様入力(適合例)'!$K$142*'2-3.設備仕様入力(適合例)'!$K$147*計算式!$C$10/1000*VLOOKUP('2-3.設備仕様入力(適合例)'!$K$144,計算式!$N$16:$P$26,2,FALSE),1),""),"")</f>
        <v/>
      </c>
      <c r="W63" s="41" t="str">
        <f>IF('2-3.設備仕様入力(適合例)'!$K$141="ガスヒートポンプ式空調機",IF('2-3.設備仕様入力(適合例)'!$K$149="ｍ3N/h",ROUND('2-3.設備仕様入力(適合例)'!$K$142*'2-3.設備仕様入力(適合例)'!$K$148*計算式!$C$10/1000*VLOOKUP('2-3.設備仕様入力(適合例)'!$K$144,計算式!$N$16:$P$26,3,FALSE),1),""),"")</f>
        <v/>
      </c>
      <c r="X63" s="41" t="str">
        <f t="shared" si="6"/>
        <v/>
      </c>
      <c r="Y63" s="41" t="str">
        <f>IF('2-3.設備仕様入力(適合例)'!$K$141="ガスヒートポンプ式空調機",IF('2-3.設備仕様入力(適合例)'!$K$143="LPG",IF('2-3.設備仕様入力(適合例)'!$K$149="kW",ROUND('2-3.設備仕様入力(適合例)'!$K$142*'2-3.設備仕様入力(適合例)'!$K$147*3.6/1000*VLOOKUP('2-3.設備仕様入力(適合例)'!$K$144,計算式!$N$16:$P$26,2,FALSE),1),""),""),"")</f>
        <v/>
      </c>
      <c r="Z63" s="41" t="str">
        <f>IF('2-3.設備仕様入力(適合例)'!$K$141="ガスヒートポンプ式空調機",IF('2-3.設備仕様入力(適合例)'!$K$143="LPG",IF('2-3.設備仕様入力(適合例)'!$K$149="kW",ROUND('2-3.設備仕様入力(適合例)'!$K$142*'2-3.設備仕様入力(適合例)'!$K$148*3.6/1000*VLOOKUP('2-3.設備仕様入力(適合例)'!$K$144,計算式!$N$16:$P$26,3,FALSE),1),""),""),"")</f>
        <v/>
      </c>
      <c r="AA63" s="41" t="str">
        <f t="shared" si="7"/>
        <v/>
      </c>
      <c r="AB63" s="41" t="str">
        <f>IF('2-3.設備仕様入力(適合例)'!$K$141="ガスヒートポンプ式空調機",IF('2-3.設備仕様入力(適合例)'!$K$143="LPG",IF('2-3.設備仕様入力(適合例)'!$K$149="kg/h",ROUND('2-3.設備仕様入力(適合例)'!$K$142*'2-3.設備仕様入力(適合例)'!$K$147*計算式!$C$11/1000*VLOOKUP('2-3.設備仕様入力(適合例)'!$K$144,計算式!$N$16:$P$26,2,FALSE),1),""),""),"")</f>
        <v/>
      </c>
      <c r="AC63" s="41" t="str">
        <f>IF('2-3.設備仕様入力(適合例)'!$K$141="ガスヒートポンプ式空調機",IF('2-3.設備仕様入力(適合例)'!$K$143="LPG",IF('2-3.設備仕様入力(適合例)'!$K$149="kg/h",ROUND('2-3.設備仕様入力(適合例)'!$K$142*'2-3.設備仕様入力(適合例)'!$K$148*計算式!$C$11/1000*VLOOKUP('2-3.設備仕様入力(適合例)'!$K$144,計算式!$N$16:$P$26,3,FALSE),1),""),""),"")</f>
        <v/>
      </c>
      <c r="AD63" s="41" t="str">
        <f t="shared" si="8"/>
        <v/>
      </c>
    </row>
    <row r="64" spans="6:30" ht="19.2" x14ac:dyDescent="0.55000000000000004">
      <c r="N64" s="80" t="s">
        <v>127</v>
      </c>
      <c r="O64" s="34" t="str">
        <f>IF(AND('2-3.設備仕様入力(適合例)'!L$143="電気",'2-3.設備仕様入力(適合例)'!L$149="kW"),1,IF(AND('2-3.設備仕様入力(適合例)'!L$143="都市ガス",'2-3.設備仕様入力(適合例)'!L$149="kW"),2,IF(AND('2-3.設備仕様入力(適合例)'!L$143="都市ガス",'2-3.設備仕様入力(適合例)'!L$149="ｍ3N/h"),3,IF(AND('2-3.設備仕様入力(適合例)'!L$143="LPG",'2-3.設備仕様入力(適合例)'!L$149="kW"),4,IF(AND('2-3.設備仕様入力(適合例)'!L$143="LPG",'2-3.設備仕様入力(適合例)'!L$149="kg/h"),5,"")))))</f>
        <v/>
      </c>
      <c r="P64" s="41" t="str">
        <f>IF(OR('2-3.設備仕様入力(適合例)'!$L$141="電気式パッケージ形空調機",'2-3.設備仕様入力(適合例)'!$L$141="ルームエアコン"),ROUND('2-3.設備仕様入力(適合例)'!$L$147*'2-3.設備仕様入力(適合例)'!$L$142*計算式!$C$3*VLOOKUP('2-3.設備仕様入力(適合例)'!$L$144,計算式!$N$16:$P$26,2,FALSE)/1000,1),"")</f>
        <v/>
      </c>
      <c r="Q64" s="41" t="str">
        <f>IF(OR('2-3.設備仕様入力(適合例)'!$L$141="電気式パッケージ形空調機",'2-3.設備仕様入力(適合例)'!$L$141="ルームエアコン"),ROUND('2-3.設備仕様入力(適合例)'!$L$148*'2-3.設備仕様入力(適合例)'!$L$142*計算式!$C$3*VLOOKUP('2-3.設備仕様入力(適合例)'!$L$144,計算式!$N$16:$P$26,3,FALSE)/1000,1),"")</f>
        <v/>
      </c>
      <c r="R64" s="41" t="str">
        <f t="shared" si="9"/>
        <v/>
      </c>
      <c r="S64" s="41" t="str">
        <f>IF('2-3.設備仕様入力(適合例)'!$L$141="ガスヒートポンプ式空調機",IF('2-3.設備仕様入力(適合例)'!$L$143="都市ガス",IF('2-3.設備仕様入力(適合例)'!$L$149="kW",ROUND('2-3.設備仕様入力(適合例)'!$L$142*'2-3.設備仕様入力(適合例)'!$L$147*3.6/1000*VLOOKUP('2-3.設備仕様入力(適合例)'!$L$144,計算式!$N$16:$P$26,2,FALSE),1),""),""),"")</f>
        <v/>
      </c>
      <c r="T64" s="41" t="str">
        <f>IF('2-3.設備仕様入力(適合例)'!$L$141="ガスヒートポンプ式空調機",IF('2-3.設備仕様入力(適合例)'!$L$143="都市ガス",IF('2-3.設備仕様入力(適合例)'!$L$149="kW",ROUND('2-3.設備仕様入力(適合例)'!$L$142*'2-3.設備仕様入力(適合例)'!$L$148*3.6/1000*VLOOKUP('2-3.設備仕様入力(適合例)'!$L$144,計算式!$N$16:$P$26,3,FALSE),1),""),""),"")</f>
        <v/>
      </c>
      <c r="U64" s="41" t="str">
        <f t="shared" si="5"/>
        <v/>
      </c>
      <c r="V64" s="41" t="str">
        <f>IF('2-3.設備仕様入力(適合例)'!$L$141="ガスヒートポンプ式空調機",IF('2-3.設備仕様入力(適合例)'!$L$149="ｍ3N/h",ROUND('2-3.設備仕様入力(適合例)'!$L$142*'2-3.設備仕様入力(適合例)'!$L$147*計算式!$C$10/1000*VLOOKUP('2-3.設備仕様入力(適合例)'!$L$144,計算式!$N$16:$P$26,2,FALSE),1),""),"")</f>
        <v/>
      </c>
      <c r="W64" s="41" t="str">
        <f>IF('2-3.設備仕様入力(適合例)'!$L$141="ガスヒートポンプ式空調機",IF('2-3.設備仕様入力(適合例)'!$L$149="ｍ3N/h",ROUND('2-3.設備仕様入力(適合例)'!$L$142*'2-3.設備仕様入力(適合例)'!$L$148*計算式!$C$10/1000*VLOOKUP('2-3.設備仕様入力(適合例)'!$L$144,計算式!$N$16:$P$26,3,FALSE),1),""),"")</f>
        <v/>
      </c>
      <c r="X64" s="41" t="str">
        <f t="shared" si="6"/>
        <v/>
      </c>
      <c r="Y64" s="41" t="str">
        <f>IF('2-3.設備仕様入力(適合例)'!$L$141="ガスヒートポンプ式空調機",IF('2-3.設備仕様入力(適合例)'!$L$143="LPG",IF('2-3.設備仕様入力(適合例)'!$L$149="kW",ROUND('2-3.設備仕様入力(適合例)'!$L$142*'2-3.設備仕様入力(適合例)'!$L$147*3.6/1000*VLOOKUP('2-3.設備仕様入力(適合例)'!$L$144,計算式!$N$16:$P$26,2,FALSE),1),""),""),"")</f>
        <v/>
      </c>
      <c r="Z64" s="41" t="str">
        <f>IF('2-3.設備仕様入力(適合例)'!$L$141="ガスヒートポンプ式空調機",IF('2-3.設備仕様入力(適合例)'!$L$143="LPG",IF('2-3.設備仕様入力(適合例)'!$L$149="kW",ROUND('2-3.設備仕様入力(適合例)'!$L$142*'2-3.設備仕様入力(適合例)'!$L$148*3.6/1000*VLOOKUP('2-3.設備仕様入力(適合例)'!$L$144,計算式!$N$16:$P$26,3,FALSE),1),""),""),"")</f>
        <v/>
      </c>
      <c r="AA64" s="41" t="str">
        <f t="shared" si="7"/>
        <v/>
      </c>
      <c r="AB64" s="41" t="str">
        <f>IF('2-3.設備仕様入力(適合例)'!$L$141="ガスヒートポンプ式空調機",IF('2-3.設備仕様入力(適合例)'!$L$143="LPG",IF('2-3.設備仕様入力(適合例)'!$L$149="kg/h",ROUND('2-3.設備仕様入力(適合例)'!$L$142*'2-3.設備仕様入力(適合例)'!$L$147*計算式!$C$11/1000*VLOOKUP('2-3.設備仕様入力(適合例)'!$L$144,計算式!$N$16:$P$26,2,FALSE),1),""),""),"")</f>
        <v/>
      </c>
      <c r="AC64" s="41" t="str">
        <f>IF('2-3.設備仕様入力(適合例)'!$L$141="ガスヒートポンプ式空調機",IF('2-3.設備仕様入力(適合例)'!$L$143="LPG",IF('2-3.設備仕様入力(適合例)'!$L$149="kg/h",ROUND('2-3.設備仕様入力(適合例)'!$L$142*'2-3.設備仕様入力(適合例)'!$L$148*計算式!$C$11/1000*VLOOKUP('2-3.設備仕様入力(適合例)'!$L$144,計算式!$N$16:$P$26,3,FALSE),1),""),""),"")</f>
        <v/>
      </c>
      <c r="AD64" s="41" t="str">
        <f t="shared" si="8"/>
        <v/>
      </c>
    </row>
    <row r="65" spans="14:30" ht="19.2" x14ac:dyDescent="0.55000000000000004">
      <c r="N65" s="80" t="s">
        <v>128</v>
      </c>
      <c r="O65" s="34" t="str">
        <f>IF(AND('2-3.設備仕様入力(適合例)'!M$143="電気",'2-3.設備仕様入力(適合例)'!M$149="kW"),1,IF(AND('2-3.設備仕様入力(適合例)'!M$143="都市ガス",'2-3.設備仕様入力(適合例)'!M$149="kW"),2,IF(AND('2-3.設備仕様入力(適合例)'!M$143="都市ガス",'2-3.設備仕様入力(適合例)'!M$149="ｍ3N/h"),3,IF(AND('2-3.設備仕様入力(適合例)'!M$143="LPG",'2-3.設備仕様入力(適合例)'!M$149="kW"),4,IF(AND('2-3.設備仕様入力(適合例)'!M$143="LPG",'2-3.設備仕様入力(適合例)'!M$149="kg/h"),5,"")))))</f>
        <v/>
      </c>
      <c r="P65" s="41" t="str">
        <f>IF(OR('2-3.設備仕様入力(適合例)'!$M$141="電気式パッケージ形空調機",'2-3.設備仕様入力(適合例)'!$M$141="ルームエアコン"),ROUND('2-3.設備仕様入力(適合例)'!$M$147*'2-3.設備仕様入力(適合例)'!$M$142*計算式!$C$3*VLOOKUP('2-3.設備仕様入力(適合例)'!$M$144,計算式!$N$16:$P$26,2,FALSE)/1000,1),"")</f>
        <v/>
      </c>
      <c r="Q65" s="41" t="str">
        <f>IF(OR('2-3.設備仕様入力(適合例)'!$M$141="電気式パッケージ形空調機",'2-3.設備仕様入力(適合例)'!$M$141="ルームエアコン"),ROUND('2-3.設備仕様入力(適合例)'!$M$148*'2-3.設備仕様入力(適合例)'!$M$142*計算式!$C$3*VLOOKUP('2-3.設備仕様入力(適合例)'!$M$144,計算式!$N$16:$P$26,3,FALSE)/1000,1),"")</f>
        <v/>
      </c>
      <c r="R65" s="41" t="str">
        <f t="shared" si="9"/>
        <v/>
      </c>
      <c r="S65" s="41" t="str">
        <f>IF('2-3.設備仕様入力(適合例)'!$M$141="ガスヒートポンプ式空調機",IF('2-3.設備仕様入力(適合例)'!$M$143="都市ガス",IF('2-3.設備仕様入力(適合例)'!$M$149="kW",ROUND('2-3.設備仕様入力(適合例)'!$M$142*'2-3.設備仕様入力(適合例)'!$M$147*3.6/1000*VLOOKUP('2-3.設備仕様入力(適合例)'!$M$144,計算式!$N$16:$P$26,2,FALSE),1),""),""),"")</f>
        <v/>
      </c>
      <c r="T65" s="41" t="str">
        <f>IF('2-3.設備仕様入力(適合例)'!$M$141="ガスヒートポンプ式空調機",IF('2-3.設備仕様入力(適合例)'!$M$143="都市ガス",IF('2-3.設備仕様入力(適合例)'!$M$149="kW",ROUND('2-3.設備仕様入力(適合例)'!$M$142*'2-3.設備仕様入力(適合例)'!$M$148*3.6/1000*VLOOKUP('2-3.設備仕様入力(適合例)'!$M$144,計算式!$N$16:$P$26,3,FALSE),1),""),""),"")</f>
        <v/>
      </c>
      <c r="U65" s="41" t="str">
        <f t="shared" si="5"/>
        <v/>
      </c>
      <c r="V65" s="41" t="str">
        <f>IF('2-3.設備仕様入力(適合例)'!$M$141="ガスヒートポンプ式空調機",IF('2-3.設備仕様入力(適合例)'!$M$149="ｍ3N/h",ROUND('2-3.設備仕様入力(適合例)'!$M$142*'2-3.設備仕様入力(適合例)'!$M$147*計算式!$C$10/1000*VLOOKUP('2-3.設備仕様入力(適合例)'!$M$144,計算式!$N$16:$P$26,2,FALSE),1),""),"")</f>
        <v/>
      </c>
      <c r="W65" s="41" t="str">
        <f>IF('2-3.設備仕様入力(適合例)'!$M$141="ガスヒートポンプ式空調機",IF('2-3.設備仕様入力(適合例)'!$M$149="ｍ3N/h",ROUND('2-3.設備仕様入力(適合例)'!$M$142*'2-3.設備仕様入力(適合例)'!$M$148*計算式!$C$10/1000*VLOOKUP('2-3.設備仕様入力(適合例)'!$M$144,計算式!$N$16:$P$26,3,FALSE),1),""),"")</f>
        <v/>
      </c>
      <c r="X65" s="41" t="str">
        <f t="shared" si="6"/>
        <v/>
      </c>
      <c r="Y65" s="41" t="str">
        <f>IF('2-3.設備仕様入力(適合例)'!$M$141="ガスヒートポンプ式空調機",IF('2-3.設備仕様入力(適合例)'!$M$143="LPG",IF('2-3.設備仕様入力(適合例)'!$M$149="kW",ROUND('2-3.設備仕様入力(適合例)'!$M$142*'2-3.設備仕様入力(適合例)'!$M$147*3.6/1000*VLOOKUP('2-3.設備仕様入力(適合例)'!$M$144,計算式!$N$16:$P$26,2,FALSE),1),""),""),"")</f>
        <v/>
      </c>
      <c r="Z65" s="41" t="str">
        <f>IF('2-3.設備仕様入力(適合例)'!$M$141="ガスヒートポンプ式空調機",IF('2-3.設備仕様入力(適合例)'!$M$143="LPG",IF('2-3.設備仕様入力(適合例)'!$M$149="kW",ROUND('2-3.設備仕様入力(適合例)'!$M$142*'2-3.設備仕様入力(適合例)'!$M$148*3.6/1000*VLOOKUP('2-3.設備仕様入力(適合例)'!$M$144,計算式!$N$16:$P$26,3,FALSE),1),""),""),"")</f>
        <v/>
      </c>
      <c r="AA65" s="41" t="str">
        <f t="shared" si="7"/>
        <v/>
      </c>
      <c r="AB65" s="41" t="str">
        <f>IF('2-3.設備仕様入力(適合例)'!$M$141="ガスヒートポンプ式空調機",IF('2-3.設備仕様入力(適合例)'!$M$143="LPG",IF('2-3.設備仕様入力(適合例)'!$M$149="kg/h",ROUND('2-3.設備仕様入力(適合例)'!$M$142*'2-3.設備仕様入力(適合例)'!$M$147*計算式!$C$11/1000*VLOOKUP('2-3.設備仕様入力(適合例)'!$M$144,計算式!$N$16:$P$26,2,FALSE),1),""),""),"")</f>
        <v/>
      </c>
      <c r="AC65" s="41" t="str">
        <f>IF('2-3.設備仕様入力(適合例)'!$M$141="ガスヒートポンプ式空調機",IF('2-3.設備仕様入力(適合例)'!$M$143="LPG",IF('2-3.設備仕様入力(適合例)'!$M$149="kg/h",ROUND('2-3.設備仕様入力(適合例)'!$M$142*'2-3.設備仕様入力(適合例)'!$M$148*計算式!$C$11/1000*VLOOKUP('2-3.設備仕様入力(適合例)'!$M$144,計算式!$N$16:$P$26,3,FALSE),1),""),""),"")</f>
        <v/>
      </c>
      <c r="AD65" s="41" t="str">
        <f t="shared" si="8"/>
        <v/>
      </c>
    </row>
    <row r="66" spans="14:30" ht="19.2" x14ac:dyDescent="0.55000000000000004">
      <c r="N66" s="80" t="s">
        <v>371</v>
      </c>
      <c r="O66" s="34" t="str">
        <f>IF(AND('2-3.設備仕様入力(適合例)'!N$143="電気",'2-3.設備仕様入力(適合例)'!N$149="kW"),1,IF(AND('2-3.設備仕様入力(適合例)'!N$143="都市ガス",'2-3.設備仕様入力(適合例)'!N$149="kW"),2,IF(AND('2-3.設備仕様入力(適合例)'!N$143="都市ガス",'2-3.設備仕様入力(適合例)'!N$149="ｍ3N/h"),3,IF(AND('2-3.設備仕様入力(適合例)'!N$143="LPG",'2-3.設備仕様入力(適合例)'!N$149="kW"),4,IF(AND('2-3.設備仕様入力(適合例)'!N$143="LPG",'2-3.設備仕様入力(適合例)'!N$149="kg/h"),5,"")))))</f>
        <v/>
      </c>
      <c r="P66" s="41" t="str">
        <f>IF(OR('2-3.設備仕様入力(適合例)'!$N$141="電気式パッケージ形空調機",'2-3.設備仕様入力(適合例)'!$N$141="ルームエアコン"),ROUND('2-3.設備仕様入力(適合例)'!$N$147*'2-3.設備仕様入力(適合例)'!$N$142*計算式!$C$3*VLOOKUP('2-3.設備仕様入力(適合例)'!$N$144,計算式!$N$16:$P$26,2,FALSE)/1000,1),"")</f>
        <v/>
      </c>
      <c r="Q66" s="41" t="str">
        <f>IF(OR('2-3.設備仕様入力(適合例)'!$N$141="電気式パッケージ形空調機",'2-3.設備仕様入力(適合例)'!$N$141="ルームエアコン"),ROUND('2-3.設備仕様入力(適合例)'!$N$148*'2-3.設備仕様入力(適合例)'!$N$142*計算式!$C$3*VLOOKUP('2-3.設備仕様入力(適合例)'!$N$144,計算式!$N$16:$P$26,3,FALSE)/1000,1),"")</f>
        <v/>
      </c>
      <c r="R66" s="41" t="str">
        <f t="shared" si="9"/>
        <v/>
      </c>
      <c r="S66" s="41" t="str">
        <f>IF('2-3.設備仕様入力(適合例)'!$N$141="ガスヒートポンプ式空調機",IF('2-3.設備仕様入力(適合例)'!$N$143="都市ガス",IF('2-3.設備仕様入力(適合例)'!$N$149="kW",ROUND('2-3.設備仕様入力(適合例)'!$N$142*'2-3.設備仕様入力(適合例)'!$N$147*3.6/1000*VLOOKUP('2-3.設備仕様入力(適合例)'!$N$144,計算式!$N$16:$P$26,2,FALSE),1),""),""),"")</f>
        <v/>
      </c>
      <c r="T66" s="41" t="str">
        <f>IF('2-3.設備仕様入力(適合例)'!$N$141="ガスヒートポンプ式空調機",IF('2-3.設備仕様入力(適合例)'!$N$143="都市ガス",IF('2-3.設備仕様入力(適合例)'!$N$149="kW",ROUND('2-3.設備仕様入力(適合例)'!$N$142*'2-3.設備仕様入力(適合例)'!$N$148*3.6/1000*VLOOKUP('2-3.設備仕様入力(適合例)'!$N$144,計算式!$N$16:$P$26,3,FALSE),1),""),""),"")</f>
        <v/>
      </c>
      <c r="U66" s="41" t="str">
        <f t="shared" si="5"/>
        <v/>
      </c>
      <c r="V66" s="41" t="str">
        <f>IF('2-3.設備仕様入力(適合例)'!$N$141="ガスヒートポンプ式空調機",IF('2-3.設備仕様入力(適合例)'!$N$149="ｍ3N/h",ROUND('2-3.設備仕様入力(適合例)'!$N$142*'2-3.設備仕様入力(適合例)'!$N$147*計算式!$C$10/1000*VLOOKUP('2-3.設備仕様入力(適合例)'!$N$144,計算式!$N$16:$P$26,2,FALSE),1),""),"")</f>
        <v/>
      </c>
      <c r="W66" s="41" t="str">
        <f>IF('2-3.設備仕様入力(適合例)'!$N$141="ガスヒートポンプ式空調機",IF('2-3.設備仕様入力(適合例)'!$N$149="ｍ3N/h",ROUND('2-3.設備仕様入力(適合例)'!$N$142*'2-3.設備仕様入力(適合例)'!$N$148*計算式!$C$10/1000*VLOOKUP('2-3.設備仕様入力(適合例)'!$N$144,計算式!$N$16:$P$26,3,FALSE),1),""),"")</f>
        <v/>
      </c>
      <c r="X66" s="41" t="str">
        <f t="shared" si="6"/>
        <v/>
      </c>
      <c r="Y66" s="41" t="str">
        <f>IF('2-3.設備仕様入力(適合例)'!$N$141="ガスヒートポンプ式空調機",IF('2-3.設備仕様入力(適合例)'!$N$143="LPG",IF('2-3.設備仕様入力(適合例)'!$N$149="kW",ROUND('2-3.設備仕様入力(適合例)'!$N$142*'2-3.設備仕様入力(適合例)'!$N$147*3.6/1000*VLOOKUP('2-3.設備仕様入力(適合例)'!$N$144,計算式!$N$16:$P$26,2,FALSE),1),""),""),"")</f>
        <v/>
      </c>
      <c r="Z66" s="41" t="str">
        <f>IF('2-3.設備仕様入力(適合例)'!$N$141="ガスヒートポンプ式空調機",IF('2-3.設備仕様入力(適合例)'!$N$143="LPG",IF('2-3.設備仕様入力(適合例)'!$N$149="kW",ROUND('2-3.設備仕様入力(適合例)'!$N$142*'2-3.設備仕様入力(適合例)'!$N$148*3.6/1000*VLOOKUP('2-3.設備仕様入力(適合例)'!$N$144,計算式!$N$16:$P$26,3,FALSE),1),""),""),"")</f>
        <v/>
      </c>
      <c r="AA66" s="41" t="str">
        <f t="shared" si="7"/>
        <v/>
      </c>
      <c r="AB66" s="41" t="str">
        <f>IF('2-3.設備仕様入力(適合例)'!$N$141="ガスヒートポンプ式空調機",IF('2-3.設備仕様入力(適合例)'!$N$143="LPG",IF('2-3.設備仕様入力(適合例)'!$N$149="kg/h",ROUND('2-3.設備仕様入力(適合例)'!$N$142*'2-3.設備仕様入力(適合例)'!$N$147*計算式!$C$11/1000*VLOOKUP('2-3.設備仕様入力(適合例)'!$N$144,計算式!$N$16:$P$26,2,FALSE),1),""),""),"")</f>
        <v/>
      </c>
      <c r="AC66" s="41" t="str">
        <f>IF('2-3.設備仕様入力(適合例)'!$N$141="ガスヒートポンプ式空調機",IF('2-3.設備仕様入力(適合例)'!$N$143="LPG",IF('2-3.設備仕様入力(適合例)'!$N$149="kg/h",ROUND('2-3.設備仕様入力(適合例)'!$N$142*'2-3.設備仕様入力(適合例)'!$N$148*計算式!$C$11/1000*VLOOKUP('2-3.設備仕様入力(適合例)'!$N$144,計算式!$N$16:$P$26,3,FALSE),1),""),""),"")</f>
        <v/>
      </c>
      <c r="AD66" s="41" t="str">
        <f t="shared" si="8"/>
        <v/>
      </c>
    </row>
    <row r="67" spans="14:30" ht="19.2" x14ac:dyDescent="0.55000000000000004">
      <c r="N67" s="80" t="s">
        <v>372</v>
      </c>
      <c r="O67" s="34" t="str">
        <f>IF(AND('2-3.設備仕様入力(適合例)'!O$143="電気",'2-3.設備仕様入力(適合例)'!O$149="kW"),1,IF(AND('2-3.設備仕様入力(適合例)'!O$143="都市ガス",'2-3.設備仕様入力(適合例)'!O$149="kW"),2,IF(AND('2-3.設備仕様入力(適合例)'!O$143="都市ガス",'2-3.設備仕様入力(適合例)'!O$149="ｍ3N/h"),3,IF(AND('2-3.設備仕様入力(適合例)'!O$143="LPG",'2-3.設備仕様入力(適合例)'!O$149="kW"),4,IF(AND('2-3.設備仕様入力(適合例)'!O$143="LPG",'2-3.設備仕様入力(適合例)'!O$149="kg/h"),5,"")))))</f>
        <v/>
      </c>
      <c r="P67" s="41" t="str">
        <f>IF(OR('2-3.設備仕様入力(適合例)'!$O$141="電気式パッケージ形空調機",'2-3.設備仕様入力(適合例)'!$O$141="ルームエアコン"),ROUND('2-3.設備仕様入力(適合例)'!$O$147*'2-3.設備仕様入力(適合例)'!$O$142*計算式!$C$3*VLOOKUP('2-3.設備仕様入力(適合例)'!$O$144,計算式!$N$16:$P$26,2,FALSE)/1000,1),"")</f>
        <v/>
      </c>
      <c r="Q67" s="41" t="str">
        <f>IF(OR('2-3.設備仕様入力(適合例)'!$O$141="電気式パッケージ形空調機",'2-3.設備仕様入力(適合例)'!$O$141="ルームエアコン"),ROUND('2-3.設備仕様入力(適合例)'!$O$148*'2-3.設備仕様入力(適合例)'!$O$142*計算式!$C$3*VLOOKUP('2-3.設備仕様入力(適合例)'!$O$144,計算式!$N$16:$P$26,3,FALSE)/1000,1),"")</f>
        <v/>
      </c>
      <c r="R67" s="41" t="str">
        <f t="shared" si="9"/>
        <v/>
      </c>
      <c r="S67" s="41" t="str">
        <f>IF('2-3.設備仕様入力(適合例)'!$O$141="ガスヒートポンプ式空調機",IF('2-3.設備仕様入力(適合例)'!$O$143="都市ガス",IF('2-3.設備仕様入力(適合例)'!$O$149="kW",ROUND('2-3.設備仕様入力(適合例)'!$O$142*'2-3.設備仕様入力(適合例)'!$O$147*3.6/1000*VLOOKUP('2-3.設備仕様入力(適合例)'!$O$144,計算式!$N$16:$P$26,2,FALSE),1),""),""),"")</f>
        <v/>
      </c>
      <c r="T67" s="41" t="str">
        <f>IF('2-3.設備仕様入力(適合例)'!$O$141="ガスヒートポンプ式空調機",IF('2-3.設備仕様入力(適合例)'!$O$143="都市ガス",IF('2-3.設備仕様入力(適合例)'!$O$149="kW",ROUND('2-3.設備仕様入力(適合例)'!$O$142*'2-3.設備仕様入力(適合例)'!$O$148*3.6/1000*VLOOKUP('2-3.設備仕様入力(適合例)'!$O$144,計算式!$N$16:$P$26,3,FALSE),1),""),""),"")</f>
        <v/>
      </c>
      <c r="U67" s="41" t="str">
        <f t="shared" si="5"/>
        <v/>
      </c>
      <c r="V67" s="41" t="str">
        <f>IF('2-3.設備仕様入力(適合例)'!$O$141="ガスヒートポンプ式空調機",IF('2-3.設備仕様入力(適合例)'!$O$149="ｍ3N/h",ROUND('2-3.設備仕様入力(適合例)'!$O$142*'2-3.設備仕様入力(適合例)'!$O$147*計算式!$C$10/1000*VLOOKUP('2-3.設備仕様入力(適合例)'!$O$144,計算式!$N$16:$P$26,2,FALSE),1),""),"")</f>
        <v/>
      </c>
      <c r="W67" s="41" t="str">
        <f>IF('2-3.設備仕様入力(適合例)'!$O$141="ガスヒートポンプ式空調機",IF('2-3.設備仕様入力(適合例)'!$O$149="ｍ3N/h",ROUND('2-3.設備仕様入力(適合例)'!$O$142*'2-3.設備仕様入力(適合例)'!$O$148*計算式!$C$10/1000*VLOOKUP('2-3.設備仕様入力(適合例)'!$O$144,計算式!$N$16:$P$26,3,FALSE),1),""),"")</f>
        <v/>
      </c>
      <c r="X67" s="41" t="str">
        <f t="shared" si="6"/>
        <v/>
      </c>
      <c r="Y67" s="41" t="str">
        <f>IF('2-3.設備仕様入力(適合例)'!$O$141="ガスヒートポンプ式空調機",IF('2-3.設備仕様入力(適合例)'!$O$143="LPG",IF('2-3.設備仕様入力(適合例)'!$O$149="kW",ROUND('2-3.設備仕様入力(適合例)'!$O$142*'2-3.設備仕様入力(適合例)'!$O$147*3.6/1000*VLOOKUP('2-3.設備仕様入力(適合例)'!$O$144,計算式!$N$16:$P$26,2,FALSE),1),""),""),"")</f>
        <v/>
      </c>
      <c r="Z67" s="41" t="str">
        <f>IF('2-3.設備仕様入力(適合例)'!$O$141="ガスヒートポンプ式空調機",IF('2-3.設備仕様入力(適合例)'!$O$143="LPG",IF('2-3.設備仕様入力(適合例)'!$O$149="kW",ROUND('2-3.設備仕様入力(適合例)'!$O$142*'2-3.設備仕様入力(適合例)'!$O$148*3.6/1000*VLOOKUP('2-3.設備仕様入力(適合例)'!$O$144,計算式!$N$16:$P$26,3,FALSE),1),""),""),"")</f>
        <v/>
      </c>
      <c r="AA67" s="41" t="str">
        <f t="shared" si="7"/>
        <v/>
      </c>
      <c r="AB67" s="41" t="str">
        <f>IF('2-3.設備仕様入力(適合例)'!$O$141="ガスヒートポンプ式空調機",IF('2-3.設備仕様入力(適合例)'!$O$143="LPG",IF('2-3.設備仕様入力(適合例)'!$O$149="kg/h",ROUND('2-3.設備仕様入力(適合例)'!$O$142*'2-3.設備仕様入力(適合例)'!$O$147*計算式!$C$11/1000*VLOOKUP('2-3.設備仕様入力(適合例)'!$O$144,計算式!$N$16:$P$26,2,FALSE),1),""),""),"")</f>
        <v/>
      </c>
      <c r="AC67" s="41" t="str">
        <f>IF('2-3.設備仕様入力(適合例)'!$O$141="ガスヒートポンプ式空調機",IF('2-3.設備仕様入力(適合例)'!$O$143="LPG",IF('2-3.設備仕様入力(適合例)'!$O$149="kg/h",ROUND('2-3.設備仕様入力(適合例)'!$O$142*'2-3.設備仕様入力(適合例)'!$O$148*計算式!$C$11/1000*VLOOKUP('2-3.設備仕様入力(適合例)'!$O$144,計算式!$N$16:$P$26,3,FALSE),1),""),""),"")</f>
        <v/>
      </c>
      <c r="AD67" s="41" t="str">
        <f t="shared" si="8"/>
        <v/>
      </c>
    </row>
    <row r="68" spans="14:30" ht="19.2" x14ac:dyDescent="0.55000000000000004">
      <c r="N68" s="80" t="s">
        <v>373</v>
      </c>
      <c r="O68" s="34" t="str">
        <f>IF(AND('2-3.設備仕様入力(適合例)'!P$143="電気",'2-3.設備仕様入力(適合例)'!P$149="kW"),1,IF(AND('2-3.設備仕様入力(適合例)'!P$143="都市ガス",'2-3.設備仕様入力(適合例)'!P$149="kW"),2,IF(AND('2-3.設備仕様入力(適合例)'!P$143="都市ガス",'2-3.設備仕様入力(適合例)'!P$149="ｍ3N/h"),3,IF(AND('2-3.設備仕様入力(適合例)'!P$143="LPG",'2-3.設備仕様入力(適合例)'!P$149="kW"),4,IF(AND('2-3.設備仕様入力(適合例)'!P$143="LPG",'2-3.設備仕様入力(適合例)'!P$149="kg/h"),5,"")))))</f>
        <v/>
      </c>
      <c r="P68" s="41" t="str">
        <f>IF(OR('2-3.設備仕様入力(適合例)'!$P$141="電気式パッケージ形空調機",'2-3.設備仕様入力(適合例)'!$P$141="ルームエアコン"),ROUND('2-3.設備仕様入力(適合例)'!$P$147*'2-3.設備仕様入力(適合例)'!$P$142*計算式!$C$3*VLOOKUP('2-3.設備仕様入力(適合例)'!$P$144,計算式!$N$16:$P$26,2,FALSE)/1000,1),"")</f>
        <v/>
      </c>
      <c r="Q68" s="41" t="str">
        <f>IF(OR('2-3.設備仕様入力(適合例)'!$P$141="電気式パッケージ形空調機",'2-3.設備仕様入力(適合例)'!$P$141="ルームエアコン"),ROUND('2-3.設備仕様入力(適合例)'!$P$148*'2-3.設備仕様入力(適合例)'!$P$142*計算式!$C$3*VLOOKUP('2-3.設備仕様入力(適合例)'!$P$144,計算式!$N$16:$P$26,3,FALSE)/1000,1),"")</f>
        <v/>
      </c>
      <c r="R68" s="41" t="str">
        <f t="shared" si="9"/>
        <v/>
      </c>
      <c r="S68" s="41" t="str">
        <f>IF('2-3.設備仕様入力(適合例)'!$P$141="ガスヒートポンプ式空調機",IF('2-3.設備仕様入力(適合例)'!$P$143="都市ガス",IF('2-3.設備仕様入力(適合例)'!$P$149="kW",ROUND('2-3.設備仕様入力(適合例)'!$P$142*'2-3.設備仕様入力(適合例)'!$P$147*3.6/1000*VLOOKUP('2-3.設備仕様入力(適合例)'!$P$144,計算式!$N$16:$P$26,2,FALSE),1),""),""),"")</f>
        <v/>
      </c>
      <c r="T68" s="41" t="str">
        <f>IF('2-3.設備仕様入力(適合例)'!$P$141="ガスヒートポンプ式空調機",IF('2-3.設備仕様入力(適合例)'!$P$143="都市ガス",IF('2-3.設備仕様入力(適合例)'!$P$149="kW",ROUND('2-3.設備仕様入力(適合例)'!$P$142*'2-3.設備仕様入力(適合例)'!$P$148*3.6/1000*VLOOKUP('2-3.設備仕様入力(適合例)'!$P$144,計算式!$N$16:$P$26,3,FALSE),1),""),""),"")</f>
        <v/>
      </c>
      <c r="U68" s="41" t="str">
        <f t="shared" si="5"/>
        <v/>
      </c>
      <c r="V68" s="41" t="str">
        <f>IF('2-3.設備仕様入力(適合例)'!$P$141="ガスヒートポンプ式空調機",IF('2-3.設備仕様入力(適合例)'!$P$149="ｍ3N/h",ROUND('2-3.設備仕様入力(適合例)'!$P$142*'2-3.設備仕様入力(適合例)'!$P$147*計算式!$C$10/1000*VLOOKUP('2-3.設備仕様入力(適合例)'!$P$144,計算式!$N$16:$P$26,2,FALSE),1),""),"")</f>
        <v/>
      </c>
      <c r="W68" s="41" t="str">
        <f>IF('2-3.設備仕様入力(適合例)'!$P$141="ガスヒートポンプ式空調機",IF('2-3.設備仕様入力(適合例)'!$P$149="ｍ3N/h",ROUND('2-3.設備仕様入力(適合例)'!$P$142*'2-3.設備仕様入力(適合例)'!$P$148*計算式!$C$10/1000*VLOOKUP('2-3.設備仕様入力(適合例)'!$P$144,計算式!$N$16:$P$26,3,FALSE),1),""),"")</f>
        <v/>
      </c>
      <c r="X68" s="41" t="str">
        <f t="shared" si="6"/>
        <v/>
      </c>
      <c r="Y68" s="41" t="str">
        <f>IF('2-3.設備仕様入力(適合例)'!$P$141="ガスヒートポンプ式空調機",IF('2-3.設備仕様入力(適合例)'!$P$143="LPG",IF('2-3.設備仕様入力(適合例)'!$P$149="kW",ROUND('2-3.設備仕様入力(適合例)'!$P$142*'2-3.設備仕様入力(適合例)'!$P$147*3.6/1000*VLOOKUP('2-3.設備仕様入力(適合例)'!$P$144,計算式!$N$16:$P$26,2,FALSE),1),""),""),"")</f>
        <v/>
      </c>
      <c r="Z68" s="41" t="str">
        <f>IF('2-3.設備仕様入力(適合例)'!$P$141="ガスヒートポンプ式空調機",IF('2-3.設備仕様入力(適合例)'!$P$143="LPG",IF('2-3.設備仕様入力(適合例)'!$P$149="kW",ROUND('2-3.設備仕様入力(適合例)'!$P$142*'2-3.設備仕様入力(適合例)'!$P$148*3.6/1000*VLOOKUP('2-3.設備仕様入力(適合例)'!$P$144,計算式!$N$16:$P$26,3,FALSE),1),""),""),"")</f>
        <v/>
      </c>
      <c r="AA68" s="41" t="str">
        <f t="shared" si="7"/>
        <v/>
      </c>
      <c r="AB68" s="41" t="str">
        <f>IF('2-3.設備仕様入力(適合例)'!$P$141="ガスヒートポンプ式空調機",IF('2-3.設備仕様入力(適合例)'!$P$143="LPG",IF('2-3.設備仕様入力(適合例)'!$P$149="kg/h",ROUND('2-3.設備仕様入力(適合例)'!$P$142*'2-3.設備仕様入力(適合例)'!$P$147*計算式!$C$11/1000*VLOOKUP('2-3.設備仕様入力(適合例)'!$P$144,計算式!$N$16:$P$26,2,FALSE),1),""),""),"")</f>
        <v/>
      </c>
      <c r="AC68" s="41" t="str">
        <f>IF('2-3.設備仕様入力(適合例)'!$P$141="ガスヒートポンプ式空調機",IF('2-3.設備仕様入力(適合例)'!$P$143="LPG",IF('2-3.設備仕様入力(適合例)'!$P$149="kg/h",ROUND('2-3.設備仕様入力(適合例)'!$P$142*'2-3.設備仕様入力(適合例)'!$P$148*計算式!$C$11/1000*VLOOKUP('2-3.設備仕様入力(適合例)'!$P$144,計算式!$N$16:$P$26,3,FALSE),1),""),""),"")</f>
        <v/>
      </c>
      <c r="AD68" s="41" t="str">
        <f t="shared" si="8"/>
        <v/>
      </c>
    </row>
    <row r="69" spans="14:30" ht="19.2" x14ac:dyDescent="0.55000000000000004">
      <c r="N69" s="80" t="s">
        <v>374</v>
      </c>
      <c r="O69" s="34" t="str">
        <f>IF(AND('2-3.設備仕様入力(適合例)'!Q$143="電気",'2-3.設備仕様入力(適合例)'!Q$149="kW"),1,IF(AND('2-3.設備仕様入力(適合例)'!Q$143="都市ガス",'2-3.設備仕様入力(適合例)'!Q$149="kW"),2,IF(AND('2-3.設備仕様入力(適合例)'!Q$143="都市ガス",'2-3.設備仕様入力(適合例)'!Q$149="ｍ3N/h"),3,IF(AND('2-3.設備仕様入力(適合例)'!Q$143="LPG",'2-3.設備仕様入力(適合例)'!Q$149="kW"),4,IF(AND('2-3.設備仕様入力(適合例)'!Q$143="LPG",'2-3.設備仕様入力(適合例)'!Q$149="kg/h"),5,"")))))</f>
        <v/>
      </c>
      <c r="P69" s="41" t="str">
        <f>IF(OR('2-3.設備仕様入力(適合例)'!$Q$141="電気式パッケージ形空調機",'2-3.設備仕様入力(適合例)'!$Q$141="ルームエアコン"),ROUND('2-3.設備仕様入力(適合例)'!$Q$147*'2-3.設備仕様入力(適合例)'!$Q$142*計算式!$C$3*VLOOKUP('2-3.設備仕様入力(適合例)'!$Q$144,計算式!$N$16:$P$26,2,FALSE)/1000,1),"")</f>
        <v/>
      </c>
      <c r="Q69" s="41" t="str">
        <f>IF(OR('2-3.設備仕様入力(適合例)'!$Q$141="電気式パッケージ形空調機",'2-3.設備仕様入力(適合例)'!$Q$141="ルームエアコン"),ROUND('2-3.設備仕様入力(適合例)'!$Q$148*'2-3.設備仕様入力(適合例)'!$Q$142*計算式!$C$3*VLOOKUP('2-3.設備仕様入力(適合例)'!$Q$144,計算式!$N$16:$P$26,3,FALSE)/1000,1),"")</f>
        <v/>
      </c>
      <c r="R69" s="41" t="str">
        <f t="shared" si="9"/>
        <v/>
      </c>
      <c r="S69" s="41" t="str">
        <f>IF('2-3.設備仕様入力(適合例)'!$Q$141="ガスヒートポンプ式空調機",IF('2-3.設備仕様入力(適合例)'!$Q$143="都市ガス",IF('2-3.設備仕様入力(適合例)'!$Q$149="kW",ROUND('2-3.設備仕様入力(適合例)'!$Q$142*'2-3.設備仕様入力(適合例)'!$Q$147*3.6/1000*VLOOKUP('2-3.設備仕様入力(適合例)'!$Q$144,計算式!$N$16:$P$26,2,FALSE),1),""),""),"")</f>
        <v/>
      </c>
      <c r="T69" s="41" t="str">
        <f>IF('2-3.設備仕様入力(適合例)'!$Q$141="ガスヒートポンプ式空調機",IF('2-3.設備仕様入力(適合例)'!$Q$143="都市ガス",IF('2-3.設備仕様入力(適合例)'!$Q$149="kW",ROUND('2-3.設備仕様入力(適合例)'!$Q$142*'2-3.設備仕様入力(適合例)'!$Q$148*3.6/1000*VLOOKUP('2-3.設備仕様入力(適合例)'!$Q$144,計算式!$N$16:$P$26,3,FALSE),1),""),""),"")</f>
        <v/>
      </c>
      <c r="U69" s="41" t="str">
        <f t="shared" si="5"/>
        <v/>
      </c>
      <c r="V69" s="41" t="str">
        <f>IF('2-3.設備仕様入力(適合例)'!$Q$141="ガスヒートポンプ式空調機",IF('2-3.設備仕様入力(適合例)'!$Q$149="ｍ3N/h",ROUND('2-3.設備仕様入力(適合例)'!$Q$142*'2-3.設備仕様入力(適合例)'!$Q$147*計算式!$C$10/1000*VLOOKUP('2-3.設備仕様入力(適合例)'!$Q$144,計算式!$N$16:$P$26,2,FALSE),1),""),"")</f>
        <v/>
      </c>
      <c r="W69" s="41" t="str">
        <f>IF('2-3.設備仕様入力(適合例)'!$Q$141="ガスヒートポンプ式空調機",IF('2-3.設備仕様入力(適合例)'!$Q$149="ｍ3N/h",ROUND('2-3.設備仕様入力(適合例)'!$Q$142*'2-3.設備仕様入力(適合例)'!$Q$148*計算式!$C$10/1000*VLOOKUP('2-3.設備仕様入力(適合例)'!$Q$144,計算式!$N$16:$P$26,3,FALSE),1),""),"")</f>
        <v/>
      </c>
      <c r="X69" s="41" t="str">
        <f t="shared" si="6"/>
        <v/>
      </c>
      <c r="Y69" s="41" t="str">
        <f>IF('2-3.設備仕様入力(適合例)'!$Q$141="ガスヒートポンプ式空調機",IF('2-3.設備仕様入力(適合例)'!$Q$143="LPG",IF('2-3.設備仕様入力(適合例)'!$Q$149="kW",ROUND('2-3.設備仕様入力(適合例)'!$Q$142*'2-3.設備仕様入力(適合例)'!$Q$147*3.6/1000*VLOOKUP('2-3.設備仕様入力(適合例)'!$Q$144,計算式!$N$16:$P$26,2,FALSE),1),""),""),"")</f>
        <v/>
      </c>
      <c r="Z69" s="41" t="str">
        <f>IF('2-3.設備仕様入力(適合例)'!$Q$141="ガスヒートポンプ式空調機",IF('2-3.設備仕様入力(適合例)'!$Q$143="LPG",IF('2-3.設備仕様入力(適合例)'!$Q$149="kW",ROUND('2-3.設備仕様入力(適合例)'!$Q$142*'2-3.設備仕様入力(適合例)'!$Q$148*3.6/1000*VLOOKUP('2-3.設備仕様入力(適合例)'!$Q$144,計算式!$N$16:$P$26,3,FALSE),1),""),""),"")</f>
        <v/>
      </c>
      <c r="AA69" s="41" t="str">
        <f t="shared" si="7"/>
        <v/>
      </c>
      <c r="AB69" s="41" t="str">
        <f>IF('2-3.設備仕様入力(適合例)'!$Q$141="ガスヒートポンプ式空調機",IF('2-3.設備仕様入力(適合例)'!$Q$143="LPG",IF('2-3.設備仕様入力(適合例)'!$Q$149="kg/h",ROUND('2-3.設備仕様入力(適合例)'!$Q$142*'2-3.設備仕様入力(適合例)'!$Q$147*計算式!$C$11/1000*VLOOKUP('2-3.設備仕様入力(適合例)'!$Q$144,計算式!$N$16:$P$26,2,FALSE),1),""),""),"")</f>
        <v/>
      </c>
      <c r="AC69" s="41" t="str">
        <f>IF('2-3.設備仕様入力(適合例)'!$Q$141="ガスヒートポンプ式空調機",IF('2-3.設備仕様入力(適合例)'!$Q$143="LPG",IF('2-3.設備仕様入力(適合例)'!$Q$149="kg/h",ROUND('2-3.設備仕様入力(適合例)'!$Q$142*'2-3.設備仕様入力(適合例)'!$Q$148*計算式!$C$11/1000*VLOOKUP('2-3.設備仕様入力(適合例)'!$Q$144,計算式!$N$16:$P$26,3,FALSE),1),""),""),"")</f>
        <v/>
      </c>
      <c r="AD69" s="41" t="str">
        <f t="shared" si="8"/>
        <v/>
      </c>
    </row>
    <row r="70" spans="14:30" ht="19.2" x14ac:dyDescent="0.55000000000000004">
      <c r="N70" s="80" t="s">
        <v>375</v>
      </c>
      <c r="O70" s="34" t="str">
        <f>IF(AND('2-3.設備仕様入力(適合例)'!R$143="電気",'2-3.設備仕様入力(適合例)'!R$149="kW"),1,IF(AND('2-3.設備仕様入力(適合例)'!R$143="都市ガス",'2-3.設備仕様入力(適合例)'!R$149="kW"),2,IF(AND('2-3.設備仕様入力(適合例)'!R$143="都市ガス",'2-3.設備仕様入力(適合例)'!R$149="ｍ3N/h"),3,IF(AND('2-3.設備仕様入力(適合例)'!R$143="LPG",'2-3.設備仕様入力(適合例)'!R$149="kW"),4,IF(AND('2-3.設備仕様入力(適合例)'!R$143="LPG",'2-3.設備仕様入力(適合例)'!R$149="kg/h"),5,"")))))</f>
        <v/>
      </c>
      <c r="P70" s="41" t="str">
        <f>IF(OR('2-3.設備仕様入力(適合例)'!$R$141="電気式パッケージ形空調機",'2-3.設備仕様入力(適合例)'!$R$141="ルームエアコン"),ROUND('2-3.設備仕様入力(適合例)'!$R$147*'2-3.設備仕様入力(適合例)'!$R$142*計算式!$C$3*VLOOKUP('2-3.設備仕様入力(適合例)'!$R$144,計算式!$N$16:$P$26,2,FALSE)/1000,1),"")</f>
        <v/>
      </c>
      <c r="Q70" s="41" t="str">
        <f>IF(OR('2-3.設備仕様入力(適合例)'!$R$141="電気式パッケージ形空調機",'2-3.設備仕様入力(適合例)'!$R$141="ルームエアコン"),ROUND('2-3.設備仕様入力(適合例)'!$R$148*'2-3.設備仕様入力(適合例)'!$R$142*計算式!$C$3*VLOOKUP('2-3.設備仕様入力(適合例)'!$R$144,計算式!$N$16:$P$26,3,FALSE)/1000,1),"")</f>
        <v/>
      </c>
      <c r="R70" s="41" t="str">
        <f t="shared" si="9"/>
        <v/>
      </c>
      <c r="S70" s="41" t="str">
        <f>IF('2-3.設備仕様入力(適合例)'!$R$141="ガスヒートポンプ式空調機",IF('2-3.設備仕様入力(適合例)'!$R$143="都市ガス",IF('2-3.設備仕様入力(適合例)'!$R$149="kW",ROUND('2-3.設備仕様入力(適合例)'!$R$142*'2-3.設備仕様入力(適合例)'!$R$147*3.6/1000*VLOOKUP('2-3.設備仕様入力(適合例)'!$R$144,計算式!$N$16:$P$26,2,FALSE),1),""),""),"")</f>
        <v/>
      </c>
      <c r="T70" s="41" t="str">
        <f>IF('2-3.設備仕様入力(適合例)'!$R$141="ガスヒートポンプ式空調機",IF('2-3.設備仕様入力(適合例)'!$R$143="都市ガス",IF('2-3.設備仕様入力(適合例)'!$R$149="kW",ROUND('2-3.設備仕様入力(適合例)'!$R$142*'2-3.設備仕様入力(適合例)'!$R$148*3.6/1000*VLOOKUP('2-3.設備仕様入力(適合例)'!$R$144,計算式!$N$16:$P$26,3,FALSE),1),""),""),"")</f>
        <v/>
      </c>
      <c r="U70" s="41" t="str">
        <f t="shared" si="5"/>
        <v/>
      </c>
      <c r="V70" s="41" t="str">
        <f>IF('2-3.設備仕様入力(適合例)'!$R$141="ガスヒートポンプ式空調機",IF('2-3.設備仕様入力(適合例)'!$R$149="ｍ3N/h",ROUND('2-3.設備仕様入力(適合例)'!$R$142*'2-3.設備仕様入力(適合例)'!$R$147*計算式!$C$10/1000*VLOOKUP('2-3.設備仕様入力(適合例)'!$R$144,計算式!$N$16:$P$26,2,FALSE),1),""),"")</f>
        <v/>
      </c>
      <c r="W70" s="41" t="str">
        <f>IF('2-3.設備仕様入力(適合例)'!$R$141="ガスヒートポンプ式空調機",IF('2-3.設備仕様入力(適合例)'!$R$149="ｍ3N/h",ROUND('2-3.設備仕様入力(適合例)'!$R$142*'2-3.設備仕様入力(適合例)'!$R$148*計算式!$C$10/1000*VLOOKUP('2-3.設備仕様入力(適合例)'!$R$144,計算式!$N$16:$P$26,3,FALSE),1),""),"")</f>
        <v/>
      </c>
      <c r="X70" s="41" t="str">
        <f t="shared" si="6"/>
        <v/>
      </c>
      <c r="Y70" s="41" t="str">
        <f>IF('2-3.設備仕様入力(適合例)'!$R$141="ガスヒートポンプ式空調機",IF('2-3.設備仕様入力(適合例)'!$R$143="LPG",IF('2-3.設備仕様入力(適合例)'!$R$149="kW",ROUND('2-3.設備仕様入力(適合例)'!$R$142*'2-3.設備仕様入力(適合例)'!$R$147*3.6/1000*VLOOKUP('2-3.設備仕様入力(適合例)'!$R$144,計算式!$N$16:$P$26,2,FALSE),1),""),""),"")</f>
        <v/>
      </c>
      <c r="Z70" s="41" t="str">
        <f>IF('2-3.設備仕様入力(適合例)'!$R$141="ガスヒートポンプ式空調機",IF('2-3.設備仕様入力(適合例)'!$R$143="LPG",IF('2-3.設備仕様入力(適合例)'!$R$149="kW",ROUND('2-3.設備仕様入力(適合例)'!$R$142*'2-3.設備仕様入力(適合例)'!$R$148*3.6/1000*VLOOKUP('2-3.設備仕様入力(適合例)'!$R$144,計算式!$N$16:$P$26,3,FALSE),1),""),""),"")</f>
        <v/>
      </c>
      <c r="AA70" s="41" t="str">
        <f t="shared" si="7"/>
        <v/>
      </c>
      <c r="AB70" s="41" t="str">
        <f>IF('2-3.設備仕様入力(適合例)'!$R$141="ガスヒートポンプ式空調機",IF('2-3.設備仕様入力(適合例)'!$R$143="LPG",IF('2-3.設備仕様入力(適合例)'!$R$149="kg/h",ROUND('2-3.設備仕様入力(適合例)'!$R$142*'2-3.設備仕様入力(適合例)'!$R$147*計算式!$C$11/1000*VLOOKUP('2-3.設備仕様入力(適合例)'!$R$144,計算式!$N$16:$P$26,2,FALSE),1),""),""),"")</f>
        <v/>
      </c>
      <c r="AC70" s="41" t="str">
        <f>IF('2-3.設備仕様入力(適合例)'!$R$141="ガスヒートポンプ式空調機",IF('2-3.設備仕様入力(適合例)'!$R$143="LPG",IF('2-3.設備仕様入力(適合例)'!$R$149="kg/h",ROUND('2-3.設備仕様入力(適合例)'!$R$142*'2-3.設備仕様入力(適合例)'!$R$148*計算式!$C$11/1000*VLOOKUP('2-3.設備仕様入力(適合例)'!$R$144,計算式!$N$16:$P$26,3,FALSE),1),""),""),"")</f>
        <v/>
      </c>
      <c r="AD70" s="41" t="str">
        <f t="shared" si="8"/>
        <v/>
      </c>
    </row>
    <row r="71" spans="14:30" ht="19.2" x14ac:dyDescent="0.55000000000000004">
      <c r="N71" s="80" t="s">
        <v>376</v>
      </c>
      <c r="O71" s="34" t="str">
        <f>IF(AND('2-3.設備仕様入力(適合例)'!S$143="電気",'2-3.設備仕様入力(適合例)'!S$149="kW"),1,IF(AND('2-3.設備仕様入力(適合例)'!S$143="都市ガス",'2-3.設備仕様入力(適合例)'!S$149="kW"),2,IF(AND('2-3.設備仕様入力(適合例)'!S$143="都市ガス",'2-3.設備仕様入力(適合例)'!S$149="ｍ3N/h"),3,IF(AND('2-3.設備仕様入力(適合例)'!S$143="LPG",'2-3.設備仕様入力(適合例)'!S$149="kW"),4,IF(AND('2-3.設備仕様入力(適合例)'!S$143="LPG",'2-3.設備仕様入力(適合例)'!S$149="kg/h"),5,"")))))</f>
        <v/>
      </c>
      <c r="P71" s="41" t="str">
        <f>IF(OR('2-3.設備仕様入力(適合例)'!$S$141="電気式パッケージ形空調機",'2-3.設備仕様入力(適合例)'!$S$141="ルームエアコン"),ROUND('2-3.設備仕様入力(適合例)'!$S$147*'2-3.設備仕様入力(適合例)'!$S$142*計算式!$C$3*VLOOKUP('2-3.設備仕様入力(適合例)'!$S$144,計算式!$N$16:$P$26,2,FALSE)/1000,1),"")</f>
        <v/>
      </c>
      <c r="Q71" s="41" t="str">
        <f>IF(OR('2-3.設備仕様入力(適合例)'!$S$141="電気式パッケージ形空調機",'2-3.設備仕様入力(適合例)'!$S$141="ルームエアコン"),ROUND('2-3.設備仕様入力(適合例)'!$S$148*'2-3.設備仕様入力(適合例)'!$S$142*計算式!$C$3*VLOOKUP('2-3.設備仕様入力(適合例)'!$S$144,計算式!$N$16:$P$26,3,FALSE)/1000,1),"")</f>
        <v/>
      </c>
      <c r="R71" s="41" t="str">
        <f t="shared" si="9"/>
        <v/>
      </c>
      <c r="S71" s="41" t="str">
        <f>IF('2-3.設備仕様入力(適合例)'!$S$141="ガスヒートポンプ式空調機",IF('2-3.設備仕様入力(適合例)'!$S$143="都市ガス",IF('2-3.設備仕様入力(適合例)'!$S$149="kW",ROUND('2-3.設備仕様入力(適合例)'!$S$142*'2-3.設備仕様入力(適合例)'!$S$147*3.6/1000*VLOOKUP('2-3.設備仕様入力(適合例)'!$S$144,計算式!$N$16:$P$26,2,FALSE),1),""),""),"")</f>
        <v/>
      </c>
      <c r="T71" s="41" t="str">
        <f>IF('2-3.設備仕様入力(適合例)'!$S$141="ガスヒートポンプ式空調機",IF('2-3.設備仕様入力(適合例)'!$S$143="都市ガス",IF('2-3.設備仕様入力(適合例)'!$S$149="kW",ROUND('2-3.設備仕様入力(適合例)'!$S$142*'2-3.設備仕様入力(適合例)'!$S$148*3.6/1000*VLOOKUP('2-3.設備仕様入力(適合例)'!$S$144,計算式!$N$16:$P$26,3,FALSE),1),""),""),"")</f>
        <v/>
      </c>
      <c r="U71" s="41" t="str">
        <f t="shared" si="5"/>
        <v/>
      </c>
      <c r="V71" s="41" t="str">
        <f>IF('2-3.設備仕様入力(適合例)'!$S$141="ガスヒートポンプ式空調機",IF('2-3.設備仕様入力(適合例)'!$S$149="ｍ3N/h",ROUND('2-3.設備仕様入力(適合例)'!$S$142*'2-3.設備仕様入力(適合例)'!$S$147*計算式!$C$10/1000*VLOOKUP('2-3.設備仕様入力(適合例)'!$S$144,計算式!$N$16:$P$26,2,FALSE),1),""),"")</f>
        <v/>
      </c>
      <c r="W71" s="41" t="str">
        <f>IF('2-3.設備仕様入力(適合例)'!$S$141="ガスヒートポンプ式空調機",IF('2-3.設備仕様入力(適合例)'!$S$149="ｍ3N/h",ROUND('2-3.設備仕様入力(適合例)'!$S$142*'2-3.設備仕様入力(適合例)'!$S$148*計算式!$C$10/1000*VLOOKUP('2-3.設備仕様入力(適合例)'!$S$144,計算式!$N$16:$P$26,3,FALSE),1),""),"")</f>
        <v/>
      </c>
      <c r="X71" s="41" t="str">
        <f t="shared" si="6"/>
        <v/>
      </c>
      <c r="Y71" s="41" t="str">
        <f>IF('2-3.設備仕様入力(適合例)'!$S$141="ガスヒートポンプ式空調機",IF('2-3.設備仕様入力(適合例)'!$S$143="LPG",IF('2-3.設備仕様入力(適合例)'!$S$149="kW",ROUND('2-3.設備仕様入力(適合例)'!$S$142*'2-3.設備仕様入力(適合例)'!$S$147*3.6/1000*VLOOKUP('2-3.設備仕様入力(適合例)'!$S$144,計算式!$N$16:$P$26,2,FALSE),1),""),""),"")</f>
        <v/>
      </c>
      <c r="Z71" s="41" t="str">
        <f>IF('2-3.設備仕様入力(適合例)'!$S$141="ガスヒートポンプ式空調機",IF('2-3.設備仕様入力(適合例)'!$S$143="LPG",IF('2-3.設備仕様入力(適合例)'!$S$149="kW",ROUND('2-3.設備仕様入力(適合例)'!$S$142*'2-3.設備仕様入力(適合例)'!$S$148*3.6/1000*VLOOKUP('2-3.設備仕様入力(適合例)'!$S$144,計算式!$N$16:$P$26,3,FALSE),1),""),""),"")</f>
        <v/>
      </c>
      <c r="AA71" s="41" t="str">
        <f t="shared" si="7"/>
        <v/>
      </c>
      <c r="AB71" s="41" t="str">
        <f>IF('2-3.設備仕様入力(適合例)'!$S$141="ガスヒートポンプ式空調機",IF('2-3.設備仕様入力(適合例)'!$S$143="LPG",IF('2-3.設備仕様入力(適合例)'!$S$149="kg/h",ROUND('2-3.設備仕様入力(適合例)'!$S$142*'2-3.設備仕様入力(適合例)'!$S$147*計算式!$C$11/1000*VLOOKUP('2-3.設備仕様入力(適合例)'!$S$144,計算式!$N$16:$P$26,2,FALSE),1),""),""),"")</f>
        <v/>
      </c>
      <c r="AC71" s="41" t="str">
        <f>IF('2-3.設備仕様入力(適合例)'!$S$141="ガスヒートポンプ式空調機",IF('2-3.設備仕様入力(適合例)'!$S$143="LPG",IF('2-3.設備仕様入力(適合例)'!$S$149="kg/h",ROUND('2-3.設備仕様入力(適合例)'!$S$142*'2-3.設備仕様入力(適合例)'!$S$148*計算式!$C$11/1000*VLOOKUP('2-3.設備仕様入力(適合例)'!$S$144,計算式!$N$16:$P$26,3,FALSE),1),""),""),"")</f>
        <v/>
      </c>
      <c r="AD71" s="41" t="str">
        <f t="shared" si="8"/>
        <v/>
      </c>
    </row>
    <row r="72" spans="14:30" ht="19.2" x14ac:dyDescent="0.55000000000000004">
      <c r="N72" s="80" t="s">
        <v>377</v>
      </c>
      <c r="O72" s="34" t="str">
        <f>IF(AND('2-3.設備仕様入力(適合例)'!T$143="電気",'2-3.設備仕様入力(適合例)'!T$149="kW"),1,IF(AND('2-3.設備仕様入力(適合例)'!T$143="都市ガス",'2-3.設備仕様入力(適合例)'!T$149="kW"),2,IF(AND('2-3.設備仕様入力(適合例)'!T$143="都市ガス",'2-3.設備仕様入力(適合例)'!T$149="ｍ3N/h"),3,IF(AND('2-3.設備仕様入力(適合例)'!T$143="LPG",'2-3.設備仕様入力(適合例)'!T$149="kW"),4,IF(AND('2-3.設備仕様入力(適合例)'!T$143="LPG",'2-3.設備仕様入力(適合例)'!T$149="kg/h"),5,"")))))</f>
        <v/>
      </c>
      <c r="P72" s="41" t="str">
        <f>IF(OR('2-3.設備仕様入力(適合例)'!$T$141="電気式パッケージ形空調機",'2-3.設備仕様入力(適合例)'!$T$141="ルームエアコン"),ROUND('2-3.設備仕様入力(適合例)'!$T$147*'2-3.設備仕様入力(適合例)'!$T$142*計算式!$C$3*VLOOKUP('2-3.設備仕様入力(適合例)'!$T$144,計算式!$N$16:$P$26,2,FALSE)/1000,1),"")</f>
        <v/>
      </c>
      <c r="Q72" s="41" t="str">
        <f>IF(OR('2-3.設備仕様入力(適合例)'!$T$141="電気式パッケージ形空調機",'2-3.設備仕様入力(適合例)'!$T$141="ルームエアコン"),ROUND('2-3.設備仕様入力(適合例)'!$T$148*'2-3.設備仕様入力(適合例)'!$T$142*計算式!$C$3*VLOOKUP('2-3.設備仕様入力(適合例)'!$T$144,計算式!$N$16:$P$26,3,FALSE)/1000,1),"")</f>
        <v/>
      </c>
      <c r="R72" s="41" t="str">
        <f t="shared" si="9"/>
        <v/>
      </c>
      <c r="S72" s="41" t="str">
        <f>IF('2-3.設備仕様入力(適合例)'!$T$141="ガスヒートポンプ式空調機",IF('2-3.設備仕様入力(適合例)'!$T$143="都市ガス",IF('2-3.設備仕様入力(適合例)'!$T$149="kW",ROUND('2-3.設備仕様入力(適合例)'!$T$142*'2-3.設備仕様入力(適合例)'!$T$147*3.6/1000*VLOOKUP('2-3.設備仕様入力(適合例)'!$T$144,計算式!$N$16:$P$26,2,FALSE),1),""),""),"")</f>
        <v/>
      </c>
      <c r="T72" s="41" t="str">
        <f>IF('2-3.設備仕様入力(適合例)'!$T$141="ガスヒートポンプ式空調機",IF('2-3.設備仕様入力(適合例)'!$T$143="都市ガス",IF('2-3.設備仕様入力(適合例)'!$T$149="kW",ROUND('2-3.設備仕様入力(適合例)'!$T$142*'2-3.設備仕様入力(適合例)'!$T$148*3.6/1000*VLOOKUP('2-3.設備仕様入力(適合例)'!$T$144,計算式!$N$16:$P$26,3,FALSE),1),""),""),"")</f>
        <v/>
      </c>
      <c r="U72" s="41" t="str">
        <f t="shared" si="5"/>
        <v/>
      </c>
      <c r="V72" s="41" t="str">
        <f>IF('2-3.設備仕様入力(適合例)'!$T$141="ガスヒートポンプ式空調機",IF('2-3.設備仕様入力(適合例)'!$T$149="ｍ3N/h",ROUND('2-3.設備仕様入力(適合例)'!$T$142*'2-3.設備仕様入力(適合例)'!$T$147*計算式!$C$10/1000*VLOOKUP('2-3.設備仕様入力(適合例)'!$T$144,計算式!$N$16:$P$26,2,FALSE),1),""),"")</f>
        <v/>
      </c>
      <c r="W72" s="41" t="str">
        <f>IF('2-3.設備仕様入力(適合例)'!$T$141="ガスヒートポンプ式空調機",IF('2-3.設備仕様入力(適合例)'!$T$149="ｍ3N/h",ROUND('2-3.設備仕様入力(適合例)'!$T$142*'2-3.設備仕様入力(適合例)'!$T$148*計算式!$C$10/1000*VLOOKUP('2-3.設備仕様入力(適合例)'!$T$144,計算式!$N$16:$P$26,3,FALSE),1),""),"")</f>
        <v/>
      </c>
      <c r="X72" s="41" t="str">
        <f t="shared" si="6"/>
        <v/>
      </c>
      <c r="Y72" s="41" t="str">
        <f>IF('2-3.設備仕様入力(適合例)'!$T$141="ガスヒートポンプ式空調機",IF('2-3.設備仕様入力(適合例)'!$T$143="LPG",IF('2-3.設備仕様入力(適合例)'!$T$149="kW",ROUND('2-3.設備仕様入力(適合例)'!$T$142*'2-3.設備仕様入力(適合例)'!$T$147*3.6/1000*VLOOKUP('2-3.設備仕様入力(適合例)'!$T$144,計算式!$N$16:$P$26,2,FALSE),1),""),""),"")</f>
        <v/>
      </c>
      <c r="Z72" s="41" t="str">
        <f>IF('2-3.設備仕様入力(適合例)'!$T$141="ガスヒートポンプ式空調機",IF('2-3.設備仕様入力(適合例)'!$T$143="LPG",IF('2-3.設備仕様入力(適合例)'!$T$149="kW",ROUND('2-3.設備仕様入力(適合例)'!$T$142*'2-3.設備仕様入力(適合例)'!$T$148*3.6/1000*VLOOKUP('2-3.設備仕様入力(適合例)'!$T$144,計算式!$N$16:$P$26,3,FALSE),1),""),""),"")</f>
        <v/>
      </c>
      <c r="AA72" s="41" t="str">
        <f t="shared" si="7"/>
        <v/>
      </c>
      <c r="AB72" s="41" t="str">
        <f>IF('2-3.設備仕様入力(適合例)'!$T$141="ガスヒートポンプ式空調機",IF('2-3.設備仕様入力(適合例)'!$T$143="LPG",IF('2-3.設備仕様入力(適合例)'!$T$149="kg/h",ROUND('2-3.設備仕様入力(適合例)'!$T$142*'2-3.設備仕様入力(適合例)'!$T$147*計算式!$C$11/1000*VLOOKUP('2-3.設備仕様入力(適合例)'!$T$144,計算式!$N$16:$P$26,2,FALSE),1),""),""),"")</f>
        <v/>
      </c>
      <c r="AC72" s="41" t="str">
        <f>IF('2-3.設備仕様入力(適合例)'!$T$141="ガスヒートポンプ式空調機",IF('2-3.設備仕様入力(適合例)'!$T$143="LPG",IF('2-3.設備仕様入力(適合例)'!$T$149="kg/h",ROUND('2-3.設備仕様入力(適合例)'!$T$142*'2-3.設備仕様入力(適合例)'!$T$148*計算式!$C$11/1000*VLOOKUP('2-3.設備仕様入力(適合例)'!$T$144,計算式!$N$16:$P$26,3,FALSE),1),""),""),"")</f>
        <v/>
      </c>
      <c r="AD72" s="41" t="str">
        <f t="shared" si="8"/>
        <v/>
      </c>
    </row>
    <row r="73" spans="14:30" ht="19.2" x14ac:dyDescent="0.55000000000000004">
      <c r="N73" s="80" t="s">
        <v>378</v>
      </c>
      <c r="O73" s="34" t="str">
        <f>IF(AND('2-3.設備仕様入力(適合例)'!U$143="電気",'2-3.設備仕様入力(適合例)'!U$149="kW"),1,IF(AND('2-3.設備仕様入力(適合例)'!U$143="都市ガス",'2-3.設備仕様入力(適合例)'!U$149="kW"),2,IF(AND('2-3.設備仕様入力(適合例)'!U$143="都市ガス",'2-3.設備仕様入力(適合例)'!U$149="ｍ3N/h"),3,IF(AND('2-3.設備仕様入力(適合例)'!U$143="LPG",'2-3.設備仕様入力(適合例)'!U$149="kW"),4,IF(AND('2-3.設備仕様入力(適合例)'!U$143="LPG",'2-3.設備仕様入力(適合例)'!U$149="kg/h"),5,"")))))</f>
        <v/>
      </c>
      <c r="P73" s="41" t="str">
        <f>IF(OR('2-3.設備仕様入力(適合例)'!$U$141="電気式パッケージ形空調機",'2-3.設備仕様入力(適合例)'!$U$141="ルームエアコン"),ROUND('2-3.設備仕様入力(適合例)'!$U$147*'2-3.設備仕様入力(適合例)'!$U$142*計算式!$C$3*VLOOKUP('2-3.設備仕様入力(適合例)'!$U$144,計算式!$N$16:$P$26,2,FALSE)/1000,1),"")</f>
        <v/>
      </c>
      <c r="Q73" s="41" t="str">
        <f>IF(OR('2-3.設備仕様入力(適合例)'!$U$141="電気式パッケージ形空調機",'2-3.設備仕様入力(適合例)'!$U$141="ルームエアコン"),ROUND('2-3.設備仕様入力(適合例)'!$U$148*'2-3.設備仕様入力(適合例)'!$U$142*計算式!$C$3*VLOOKUP('2-3.設備仕様入力(適合例)'!$U$144,計算式!$N$16:$P$26,3,FALSE)/1000,1),"")</f>
        <v/>
      </c>
      <c r="R73" s="41" t="str">
        <f t="shared" si="9"/>
        <v/>
      </c>
      <c r="S73" s="41" t="str">
        <f>IF('2-3.設備仕様入力(適合例)'!$U$141="ガスヒートポンプ式空調機",IF('2-3.設備仕様入力(適合例)'!$U$143="都市ガス",IF('2-3.設備仕様入力(適合例)'!$U$149="kW",ROUND('2-3.設備仕様入力(適合例)'!$U$142*'2-3.設備仕様入力(適合例)'!$U$147*3.6/1000*VLOOKUP('2-3.設備仕様入力(適合例)'!$U$144,計算式!$N$16:$P$26,2,FALSE),1),""),""),"")</f>
        <v/>
      </c>
      <c r="T73" s="41" t="str">
        <f>IF('2-3.設備仕様入力(適合例)'!$U$141="ガスヒートポンプ式空調機",IF('2-3.設備仕様入力(適合例)'!$U$143="都市ガス",IF('2-3.設備仕様入力(適合例)'!$U$149="kW",ROUND('2-3.設備仕様入力(適合例)'!$U$142*'2-3.設備仕様入力(適合例)'!$U$148*3.6/1000*VLOOKUP('2-3.設備仕様入力(適合例)'!$U$144,計算式!$N$16:$P$26,3,FALSE),1),""),""),"")</f>
        <v/>
      </c>
      <c r="U73" s="41" t="str">
        <f t="shared" si="5"/>
        <v/>
      </c>
      <c r="V73" s="41" t="str">
        <f>IF('2-3.設備仕様入力(適合例)'!$U$141="ガスヒートポンプ式空調機",IF('2-3.設備仕様入力(適合例)'!$U$149="ｍ3N/h",ROUND('2-3.設備仕様入力(適合例)'!$U$142*'2-3.設備仕様入力(適合例)'!$U$147*計算式!$C$10/1000*VLOOKUP('2-3.設備仕様入力(適合例)'!$U$144,計算式!$N$16:$P$26,2,FALSE),1),""),"")</f>
        <v/>
      </c>
      <c r="W73" s="41" t="str">
        <f>IF('2-3.設備仕様入力(適合例)'!$U$141="ガスヒートポンプ式空調機",IF('2-3.設備仕様入力(適合例)'!$U$149="ｍ3N/h",ROUND('2-3.設備仕様入力(適合例)'!$U$142*'2-3.設備仕様入力(適合例)'!$U$148*計算式!$C$10/1000*VLOOKUP('2-3.設備仕様入力(適合例)'!$U$144,計算式!$N$16:$P$26,3,FALSE),1),""),"")</f>
        <v/>
      </c>
      <c r="X73" s="41" t="str">
        <f t="shared" si="6"/>
        <v/>
      </c>
      <c r="Y73" s="41" t="str">
        <f>IF('2-3.設備仕様入力(適合例)'!$U$141="ガスヒートポンプ式空調機",IF('2-3.設備仕様入力(適合例)'!$U$143="LPG",IF('2-3.設備仕様入力(適合例)'!$U$149="kW",ROUND('2-3.設備仕様入力(適合例)'!$U$142*'2-3.設備仕様入力(適合例)'!$U$147*3.6/1000*VLOOKUP('2-3.設備仕様入力(適合例)'!$U$144,計算式!$N$16:$P$26,2,FALSE),1),""),""),"")</f>
        <v/>
      </c>
      <c r="Z73" s="41" t="str">
        <f>IF('2-3.設備仕様入力(適合例)'!$U$141="ガスヒートポンプ式空調機",IF('2-3.設備仕様入力(適合例)'!$U$143="LPG",IF('2-3.設備仕様入力(適合例)'!$U$149="kW",ROUND('2-3.設備仕様入力(適合例)'!$U$142*'2-3.設備仕様入力(適合例)'!$U$148*3.6/1000*VLOOKUP('2-3.設備仕様入力(適合例)'!$U$144,計算式!$N$16:$P$26,3,FALSE),1),""),""),"")</f>
        <v/>
      </c>
      <c r="AA73" s="41" t="str">
        <f t="shared" si="7"/>
        <v/>
      </c>
      <c r="AB73" s="41" t="str">
        <f>IF('2-3.設備仕様入力(適合例)'!$U$141="ガスヒートポンプ式空調機",IF('2-3.設備仕様入力(適合例)'!$U$143="LPG",IF('2-3.設備仕様入力(適合例)'!$U$149="kg/h",ROUND('2-3.設備仕様入力(適合例)'!$U$142*'2-3.設備仕様入力(適合例)'!$U$147*計算式!$C$11/1000*VLOOKUP('2-3.設備仕様入力(適合例)'!$U$144,計算式!$N$16:$P$26,2,FALSE),1),""),""),"")</f>
        <v/>
      </c>
      <c r="AC73" s="41" t="str">
        <f>IF('2-3.設備仕様入力(適合例)'!$U$141="ガスヒートポンプ式空調機",IF('2-3.設備仕様入力(適合例)'!$U$143="LPG",IF('2-3.設備仕様入力(適合例)'!$U$149="kg/h",ROUND('2-3.設備仕様入力(適合例)'!$U$142*'2-3.設備仕様入力(適合例)'!$U$148*計算式!$C$11/1000*VLOOKUP('2-3.設備仕様入力(適合例)'!$U$144,計算式!$N$16:$P$26,3,FALSE),1),""),""),"")</f>
        <v/>
      </c>
      <c r="AD73" s="41" t="str">
        <f t="shared" si="8"/>
        <v/>
      </c>
    </row>
    <row r="74" spans="14:30" ht="19.2" x14ac:dyDescent="0.55000000000000004">
      <c r="N74" s="80" t="s">
        <v>379</v>
      </c>
      <c r="O74" s="34" t="str">
        <f>IF(AND('2-3.設備仕様入力(適合例)'!V$143="電気",'2-3.設備仕様入力(適合例)'!V$149="kW"),1,IF(AND('2-3.設備仕様入力(適合例)'!V$143="都市ガス",'2-3.設備仕様入力(適合例)'!V$149="kW"),2,IF(AND('2-3.設備仕様入力(適合例)'!V$143="都市ガス",'2-3.設備仕様入力(適合例)'!V$149="ｍ3N/h"),3,IF(AND('2-3.設備仕様入力(適合例)'!V$143="LPG",'2-3.設備仕様入力(適合例)'!V$149="kW"),4,IF(AND('2-3.設備仕様入力(適合例)'!V$143="LPG",'2-3.設備仕様入力(適合例)'!V$149="kg/h"),5,"")))))</f>
        <v/>
      </c>
      <c r="P74" s="41" t="str">
        <f>IF(OR('2-3.設備仕様入力(適合例)'!$V$141="電気式パッケージ形空調機",'2-3.設備仕様入力(適合例)'!$V$141="ルームエアコン"),ROUND('2-3.設備仕様入力(適合例)'!$V$147*'2-3.設備仕様入力(適合例)'!$V$142*計算式!$C$3*VLOOKUP('2-3.設備仕様入力(適合例)'!$V$144,計算式!$N$16:$P$26,2,FALSE)/1000,1),"")</f>
        <v/>
      </c>
      <c r="Q74" s="41" t="str">
        <f>IF(OR('2-3.設備仕様入力(適合例)'!$V$141="電気式パッケージ形空調機",'2-3.設備仕様入力(適合例)'!$V$141="ルームエアコン"),ROUND('2-3.設備仕様入力(適合例)'!$V$148*'2-3.設備仕様入力(適合例)'!$V$142*計算式!$C$3*VLOOKUP('2-3.設備仕様入力(適合例)'!$V$144,計算式!$N$16:$P$26,3,FALSE)/1000,1),"")</f>
        <v/>
      </c>
      <c r="R74" s="41" t="str">
        <f t="shared" si="9"/>
        <v/>
      </c>
      <c r="S74" s="41" t="str">
        <f>IF('2-3.設備仕様入力(適合例)'!$V$141="ガスヒートポンプ式空調機",IF('2-3.設備仕様入力(適合例)'!$V$143="都市ガス",IF('2-3.設備仕様入力(適合例)'!$V$149="kW",ROUND('2-3.設備仕様入力(適合例)'!$V$142*'2-3.設備仕様入力(適合例)'!$V$147*3.6/1000*VLOOKUP('2-3.設備仕様入力(適合例)'!$V$144,計算式!$N$16:$P$26,2,FALSE),1),""),""),"")</f>
        <v/>
      </c>
      <c r="T74" s="41" t="str">
        <f>IF('2-3.設備仕様入力(適合例)'!$V$141="ガスヒートポンプ式空調機",IF('2-3.設備仕様入力(適合例)'!$V$143="都市ガス",IF('2-3.設備仕様入力(適合例)'!$V$149="kW",ROUND('2-3.設備仕様入力(適合例)'!$V$142*'2-3.設備仕様入力(適合例)'!$V$148*3.6/1000*VLOOKUP('2-3.設備仕様入力(適合例)'!$V$144,計算式!$N$16:$P$26,3,FALSE),1),""),""),"")</f>
        <v/>
      </c>
      <c r="U74" s="41" t="str">
        <f t="shared" si="5"/>
        <v/>
      </c>
      <c r="V74" s="41" t="str">
        <f>IF('2-3.設備仕様入力(適合例)'!$V$141="ガスヒートポンプ式空調機",IF('2-3.設備仕様入力(適合例)'!$V$149="ｍ3N/h",ROUND('2-3.設備仕様入力(適合例)'!$V$142*'2-3.設備仕様入力(適合例)'!$V$147*計算式!$C$10/1000*VLOOKUP('2-3.設備仕様入力(適合例)'!$V$144,計算式!$N$16:$P$26,2,FALSE),1),""),"")</f>
        <v/>
      </c>
      <c r="W74" s="41" t="str">
        <f>IF('2-3.設備仕様入力(適合例)'!$V$141="ガスヒートポンプ式空調機",IF('2-3.設備仕様入力(適合例)'!$V$149="ｍ3N/h",ROUND('2-3.設備仕様入力(適合例)'!$V$142*'2-3.設備仕様入力(適合例)'!$V$148*計算式!$C$10/1000*VLOOKUP('2-3.設備仕様入力(適合例)'!$V$144,計算式!$N$16:$P$26,3,FALSE),1),""),"")</f>
        <v/>
      </c>
      <c r="X74" s="41" t="str">
        <f t="shared" si="6"/>
        <v/>
      </c>
      <c r="Y74" s="41" t="str">
        <f>IF('2-3.設備仕様入力(適合例)'!$V$141="ガスヒートポンプ式空調機",IF('2-3.設備仕様入力(適合例)'!$V$143="LPG",IF('2-3.設備仕様入力(適合例)'!$V$149="kW",ROUND('2-3.設備仕様入力(適合例)'!$V$142*'2-3.設備仕様入力(適合例)'!$V$147*3.6/1000*VLOOKUP('2-3.設備仕様入力(適合例)'!$V$144,計算式!$N$16:$P$26,2,FALSE),1),""),""),"")</f>
        <v/>
      </c>
      <c r="Z74" s="41" t="str">
        <f>IF('2-3.設備仕様入力(適合例)'!$V$141="ガスヒートポンプ式空調機",IF('2-3.設備仕様入力(適合例)'!$V$143="LPG",IF('2-3.設備仕様入力(適合例)'!$V$149="kW",ROUND('2-3.設備仕様入力(適合例)'!$V$142*'2-3.設備仕様入力(適合例)'!$V$148*3.6/1000*VLOOKUP('2-3.設備仕様入力(適合例)'!$V$144,計算式!$N$16:$P$26,3,FALSE),1),""),""),"")</f>
        <v/>
      </c>
      <c r="AA74" s="41" t="str">
        <f t="shared" si="7"/>
        <v/>
      </c>
      <c r="AB74" s="41" t="str">
        <f>IF('2-3.設備仕様入力(適合例)'!$V$141="ガスヒートポンプ式空調機",IF('2-3.設備仕様入力(適合例)'!$V$143="LPG",IF('2-3.設備仕様入力(適合例)'!$V$149="kg/h",ROUND('2-3.設備仕様入力(適合例)'!$V$142*'2-3.設備仕様入力(適合例)'!$V$147*計算式!$C$11/1000*VLOOKUP('2-3.設備仕様入力(適合例)'!$V$144,計算式!$N$16:$P$26,2,FALSE),1),""),""),"")</f>
        <v/>
      </c>
      <c r="AC74" s="41" t="str">
        <f>IF('2-3.設備仕様入力(適合例)'!$V$141="ガスヒートポンプ式空調機",IF('2-3.設備仕様入力(適合例)'!$V$143="LPG",IF('2-3.設備仕様入力(適合例)'!$V$149="kg/h",ROUND('2-3.設備仕様入力(適合例)'!$V$142*'2-3.設備仕様入力(適合例)'!$V$148*計算式!$C$11/1000*VLOOKUP('2-3.設備仕様入力(適合例)'!$V$144,計算式!$N$16:$P$26,3,FALSE),1),""),""),"")</f>
        <v/>
      </c>
      <c r="AD74" s="41" t="str">
        <f t="shared" si="8"/>
        <v/>
      </c>
    </row>
    <row r="75" spans="14:30" ht="19.2" x14ac:dyDescent="0.55000000000000004">
      <c r="N75" s="80" t="s">
        <v>380</v>
      </c>
      <c r="O75" s="34" t="str">
        <f>IF(AND('2-3.設備仕様入力(適合例)'!W$143="電気",'2-3.設備仕様入力(適合例)'!W$149="kW"),1,IF(AND('2-3.設備仕様入力(適合例)'!W$143="都市ガス",'2-3.設備仕様入力(適合例)'!W$149="kW"),2,IF(AND('2-3.設備仕様入力(適合例)'!W$143="都市ガス",'2-3.設備仕様入力(適合例)'!W$149="ｍ3N/h"),3,IF(AND('2-3.設備仕様入力(適合例)'!W$143="LPG",'2-3.設備仕様入力(適合例)'!W$149="kW"),4,IF(AND('2-3.設備仕様入力(適合例)'!W$143="LPG",'2-3.設備仕様入力(適合例)'!W$149="kg/h"),5,"")))))</f>
        <v/>
      </c>
      <c r="P75" s="41" t="str">
        <f>IF(OR('2-3.設備仕様入力(適合例)'!$W$141="電気式パッケージ形空調機",'2-3.設備仕様入力(適合例)'!$W$141="ルームエアコン"),ROUND('2-3.設備仕様入力(適合例)'!$W$147*'2-3.設備仕様入力(適合例)'!$W$142*計算式!$C$3*VLOOKUP('2-3.設備仕様入力(適合例)'!$W$144,計算式!$N$16:$P$26,2,FALSE)/1000,1),"")</f>
        <v/>
      </c>
      <c r="Q75" s="41" t="str">
        <f>IF(OR('2-3.設備仕様入力(適合例)'!$W$141="電気式パッケージ形空調機",'2-3.設備仕様入力(適合例)'!$W$141="ルームエアコン"),ROUND('2-3.設備仕様入力(適合例)'!$W$148*'2-3.設備仕様入力(適合例)'!$W$142*計算式!$C$3*VLOOKUP('2-3.設備仕様入力(適合例)'!$W$144,計算式!$N$16:$P$26,3,FALSE)/1000,1),"")</f>
        <v/>
      </c>
      <c r="R75" s="41" t="str">
        <f t="shared" si="9"/>
        <v/>
      </c>
      <c r="S75" s="41" t="str">
        <f>IF('2-3.設備仕様入力(適合例)'!$W$141="ガスヒートポンプ式空調機",IF('2-3.設備仕様入力(適合例)'!$W$143="都市ガス",IF('2-3.設備仕様入力(適合例)'!$W$149="kW",ROUND('2-3.設備仕様入力(適合例)'!$W$142*'2-3.設備仕様入力(適合例)'!$W$147*3.6/1000*VLOOKUP('2-3.設備仕様入力(適合例)'!$W$144,計算式!$N$16:$P$26,2,FALSE),1),""),""),"")</f>
        <v/>
      </c>
      <c r="T75" s="41" t="str">
        <f>IF('2-3.設備仕様入力(適合例)'!$W$141="ガスヒートポンプ式空調機",IF('2-3.設備仕様入力(適合例)'!$W$143="都市ガス",IF('2-3.設備仕様入力(適合例)'!$W$149="kW",ROUND('2-3.設備仕様入力(適合例)'!$W$142*'2-3.設備仕様入力(適合例)'!$W$148*3.6/1000*VLOOKUP('2-3.設備仕様入力(適合例)'!$W$144,計算式!$N$16:$P$26,3,FALSE),1),""),""),"")</f>
        <v/>
      </c>
      <c r="U75" s="41" t="str">
        <f t="shared" si="5"/>
        <v/>
      </c>
      <c r="V75" s="41" t="str">
        <f>IF('2-3.設備仕様入力(適合例)'!$W$141="ガスヒートポンプ式空調機",IF('2-3.設備仕様入力(適合例)'!$W$149="ｍ3N/h",ROUND('2-3.設備仕様入力(適合例)'!$W$142*'2-3.設備仕様入力(適合例)'!$W$147*計算式!$C$10/1000*VLOOKUP('2-3.設備仕様入力(適合例)'!$W$144,計算式!$N$16:$P$26,2,FALSE),1),""),"")</f>
        <v/>
      </c>
      <c r="W75" s="41" t="str">
        <f>IF('2-3.設備仕様入力(適合例)'!$W$141="ガスヒートポンプ式空調機",IF('2-3.設備仕様入力(適合例)'!$W$149="ｍ3N/h",ROUND('2-3.設備仕様入力(適合例)'!$W$142*'2-3.設備仕様入力(適合例)'!$W$148*計算式!$C$10/1000*VLOOKUP('2-3.設備仕様入力(適合例)'!$W$144,計算式!$N$16:$P$26,3,FALSE),1),""),"")</f>
        <v/>
      </c>
      <c r="X75" s="41" t="str">
        <f t="shared" si="6"/>
        <v/>
      </c>
      <c r="Y75" s="41" t="str">
        <f>IF('2-3.設備仕様入力(適合例)'!$W$141="ガスヒートポンプ式空調機",IF('2-3.設備仕様入力(適合例)'!$W$143="LPG",IF('2-3.設備仕様入力(適合例)'!$W$149="kW",ROUND('2-3.設備仕様入力(適合例)'!$W$142*'2-3.設備仕様入力(適合例)'!$W$147*3.6/1000*VLOOKUP('2-3.設備仕様入力(適合例)'!$W$144,計算式!$N$16:$P$26,2,FALSE),1),""),""),"")</f>
        <v/>
      </c>
      <c r="Z75" s="41" t="str">
        <f>IF('2-3.設備仕様入力(適合例)'!$W$141="ガスヒートポンプ式空調機",IF('2-3.設備仕様入力(適合例)'!$W$143="LPG",IF('2-3.設備仕様入力(適合例)'!$W$149="kW",ROUND('2-3.設備仕様入力(適合例)'!$W$142*'2-3.設備仕様入力(適合例)'!$W$148*3.6/1000*VLOOKUP('2-3.設備仕様入力(適合例)'!$W$144,計算式!$N$16:$P$26,3,FALSE),1),""),""),"")</f>
        <v/>
      </c>
      <c r="AA75" s="41" t="str">
        <f t="shared" si="7"/>
        <v/>
      </c>
      <c r="AB75" s="41" t="str">
        <f>IF('2-3.設備仕様入力(適合例)'!$W$141="ガスヒートポンプ式空調機",IF('2-3.設備仕様入力(適合例)'!$W$143="LPG",IF('2-3.設備仕様入力(適合例)'!$W$149="kg/h",ROUND('2-3.設備仕様入力(適合例)'!$W$142*'2-3.設備仕様入力(適合例)'!$W$147*計算式!$C$11/1000*VLOOKUP('2-3.設備仕様入力(適合例)'!$W$144,計算式!$N$16:$P$26,2,FALSE),1),""),""),"")</f>
        <v/>
      </c>
      <c r="AC75" s="41" t="str">
        <f>IF('2-3.設備仕様入力(適合例)'!$W$141="ガスヒートポンプ式空調機",IF('2-3.設備仕様入力(適合例)'!$W$143="LPG",IF('2-3.設備仕様入力(適合例)'!$W$149="kg/h",ROUND('2-3.設備仕様入力(適合例)'!$W$142*'2-3.設備仕様入力(適合例)'!$W$148*計算式!$C$11/1000*VLOOKUP('2-3.設備仕様入力(適合例)'!$W$144,計算式!$N$16:$P$26,3,FALSE),1),""),""),"")</f>
        <v/>
      </c>
      <c r="AD75" s="41" t="str">
        <f t="shared" si="8"/>
        <v/>
      </c>
    </row>
    <row r="76" spans="14:30" ht="19.2" x14ac:dyDescent="0.55000000000000004">
      <c r="P76" s="133"/>
      <c r="Q76" s="133"/>
      <c r="R76" s="133"/>
      <c r="S76" s="133"/>
      <c r="T76" s="133"/>
      <c r="U76" s="133"/>
      <c r="V76" s="133"/>
      <c r="W76" s="133"/>
      <c r="X76" s="133"/>
      <c r="Y76" s="133"/>
      <c r="Z76" s="133"/>
      <c r="AA76" s="133"/>
      <c r="AB76" s="133"/>
      <c r="AC76" s="133"/>
      <c r="AD76" s="133"/>
    </row>
  </sheetData>
  <mergeCells count="13">
    <mergeCell ref="P53:AD53"/>
    <mergeCell ref="P54:R54"/>
    <mergeCell ref="S54:U54"/>
    <mergeCell ref="V54:X54"/>
    <mergeCell ref="Y54:AA54"/>
    <mergeCell ref="AB54:AD54"/>
    <mergeCell ref="J1:K1"/>
    <mergeCell ref="P28:AD28"/>
    <mergeCell ref="P29:R29"/>
    <mergeCell ref="S29:U29"/>
    <mergeCell ref="V29:X29"/>
    <mergeCell ref="Y29:AA29"/>
    <mergeCell ref="AB29:AD29"/>
  </mergeCells>
  <phoneticPr fontId="2"/>
  <pageMargins left="0.7" right="0.7" top="0.75" bottom="0.75" header="0.3" footer="0.3"/>
  <pageSetup paperSize="9" scale="39"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2:V85"/>
  <sheetViews>
    <sheetView view="pageBreakPreview" zoomScale="70" zoomScaleNormal="100" zoomScaleSheetLayoutView="70" workbookViewId="0">
      <selection sqref="A1:XFD1048576"/>
    </sheetView>
  </sheetViews>
  <sheetFormatPr defaultColWidth="8.83203125" defaultRowHeight="17.399999999999999" x14ac:dyDescent="0.55000000000000004"/>
  <cols>
    <col min="1" max="1" width="2.33203125" style="59" customWidth="1"/>
    <col min="2" max="2" width="11.9140625" style="59" customWidth="1"/>
    <col min="3" max="16" width="10.58203125" style="59" customWidth="1"/>
    <col min="17" max="17" width="2.1640625" style="59" customWidth="1"/>
    <col min="18" max="21" width="5" style="59" customWidth="1"/>
    <col min="22" max="23" width="8.83203125" style="59"/>
    <col min="24" max="24" width="9.58203125" style="59" bestFit="1" customWidth="1"/>
    <col min="25" max="25" width="8.5" style="59" customWidth="1"/>
    <col min="26" max="26" width="9.33203125" style="59" customWidth="1"/>
    <col min="27" max="27" width="9.33203125" style="59" bestFit="1" customWidth="1"/>
    <col min="28" max="16384" width="8.83203125" style="59"/>
  </cols>
  <sheetData>
    <row r="2" spans="2:11" s="18" customFormat="1" ht="19.2" x14ac:dyDescent="0.55000000000000004">
      <c r="B2" s="48" t="s">
        <v>177</v>
      </c>
    </row>
    <row r="3" spans="2:11" ht="19.2" x14ac:dyDescent="0.55000000000000004">
      <c r="B3" s="137" t="s">
        <v>410</v>
      </c>
      <c r="K3" s="18"/>
    </row>
    <row r="4" spans="2:11" ht="19.2" x14ac:dyDescent="0.55000000000000004">
      <c r="B4" s="137" t="s">
        <v>427</v>
      </c>
      <c r="K4" s="18"/>
    </row>
    <row r="5" spans="2:11" ht="19.2" x14ac:dyDescent="0.55000000000000004">
      <c r="B5" s="137" t="s">
        <v>463</v>
      </c>
      <c r="K5" s="18"/>
    </row>
    <row r="6" spans="2:11" ht="19.2" x14ac:dyDescent="0.55000000000000004">
      <c r="B6" s="137" t="s">
        <v>466</v>
      </c>
      <c r="K6" s="18"/>
    </row>
    <row r="7" spans="2:11" ht="19.2" x14ac:dyDescent="0.55000000000000004">
      <c r="B7" s="137" t="s">
        <v>465</v>
      </c>
      <c r="K7" s="18"/>
    </row>
    <row r="8" spans="2:11" ht="19.2" x14ac:dyDescent="0.55000000000000004">
      <c r="B8" s="137" t="s">
        <v>426</v>
      </c>
      <c r="K8" s="18"/>
    </row>
    <row r="9" spans="2:11" ht="19.2" x14ac:dyDescent="0.55000000000000004">
      <c r="B9" s="137" t="s">
        <v>409</v>
      </c>
      <c r="K9" s="18"/>
    </row>
    <row r="10" spans="2:11" ht="19.2" x14ac:dyDescent="0.55000000000000004">
      <c r="B10" s="137" t="s">
        <v>408</v>
      </c>
      <c r="K10" s="18"/>
    </row>
    <row r="11" spans="2:11" ht="19.2" x14ac:dyDescent="0.55000000000000004">
      <c r="B11" s="137" t="s">
        <v>464</v>
      </c>
      <c r="K11" s="18"/>
    </row>
    <row r="12" spans="2:11" ht="19.2" x14ac:dyDescent="0.55000000000000004">
      <c r="B12" s="58"/>
      <c r="K12" s="18"/>
    </row>
    <row r="13" spans="2:11" s="18" customFormat="1" ht="19.2" x14ac:dyDescent="0.55000000000000004">
      <c r="B13" s="87" t="s">
        <v>178</v>
      </c>
      <c r="C13" s="20"/>
      <c r="D13" s="46" t="s">
        <v>228</v>
      </c>
      <c r="K13" s="162"/>
    </row>
    <row r="14" spans="2:11" s="18" customFormat="1" ht="19.2" x14ac:dyDescent="0.55000000000000004">
      <c r="C14" s="21"/>
      <c r="D14" s="47" t="s">
        <v>134</v>
      </c>
      <c r="J14" s="38"/>
    </row>
    <row r="15" spans="2:11" s="18" customFormat="1" ht="19.2" x14ac:dyDescent="0.55000000000000004">
      <c r="C15" s="22"/>
      <c r="D15" s="47" t="s">
        <v>135</v>
      </c>
    </row>
    <row r="16" spans="2:11" s="18" customFormat="1" ht="19.2" x14ac:dyDescent="0.55000000000000004">
      <c r="B16" s="19"/>
      <c r="C16" s="19"/>
    </row>
    <row r="17" spans="2:22" ht="18" customHeight="1" x14ac:dyDescent="0.55000000000000004">
      <c r="J17" s="104"/>
      <c r="L17" s="18"/>
      <c r="M17" s="18"/>
      <c r="N17" s="18"/>
      <c r="O17" s="18"/>
      <c r="P17" s="18"/>
      <c r="Q17" s="18"/>
      <c r="R17" s="18"/>
      <c r="V17" s="166"/>
    </row>
    <row r="18" spans="2:22" ht="18.75" customHeight="1" x14ac:dyDescent="0.55000000000000004">
      <c r="B18" s="166"/>
      <c r="J18" s="104"/>
      <c r="L18" s="18"/>
      <c r="M18" s="18"/>
      <c r="N18" s="18"/>
      <c r="O18" s="18"/>
      <c r="P18" s="18"/>
      <c r="Q18" s="18"/>
      <c r="R18" s="18"/>
    </row>
    <row r="19" spans="2:22" ht="42.75" customHeight="1" x14ac:dyDescent="0.55000000000000004">
      <c r="B19" s="60" t="s">
        <v>206</v>
      </c>
      <c r="E19" s="269" t="s">
        <v>252</v>
      </c>
      <c r="F19" s="269"/>
      <c r="G19" s="270" t="str">
        <f>IF(AND(P27=0,P39=0,P50=0,P61=0,P72=0,P83=0),"事業所のエネルギー使用について入力してください。",IF(OR(P29&lt;&gt;0,P41&lt;&gt;0,P52&lt;&gt;0,P63&lt;&gt;0,P74&lt;&gt;0,P85&lt;&gt;0),"未入力欄が有ります。確認してください。",IF(OR(P27=1,P39=1,P50=1,P61=1,P72=1,P83=1),"エネルギーの使用年度を選択してください。",IF(OR(P39=2,P39=3,P50=2,P61=2,P72=2,P83=2),"エネルギー種別・単位を選択してください。",IF(SUM(P24,P36,P47,P58,P69,P80)&lt;1500,"中小規模事業所に該当します。","中小規模事業所の要件を満たしていないため、申請できません。")))))</f>
        <v>中小規模事業所の要件を満たしていないため、申請できません。</v>
      </c>
      <c r="H19" s="271"/>
      <c r="I19" s="271"/>
      <c r="J19" s="271"/>
      <c r="K19" s="271"/>
      <c r="L19" s="271"/>
      <c r="M19" s="271"/>
      <c r="N19" s="272"/>
      <c r="O19" s="18"/>
      <c r="P19" s="18"/>
      <c r="Q19" s="18"/>
      <c r="R19" s="18"/>
    </row>
    <row r="20" spans="2:22" ht="19.5" customHeight="1" x14ac:dyDescent="0.55000000000000004">
      <c r="B20" s="60"/>
      <c r="C20" s="60"/>
      <c r="D20" s="60"/>
      <c r="E20" s="60"/>
      <c r="F20" s="60"/>
      <c r="G20" s="60"/>
      <c r="H20" s="60"/>
      <c r="I20" s="60"/>
      <c r="J20" s="60"/>
      <c r="K20" s="60"/>
      <c r="L20" s="60"/>
      <c r="M20" s="60"/>
      <c r="N20" s="60"/>
      <c r="O20" s="18"/>
      <c r="P20" s="18"/>
      <c r="Q20" s="18"/>
      <c r="R20" s="18"/>
    </row>
    <row r="21" spans="2:22" ht="19.8" thickBot="1" x14ac:dyDescent="0.6">
      <c r="B21" s="59" t="s">
        <v>38</v>
      </c>
      <c r="E21" s="62"/>
      <c r="F21" s="62"/>
      <c r="G21" s="62"/>
      <c r="H21" s="62"/>
      <c r="I21" s="62"/>
      <c r="L21" s="18"/>
      <c r="M21" s="18"/>
      <c r="N21" s="18"/>
      <c r="O21" s="18"/>
      <c r="P21" s="18"/>
      <c r="Q21" s="18"/>
      <c r="R21" s="18"/>
    </row>
    <row r="22" spans="2:22" ht="18.75" customHeight="1" x14ac:dyDescent="0.55000000000000004">
      <c r="B22" s="330" t="s">
        <v>542</v>
      </c>
      <c r="C22" s="63" t="s">
        <v>32</v>
      </c>
      <c r="D22" s="64" t="s">
        <v>31</v>
      </c>
      <c r="E22" s="64" t="s">
        <v>30</v>
      </c>
      <c r="F22" s="64" t="s">
        <v>29</v>
      </c>
      <c r="G22" s="64" t="s">
        <v>28</v>
      </c>
      <c r="H22" s="64" t="s">
        <v>27</v>
      </c>
      <c r="I22" s="64" t="s">
        <v>26</v>
      </c>
      <c r="J22" s="64" t="s">
        <v>25</v>
      </c>
      <c r="K22" s="64" t="s">
        <v>24</v>
      </c>
      <c r="L22" s="63" t="s">
        <v>23</v>
      </c>
      <c r="M22" s="64" t="s">
        <v>22</v>
      </c>
      <c r="N22" s="68" t="s">
        <v>21</v>
      </c>
      <c r="O22" s="139"/>
      <c r="P22" s="69"/>
      <c r="Q22" s="18"/>
      <c r="R22" s="18"/>
    </row>
    <row r="23" spans="2:22" ht="38.25" customHeight="1" x14ac:dyDescent="0.55000000000000004">
      <c r="B23" s="66" t="s">
        <v>412</v>
      </c>
      <c r="C23" s="331" t="s">
        <v>543</v>
      </c>
      <c r="D23" s="331" t="s">
        <v>544</v>
      </c>
      <c r="E23" s="331" t="s">
        <v>545</v>
      </c>
      <c r="F23" s="331" t="s">
        <v>546</v>
      </c>
      <c r="G23" s="331" t="s">
        <v>547</v>
      </c>
      <c r="H23" s="331" t="s">
        <v>548</v>
      </c>
      <c r="I23" s="331" t="s">
        <v>549</v>
      </c>
      <c r="J23" s="331" t="s">
        <v>550</v>
      </c>
      <c r="K23" s="331" t="s">
        <v>551</v>
      </c>
      <c r="L23" s="331" t="s">
        <v>552</v>
      </c>
      <c r="M23" s="331" t="s">
        <v>553</v>
      </c>
      <c r="N23" s="331" t="s">
        <v>554</v>
      </c>
      <c r="O23" s="134" t="s">
        <v>414</v>
      </c>
      <c r="P23" s="138" t="s">
        <v>413</v>
      </c>
    </row>
    <row r="24" spans="2:22" ht="18.75" customHeight="1" x14ac:dyDescent="0.55000000000000004">
      <c r="B24" s="65" t="s">
        <v>37</v>
      </c>
      <c r="C24" s="332">
        <v>197560</v>
      </c>
      <c r="D24" s="332">
        <v>219340</v>
      </c>
      <c r="E24" s="332">
        <v>259380</v>
      </c>
      <c r="F24" s="332">
        <v>276540</v>
      </c>
      <c r="G24" s="332">
        <v>322740</v>
      </c>
      <c r="H24" s="332">
        <v>389400</v>
      </c>
      <c r="I24" s="332">
        <v>267520</v>
      </c>
      <c r="J24" s="332">
        <v>188320</v>
      </c>
      <c r="K24" s="332">
        <v>210320</v>
      </c>
      <c r="L24" s="332">
        <v>227040</v>
      </c>
      <c r="M24" s="332">
        <v>256080</v>
      </c>
      <c r="N24" s="333">
        <v>172700</v>
      </c>
      <c r="O24" s="264">
        <f>IF(ISERROR(12*SUM(C24:N25)/COUNT(C24:N25)),"",12*SUM(C24:N25)/COUNT(C24:N25))</f>
        <v>2986940</v>
      </c>
      <c r="P24" s="268">
        <f>IF(P27=0,"",IF(P29=1,"未入力欄を確認",IF(P27=1,"年度を選択",IF(AND(O24&gt;0,O26&gt;0,Q27=Q28,P27=4),計算式!$J$3,"入力不足"))))</f>
        <v>752.14</v>
      </c>
    </row>
    <row r="25" spans="2:22" ht="18.75" customHeight="1" thickBot="1" x14ac:dyDescent="0.6">
      <c r="B25" s="66" t="s">
        <v>36</v>
      </c>
      <c r="C25" s="334"/>
      <c r="D25" s="334"/>
      <c r="E25" s="334"/>
      <c r="F25" s="334"/>
      <c r="G25" s="334"/>
      <c r="H25" s="334"/>
      <c r="I25" s="334"/>
      <c r="J25" s="334"/>
      <c r="K25" s="334"/>
      <c r="L25" s="334"/>
      <c r="M25" s="334"/>
      <c r="N25" s="335"/>
      <c r="O25" s="265"/>
      <c r="P25" s="263"/>
    </row>
    <row r="26" spans="2:22" ht="38.25" customHeight="1" thickTop="1" thickBot="1" x14ac:dyDescent="0.6">
      <c r="B26" s="67" t="s">
        <v>411</v>
      </c>
      <c r="C26" s="336">
        <v>5991480</v>
      </c>
      <c r="D26" s="336">
        <v>6460960</v>
      </c>
      <c r="E26" s="336">
        <v>7265720</v>
      </c>
      <c r="F26" s="336">
        <v>7437540</v>
      </c>
      <c r="G26" s="336">
        <v>8230420</v>
      </c>
      <c r="H26" s="336">
        <v>9304460</v>
      </c>
      <c r="I26" s="336">
        <v>6728040</v>
      </c>
      <c r="J26" s="336">
        <v>5527720</v>
      </c>
      <c r="K26" s="336">
        <v>5663020</v>
      </c>
      <c r="L26" s="336">
        <v>5601420</v>
      </c>
      <c r="M26" s="336">
        <v>5958700</v>
      </c>
      <c r="N26" s="336">
        <v>4640020</v>
      </c>
      <c r="O26" s="70">
        <f>IF(ISERROR(12*SUM(C26:N26)/COUNT(C26:N26)),"",12*SUM(C26:N26)/COUNT(C26:N26))</f>
        <v>78809500</v>
      </c>
      <c r="P26" s="141">
        <f>IF(AND(O24="",O26="",P29=0),0,IF(OR(B22="",B22="年度を選択"),1,4))</f>
        <v>4</v>
      </c>
      <c r="Q26" s="158"/>
    </row>
    <row r="27" spans="2:22" ht="18.75" hidden="1" customHeight="1" x14ac:dyDescent="0.55000000000000004">
      <c r="B27" s="160" t="s">
        <v>444</v>
      </c>
      <c r="C27" s="159">
        <f>IF(C23="",2,IF(C23&lt;&gt;"",0,1))</f>
        <v>0</v>
      </c>
      <c r="D27" s="159">
        <f t="shared" ref="D27:N27" si="0">IF(D23="",2,IF(D23&lt;&gt;"",0,1))</f>
        <v>0</v>
      </c>
      <c r="E27" s="159">
        <f t="shared" si="0"/>
        <v>0</v>
      </c>
      <c r="F27" s="159">
        <f t="shared" si="0"/>
        <v>0</v>
      </c>
      <c r="G27" s="159">
        <f t="shared" si="0"/>
        <v>0</v>
      </c>
      <c r="H27" s="159">
        <f t="shared" si="0"/>
        <v>0</v>
      </c>
      <c r="I27" s="159">
        <f t="shared" si="0"/>
        <v>0</v>
      </c>
      <c r="J27" s="159">
        <f t="shared" si="0"/>
        <v>0</v>
      </c>
      <c r="K27" s="159">
        <f t="shared" si="0"/>
        <v>0</v>
      </c>
      <c r="L27" s="159">
        <f t="shared" si="0"/>
        <v>0</v>
      </c>
      <c r="M27" s="159">
        <f>IF(M23="",2,IF(M23&lt;&gt;"",0,1))</f>
        <v>0</v>
      </c>
      <c r="N27" s="159">
        <f t="shared" si="0"/>
        <v>0</v>
      </c>
      <c r="O27" s="159" t="str">
        <f>IF(R27&gt;1,"入力確認",IF(Q27=Q28,"入力済","未入力"))</f>
        <v>入力済</v>
      </c>
      <c r="P27" s="161">
        <f>P26</f>
        <v>4</v>
      </c>
      <c r="Q27" s="158">
        <f>COUNTIF($C27:$N27,0)</f>
        <v>12</v>
      </c>
      <c r="R27" s="158">
        <f>COUNTIF($C27:$N27,1)</f>
        <v>0</v>
      </c>
      <c r="S27" s="158">
        <f>COUNTIF($C27:$N27,2)</f>
        <v>0</v>
      </c>
      <c r="T27" s="158"/>
    </row>
    <row r="28" spans="2:22" ht="18.75" hidden="1" customHeight="1" x14ac:dyDescent="0.55000000000000004">
      <c r="B28" s="160" t="s">
        <v>445</v>
      </c>
      <c r="C28" s="159">
        <f>IF(AND(C24="",C26=""),2,IF(AND(C24&lt;&gt;"",C26&lt;&gt;""),0,1))</f>
        <v>0</v>
      </c>
      <c r="D28" s="159">
        <f t="shared" ref="D28:N28" si="1">IF(AND(D24="",D26=""),2,IF(AND(D24&lt;&gt;"",D26&lt;&gt;""),0,1))</f>
        <v>0</v>
      </c>
      <c r="E28" s="159">
        <f t="shared" si="1"/>
        <v>0</v>
      </c>
      <c r="F28" s="159">
        <f t="shared" si="1"/>
        <v>0</v>
      </c>
      <c r="G28" s="159">
        <f t="shared" si="1"/>
        <v>0</v>
      </c>
      <c r="H28" s="159">
        <f t="shared" si="1"/>
        <v>0</v>
      </c>
      <c r="I28" s="159">
        <f t="shared" si="1"/>
        <v>0</v>
      </c>
      <c r="J28" s="159">
        <f t="shared" si="1"/>
        <v>0</v>
      </c>
      <c r="K28" s="159">
        <f t="shared" si="1"/>
        <v>0</v>
      </c>
      <c r="L28" s="159">
        <f t="shared" si="1"/>
        <v>0</v>
      </c>
      <c r="M28" s="159">
        <f t="shared" si="1"/>
        <v>0</v>
      </c>
      <c r="N28" s="159">
        <f t="shared" si="1"/>
        <v>0</v>
      </c>
      <c r="O28" s="159" t="str">
        <f>IF(R28&gt;1,"入力確認",IF(Q28+S28=12,"入力済","未入力"))</f>
        <v>入力済</v>
      </c>
      <c r="P28" s="161"/>
      <c r="Q28" s="158">
        <f>COUNTIF($C28:$N28,0)</f>
        <v>12</v>
      </c>
      <c r="R28" s="158">
        <f>COUNTIF($C28:$N28,1)</f>
        <v>0</v>
      </c>
      <c r="S28" s="158">
        <f>COUNTIF($C28:$N28,2)</f>
        <v>0</v>
      </c>
    </row>
    <row r="29" spans="2:22" ht="18.75" hidden="1" customHeight="1" x14ac:dyDescent="0.55000000000000004">
      <c r="B29" s="160" t="s">
        <v>446</v>
      </c>
      <c r="C29" s="159">
        <f>IF(AND(C27=2,C28=2),2,IF(C27&lt;&gt;C28,1,IF(AND(C27=0,C28=0),0,4)))</f>
        <v>0</v>
      </c>
      <c r="D29" s="159">
        <f t="shared" ref="D29:N29" si="2">IF(AND(D27=2,D28=2),2,IF(D27&lt;&gt;D28,1,IF(AND(D27=0,D28=0),0,4)))</f>
        <v>0</v>
      </c>
      <c r="E29" s="159">
        <f t="shared" si="2"/>
        <v>0</v>
      </c>
      <c r="F29" s="159">
        <f t="shared" si="2"/>
        <v>0</v>
      </c>
      <c r="G29" s="159">
        <f t="shared" si="2"/>
        <v>0</v>
      </c>
      <c r="H29" s="159">
        <f t="shared" si="2"/>
        <v>0</v>
      </c>
      <c r="I29" s="159">
        <f t="shared" si="2"/>
        <v>0</v>
      </c>
      <c r="J29" s="159">
        <f t="shared" si="2"/>
        <v>0</v>
      </c>
      <c r="K29" s="159">
        <f t="shared" si="2"/>
        <v>0</v>
      </c>
      <c r="L29" s="159">
        <f t="shared" si="2"/>
        <v>0</v>
      </c>
      <c r="M29" s="159">
        <f t="shared" si="2"/>
        <v>0</v>
      </c>
      <c r="N29" s="159">
        <f t="shared" si="2"/>
        <v>0</v>
      </c>
      <c r="O29" s="159" t="str">
        <f>IF(R29&gt;1,"入力確認",IF(Q29+S29=12,"入力済","未入力"))</f>
        <v>入力済</v>
      </c>
      <c r="P29" s="161">
        <f>IF(O29="未入力",1,IF(O29="入力済",0,2))</f>
        <v>0</v>
      </c>
      <c r="Q29" s="158">
        <f>COUNTIF($C29:$N29,0)</f>
        <v>12</v>
      </c>
      <c r="R29" s="158">
        <f>COUNTIF($C29:$N29,1)</f>
        <v>0</v>
      </c>
      <c r="S29" s="158">
        <f>COUNTIF($C29:$N29,2)</f>
        <v>0</v>
      </c>
    </row>
    <row r="30" spans="2:22" x14ac:dyDescent="0.55000000000000004">
      <c r="B30" s="59" t="s">
        <v>35</v>
      </c>
      <c r="E30" s="71"/>
      <c r="F30" s="71"/>
      <c r="G30" s="71"/>
      <c r="H30" s="71"/>
      <c r="O30" s="72"/>
    </row>
    <row r="33" spans="2:20" ht="18" thickBot="1" x14ac:dyDescent="0.6">
      <c r="B33" s="59" t="s">
        <v>34</v>
      </c>
      <c r="E33" s="337" t="s">
        <v>441</v>
      </c>
      <c r="F33" s="337" t="s">
        <v>442</v>
      </c>
      <c r="G33" s="62"/>
      <c r="K33" s="61"/>
    </row>
    <row r="34" spans="2:20" ht="19.5" customHeight="1" x14ac:dyDescent="0.55000000000000004">
      <c r="B34" s="330" t="s">
        <v>542</v>
      </c>
      <c r="C34" s="63" t="s">
        <v>32</v>
      </c>
      <c r="D34" s="64" t="s">
        <v>31</v>
      </c>
      <c r="E34" s="64" t="s">
        <v>30</v>
      </c>
      <c r="F34" s="64" t="s">
        <v>29</v>
      </c>
      <c r="G34" s="64" t="s">
        <v>28</v>
      </c>
      <c r="H34" s="64" t="s">
        <v>27</v>
      </c>
      <c r="I34" s="64" t="s">
        <v>26</v>
      </c>
      <c r="J34" s="64" t="s">
        <v>25</v>
      </c>
      <c r="K34" s="64" t="s">
        <v>24</v>
      </c>
      <c r="L34" s="63" t="s">
        <v>23</v>
      </c>
      <c r="M34" s="64" t="s">
        <v>22</v>
      </c>
      <c r="N34" s="68" t="s">
        <v>21</v>
      </c>
      <c r="O34" s="139"/>
      <c r="P34" s="69"/>
    </row>
    <row r="35" spans="2:20" ht="38.25" customHeight="1" x14ac:dyDescent="0.55000000000000004">
      <c r="B35" s="66" t="s">
        <v>412</v>
      </c>
      <c r="C35" s="331" t="s">
        <v>555</v>
      </c>
      <c r="D35" s="331" t="s">
        <v>556</v>
      </c>
      <c r="E35" s="331" t="s">
        <v>557</v>
      </c>
      <c r="F35" s="331" t="s">
        <v>558</v>
      </c>
      <c r="G35" s="331" t="s">
        <v>559</v>
      </c>
      <c r="H35" s="331" t="s">
        <v>560</v>
      </c>
      <c r="I35" s="331" t="s">
        <v>561</v>
      </c>
      <c r="J35" s="331" t="s">
        <v>562</v>
      </c>
      <c r="K35" s="331" t="s">
        <v>563</v>
      </c>
      <c r="L35" s="331" t="s">
        <v>564</v>
      </c>
      <c r="M35" s="331" t="s">
        <v>565</v>
      </c>
      <c r="N35" s="338" t="s">
        <v>566</v>
      </c>
      <c r="O35" s="134" t="s">
        <v>414</v>
      </c>
      <c r="P35" s="138" t="s">
        <v>413</v>
      </c>
    </row>
    <row r="36" spans="2:20" ht="19.5" customHeight="1" x14ac:dyDescent="0.55000000000000004">
      <c r="B36" s="65" t="s">
        <v>33</v>
      </c>
      <c r="C36" s="332">
        <v>54340</v>
      </c>
      <c r="D36" s="332">
        <v>59180</v>
      </c>
      <c r="E36" s="332">
        <v>50600</v>
      </c>
      <c r="F36" s="332">
        <v>48840</v>
      </c>
      <c r="G36" s="332">
        <v>58520</v>
      </c>
      <c r="H36" s="332">
        <v>49280</v>
      </c>
      <c r="I36" s="332">
        <v>72160</v>
      </c>
      <c r="J36" s="332">
        <v>81180</v>
      </c>
      <c r="K36" s="332">
        <v>86680</v>
      </c>
      <c r="L36" s="332">
        <v>83160</v>
      </c>
      <c r="M36" s="332">
        <v>75240</v>
      </c>
      <c r="N36" s="332">
        <v>76560</v>
      </c>
      <c r="O36" s="264">
        <f>IF(ISERROR(12*SUM(C36:N37)/COUNT(C36:N37)),"",12*SUM(C36:N37)/COUNT(C36:N37))</f>
        <v>795740</v>
      </c>
      <c r="P36" s="266">
        <f>IF(P39=0,"",IF(P41=1,"未入力欄を確認",IF(P39=1,"年度を選択",IF(P39=2,"種別を選択",IF(P39=3,"単位を選択",IF(AND($E$33="都市ガス",$F$33="［m3］"),計算式!$J$6,IF(AND($E$33="LPG",$F$33="［m3］"),計算式!$J$7,IF(AND($E$33="LPG",$F$33="［kg］"),計算式!$L$7,IF($E$33="LNG",計算式!$J$8,IF($E$33="水素ガス",計算式!$J$10,IF($E$33="天然ガス",計算式!$J$10,"")))))))))))</f>
        <v>893.05</v>
      </c>
    </row>
    <row r="37" spans="2:20" ht="19.5" customHeight="1" thickBot="1" x14ac:dyDescent="0.6">
      <c r="B37" s="66" t="str">
        <f>IF(F33="","",F33)</f>
        <v>［m3］</v>
      </c>
      <c r="C37" s="339"/>
      <c r="D37" s="339"/>
      <c r="E37" s="339"/>
      <c r="F37" s="339"/>
      <c r="G37" s="339"/>
      <c r="H37" s="339"/>
      <c r="I37" s="339"/>
      <c r="J37" s="334"/>
      <c r="K37" s="334"/>
      <c r="L37" s="334"/>
      <c r="M37" s="334"/>
      <c r="N37" s="334"/>
      <c r="O37" s="265"/>
      <c r="P37" s="267"/>
    </row>
    <row r="38" spans="2:20" ht="38.25" customHeight="1" thickTop="1" thickBot="1" x14ac:dyDescent="0.6">
      <c r="B38" s="67" t="s">
        <v>411</v>
      </c>
      <c r="C38" s="336">
        <v>7007660</v>
      </c>
      <c r="D38" s="336">
        <v>7594620</v>
      </c>
      <c r="E38" s="336">
        <v>6549400</v>
      </c>
      <c r="F38" s="336">
        <v>6323240</v>
      </c>
      <c r="G38" s="336">
        <v>7472960</v>
      </c>
      <c r="H38" s="336">
        <v>6253280</v>
      </c>
      <c r="I38" s="336">
        <v>8693520</v>
      </c>
      <c r="J38" s="340">
        <v>9301380</v>
      </c>
      <c r="K38" s="340">
        <v>9509720</v>
      </c>
      <c r="L38" s="340">
        <v>8947620</v>
      </c>
      <c r="M38" s="340">
        <v>8181580</v>
      </c>
      <c r="N38" s="340">
        <v>8536880</v>
      </c>
      <c r="O38" s="140">
        <f>IF(ISERROR(12*SUM(C38:N38)/COUNT(C38:N38)),"",12*SUM(C38:N38)/COUNT(C38:N38))</f>
        <v>94371860</v>
      </c>
      <c r="P38" s="141">
        <f>IF(AND(O36="",O38="",P41=0),0,IF(OR(B34="",B34="年度を選択"),1,IF(OR(E33="",E33="種別を選択"),2,IF(OR(F33="",F33="単位を選択"),3,4))))</f>
        <v>4</v>
      </c>
      <c r="Q38" s="158"/>
      <c r="R38" s="158"/>
    </row>
    <row r="39" spans="2:20" ht="18.75" hidden="1" customHeight="1" x14ac:dyDescent="0.55000000000000004">
      <c r="B39" s="160" t="s">
        <v>444</v>
      </c>
      <c r="C39" s="159">
        <f>IF(C35="",2,IF(C35&lt;&gt;"",0,1))</f>
        <v>0</v>
      </c>
      <c r="D39" s="159">
        <f t="shared" ref="D39:L39" si="3">IF(D35="",2,IF(D35&lt;&gt;"",0,1))</f>
        <v>0</v>
      </c>
      <c r="E39" s="159">
        <f t="shared" si="3"/>
        <v>0</v>
      </c>
      <c r="F39" s="159">
        <f t="shared" si="3"/>
        <v>0</v>
      </c>
      <c r="G39" s="159">
        <f t="shared" si="3"/>
        <v>0</v>
      </c>
      <c r="H39" s="159">
        <f t="shared" si="3"/>
        <v>0</v>
      </c>
      <c r="I39" s="159">
        <f t="shared" si="3"/>
        <v>0</v>
      </c>
      <c r="J39" s="159">
        <f t="shared" si="3"/>
        <v>0</v>
      </c>
      <c r="K39" s="159">
        <f t="shared" si="3"/>
        <v>0</v>
      </c>
      <c r="L39" s="159">
        <f t="shared" si="3"/>
        <v>0</v>
      </c>
      <c r="M39" s="159">
        <f>IF(M35="",2,IF(M35&lt;&gt;"",0,1))</f>
        <v>0</v>
      </c>
      <c r="N39" s="159">
        <f t="shared" ref="N39" si="4">IF(N35="",2,IF(N35&lt;&gt;"",0,1))</f>
        <v>0</v>
      </c>
      <c r="O39" s="159" t="str">
        <f>IF(R39&gt;1,"入力確認",IF(Q39=Q40,"入力済","未入力"))</f>
        <v>入力済</v>
      </c>
      <c r="P39" s="161">
        <f>P38</f>
        <v>4</v>
      </c>
      <c r="Q39" s="158">
        <f>COUNTIF($C39:$N39,0)</f>
        <v>12</v>
      </c>
      <c r="R39" s="158">
        <f>COUNTIF($C39:$N39,1)</f>
        <v>0</v>
      </c>
      <c r="S39" s="158">
        <f>COUNTIF($C39:$N39,2)</f>
        <v>0</v>
      </c>
      <c r="T39" s="158"/>
    </row>
    <row r="40" spans="2:20" ht="18.75" hidden="1" customHeight="1" x14ac:dyDescent="0.55000000000000004">
      <c r="B40" s="160" t="s">
        <v>445</v>
      </c>
      <c r="C40" s="159">
        <f>IF(AND(C36="",C38=""),2,IF(AND(C36&lt;&gt;"",C38&lt;&gt;""),0,1))</f>
        <v>0</v>
      </c>
      <c r="D40" s="159">
        <f t="shared" ref="D40:N40" si="5">IF(AND(D36="",D38=""),2,IF(AND(D36&lt;&gt;"",D38&lt;&gt;""),0,1))</f>
        <v>0</v>
      </c>
      <c r="E40" s="159">
        <f t="shared" si="5"/>
        <v>0</v>
      </c>
      <c r="F40" s="159">
        <f t="shared" si="5"/>
        <v>0</v>
      </c>
      <c r="G40" s="159">
        <f t="shared" si="5"/>
        <v>0</v>
      </c>
      <c r="H40" s="159">
        <f t="shared" si="5"/>
        <v>0</v>
      </c>
      <c r="I40" s="159">
        <f t="shared" si="5"/>
        <v>0</v>
      </c>
      <c r="J40" s="159">
        <f t="shared" si="5"/>
        <v>0</v>
      </c>
      <c r="K40" s="159">
        <f t="shared" si="5"/>
        <v>0</v>
      </c>
      <c r="L40" s="159">
        <f t="shared" si="5"/>
        <v>0</v>
      </c>
      <c r="M40" s="159">
        <f t="shared" si="5"/>
        <v>0</v>
      </c>
      <c r="N40" s="159">
        <f t="shared" si="5"/>
        <v>0</v>
      </c>
      <c r="O40" s="159" t="str">
        <f>IF(R40&gt;1,"入力確認",IF(Q40+S40=12,"入力済","未入力"))</f>
        <v>入力済</v>
      </c>
      <c r="P40" s="161"/>
      <c r="Q40" s="158">
        <f>COUNTIF($C40:$N40,0)</f>
        <v>12</v>
      </c>
      <c r="R40" s="158">
        <f>COUNTIF($C40:$N40,1)</f>
        <v>0</v>
      </c>
      <c r="S40" s="158">
        <f>COUNTIF($C40:$N40,2)</f>
        <v>0</v>
      </c>
    </row>
    <row r="41" spans="2:20" ht="18.75" hidden="1" customHeight="1" x14ac:dyDescent="0.55000000000000004">
      <c r="B41" s="160" t="s">
        <v>446</v>
      </c>
      <c r="C41" s="159">
        <f>IF(AND(C39=2,C40=2),2,IF(C39&lt;&gt;C40,1,IF(AND(C39=0,C40=0),0,4)))</f>
        <v>0</v>
      </c>
      <c r="D41" s="159">
        <f t="shared" ref="D41:N41" si="6">IF(AND(D39=2,D40=2),2,IF(D39&lt;&gt;D40,1,IF(AND(D39=0,D40=0),0,4)))</f>
        <v>0</v>
      </c>
      <c r="E41" s="159">
        <f t="shared" si="6"/>
        <v>0</v>
      </c>
      <c r="F41" s="159">
        <f t="shared" si="6"/>
        <v>0</v>
      </c>
      <c r="G41" s="159">
        <f t="shared" si="6"/>
        <v>0</v>
      </c>
      <c r="H41" s="159">
        <f t="shared" si="6"/>
        <v>0</v>
      </c>
      <c r="I41" s="159">
        <f t="shared" si="6"/>
        <v>0</v>
      </c>
      <c r="J41" s="159">
        <f t="shared" si="6"/>
        <v>0</v>
      </c>
      <c r="K41" s="159">
        <f t="shared" si="6"/>
        <v>0</v>
      </c>
      <c r="L41" s="159">
        <f t="shared" si="6"/>
        <v>0</v>
      </c>
      <c r="M41" s="159">
        <f t="shared" si="6"/>
        <v>0</v>
      </c>
      <c r="N41" s="159">
        <f t="shared" si="6"/>
        <v>0</v>
      </c>
      <c r="O41" s="159" t="str">
        <f>IF(R41&gt;1,"入力確認",IF(Q41+S41=12,"入力済","未入力"))</f>
        <v>入力済</v>
      </c>
      <c r="P41" s="161">
        <f>IF(O41="未入力",1,IF(O41="入力済",0,2))</f>
        <v>0</v>
      </c>
      <c r="Q41" s="158">
        <f>COUNTIF($C41:$N41,0)</f>
        <v>12</v>
      </c>
      <c r="R41" s="158">
        <f>COUNTIF($C41:$N41,1)</f>
        <v>0</v>
      </c>
      <c r="S41" s="158">
        <f>COUNTIF($C41:$N41,2)</f>
        <v>0</v>
      </c>
    </row>
    <row r="42" spans="2:20" x14ac:dyDescent="0.55000000000000004">
      <c r="E42" s="71"/>
      <c r="F42" s="71"/>
      <c r="G42" s="71"/>
      <c r="H42" s="71"/>
      <c r="O42" s="72"/>
    </row>
    <row r="43" spans="2:20" x14ac:dyDescent="0.55000000000000004">
      <c r="E43" s="71"/>
      <c r="F43" s="71"/>
      <c r="G43" s="71"/>
      <c r="H43" s="71"/>
      <c r="O43" s="72"/>
    </row>
    <row r="44" spans="2:20" ht="20.25" customHeight="1" thickBot="1" x14ac:dyDescent="0.6">
      <c r="B44" s="59" t="s">
        <v>200</v>
      </c>
      <c r="E44" s="341" t="s">
        <v>254</v>
      </c>
      <c r="F44" s="341"/>
      <c r="G44" s="62"/>
      <c r="H44" s="73"/>
      <c r="I44" s="73"/>
      <c r="K44" s="61"/>
    </row>
    <row r="45" spans="2:20" ht="19.5" customHeight="1" x14ac:dyDescent="0.55000000000000004">
      <c r="B45" s="330" t="s">
        <v>253</v>
      </c>
      <c r="C45" s="63" t="s">
        <v>32</v>
      </c>
      <c r="D45" s="64" t="s">
        <v>31</v>
      </c>
      <c r="E45" s="64" t="s">
        <v>30</v>
      </c>
      <c r="F45" s="64" t="s">
        <v>29</v>
      </c>
      <c r="G45" s="64" t="s">
        <v>28</v>
      </c>
      <c r="H45" s="64" t="s">
        <v>27</v>
      </c>
      <c r="I45" s="64" t="s">
        <v>26</v>
      </c>
      <c r="J45" s="64" t="s">
        <v>25</v>
      </c>
      <c r="K45" s="64" t="s">
        <v>24</v>
      </c>
      <c r="L45" s="63" t="s">
        <v>23</v>
      </c>
      <c r="M45" s="64" t="s">
        <v>22</v>
      </c>
      <c r="N45" s="68" t="s">
        <v>21</v>
      </c>
      <c r="O45" s="139"/>
      <c r="P45" s="69"/>
    </row>
    <row r="46" spans="2:20" ht="38.25" customHeight="1" x14ac:dyDescent="0.55000000000000004">
      <c r="B46" s="66" t="s">
        <v>412</v>
      </c>
      <c r="C46" s="331"/>
      <c r="D46" s="331"/>
      <c r="E46" s="331"/>
      <c r="F46" s="331"/>
      <c r="G46" s="331"/>
      <c r="H46" s="331"/>
      <c r="I46" s="331"/>
      <c r="J46" s="331"/>
      <c r="K46" s="331"/>
      <c r="L46" s="331"/>
      <c r="M46" s="331"/>
      <c r="N46" s="338"/>
      <c r="O46" s="134" t="s">
        <v>414</v>
      </c>
      <c r="P46" s="138" t="s">
        <v>413</v>
      </c>
    </row>
    <row r="47" spans="2:20" ht="19.5" customHeight="1" x14ac:dyDescent="0.55000000000000004">
      <c r="B47" s="65" t="s">
        <v>18</v>
      </c>
      <c r="C47" s="332"/>
      <c r="D47" s="332"/>
      <c r="E47" s="332"/>
      <c r="F47" s="332"/>
      <c r="G47" s="332"/>
      <c r="H47" s="332"/>
      <c r="I47" s="332"/>
      <c r="J47" s="332"/>
      <c r="K47" s="332"/>
      <c r="L47" s="332"/>
      <c r="M47" s="332"/>
      <c r="N47" s="332"/>
      <c r="O47" s="264" t="str">
        <f>IF(ISERROR(12*SUM(C47:N48)/COUNT(C47:N48)),"",12*SUM(C47:N48)/COUNT(C47:N48))</f>
        <v/>
      </c>
      <c r="P47" s="262" t="str">
        <f>IF(P50=0,"",IF(P52=1,"未入力欄を確認",IF(P50=1,"年度を選択",IF(P50=2,"エネルギー種別を選択",IF($E44="都市ガス",計算!$J$17,IF($E44="温水・冷水",計算!$J$18,IF($E44="産業用蒸気",計算!$J$19,IF($E44="産業用以外の蒸気",計算!$J$20,IF($E44="灯油",計算!$J$21,IF($E44="軽油",計算!$J$22,IF($E44="A重油",計算!$J$23,IF($E44="B・Ｃ重油",計算!$J$24,""))))))))))))</f>
        <v/>
      </c>
    </row>
    <row r="48" spans="2:20" ht="19.5" customHeight="1" thickBot="1" x14ac:dyDescent="0.6">
      <c r="B48" s="66" t="str">
        <f>IF(E44="都市ガス","［m3］",IF(OR(E44="温水・冷水",E44="産業用蒸気",E44="産業用以外の蒸気"),"［MJ］","［L］"))</f>
        <v>［L］</v>
      </c>
      <c r="C48" s="339"/>
      <c r="D48" s="339"/>
      <c r="E48" s="339"/>
      <c r="F48" s="339"/>
      <c r="G48" s="339"/>
      <c r="H48" s="339"/>
      <c r="I48" s="339"/>
      <c r="J48" s="334"/>
      <c r="K48" s="334"/>
      <c r="L48" s="334"/>
      <c r="M48" s="334"/>
      <c r="N48" s="334"/>
      <c r="O48" s="265"/>
      <c r="P48" s="263"/>
    </row>
    <row r="49" spans="2:20" ht="38.25" customHeight="1" thickTop="1" thickBot="1" x14ac:dyDescent="0.6">
      <c r="B49" s="67" t="s">
        <v>411</v>
      </c>
      <c r="C49" s="336"/>
      <c r="D49" s="336"/>
      <c r="E49" s="336"/>
      <c r="F49" s="336"/>
      <c r="G49" s="336"/>
      <c r="H49" s="336"/>
      <c r="I49" s="336"/>
      <c r="J49" s="340"/>
      <c r="K49" s="340"/>
      <c r="L49" s="340"/>
      <c r="M49" s="340"/>
      <c r="N49" s="340"/>
      <c r="O49" s="70" t="str">
        <f>IF(ISERROR(12*SUM(C49:N49)/COUNT(C49:N49)),"",12*SUM(C49:N49)/COUNT(C49:N49))</f>
        <v/>
      </c>
      <c r="P49" s="141">
        <f>IF(AND(O47="",O49="",P52=0),0,IF(OR(B45="",B45="年度を選択"),1,IF(OR(E44="",E44="エネルギー種別を選択"),2,4)))</f>
        <v>0</v>
      </c>
      <c r="Q49" s="158"/>
    </row>
    <row r="50" spans="2:20" ht="18.75" hidden="1" customHeight="1" x14ac:dyDescent="0.55000000000000004">
      <c r="B50" s="160" t="s">
        <v>444</v>
      </c>
      <c r="C50" s="159">
        <f>IF(C46="",2,IF(C46&lt;&gt;"",0,1))</f>
        <v>2</v>
      </c>
      <c r="D50" s="159">
        <f t="shared" ref="D50:L50" si="7">IF(D46="",2,IF(D46&lt;&gt;"",0,1))</f>
        <v>2</v>
      </c>
      <c r="E50" s="159">
        <f t="shared" si="7"/>
        <v>2</v>
      </c>
      <c r="F50" s="159">
        <f t="shared" si="7"/>
        <v>2</v>
      </c>
      <c r="G50" s="159">
        <f t="shared" si="7"/>
        <v>2</v>
      </c>
      <c r="H50" s="159">
        <f t="shared" si="7"/>
        <v>2</v>
      </c>
      <c r="I50" s="159">
        <f t="shared" si="7"/>
        <v>2</v>
      </c>
      <c r="J50" s="159">
        <f t="shared" si="7"/>
        <v>2</v>
      </c>
      <c r="K50" s="159">
        <f t="shared" si="7"/>
        <v>2</v>
      </c>
      <c r="L50" s="159">
        <f t="shared" si="7"/>
        <v>2</v>
      </c>
      <c r="M50" s="159">
        <f>IF(M46="",2,IF(M46&lt;&gt;"",0,1))</f>
        <v>2</v>
      </c>
      <c r="N50" s="159">
        <f t="shared" ref="N50" si="8">IF(N46="",2,IF(N46&lt;&gt;"",0,1))</f>
        <v>2</v>
      </c>
      <c r="O50" s="159" t="str">
        <f>IF(R50&gt;1,"入力確認",IF(Q50=Q51,"入力済","未入力"))</f>
        <v>入力済</v>
      </c>
      <c r="P50" s="161">
        <f>P49</f>
        <v>0</v>
      </c>
      <c r="Q50" s="158">
        <f>COUNTIF($C50:$N50,0)</f>
        <v>0</v>
      </c>
      <c r="R50" s="158">
        <f>COUNTIF($C50:$N50,1)</f>
        <v>0</v>
      </c>
      <c r="S50" s="158">
        <f>COUNTIF($C50:$N50,2)</f>
        <v>12</v>
      </c>
      <c r="T50" s="158"/>
    </row>
    <row r="51" spans="2:20" ht="18.75" hidden="1" customHeight="1" x14ac:dyDescent="0.55000000000000004">
      <c r="B51" s="160" t="s">
        <v>445</v>
      </c>
      <c r="C51" s="159">
        <f>IF(AND(C47="",C49=""),2,IF(AND(C47&lt;&gt;"",C49&lt;&gt;""),0,1))</f>
        <v>2</v>
      </c>
      <c r="D51" s="159">
        <f t="shared" ref="D51:N51" si="9">IF(AND(D47="",D49=""),2,IF(AND(D47&lt;&gt;"",D49&lt;&gt;""),0,1))</f>
        <v>2</v>
      </c>
      <c r="E51" s="159">
        <f t="shared" si="9"/>
        <v>2</v>
      </c>
      <c r="F51" s="159">
        <f t="shared" si="9"/>
        <v>2</v>
      </c>
      <c r="G51" s="159">
        <f t="shared" si="9"/>
        <v>2</v>
      </c>
      <c r="H51" s="159">
        <f t="shared" si="9"/>
        <v>2</v>
      </c>
      <c r="I51" s="159">
        <f t="shared" si="9"/>
        <v>2</v>
      </c>
      <c r="J51" s="159">
        <f t="shared" si="9"/>
        <v>2</v>
      </c>
      <c r="K51" s="159">
        <f t="shared" si="9"/>
        <v>2</v>
      </c>
      <c r="L51" s="159">
        <f t="shared" si="9"/>
        <v>2</v>
      </c>
      <c r="M51" s="159">
        <f t="shared" si="9"/>
        <v>2</v>
      </c>
      <c r="N51" s="159">
        <f t="shared" si="9"/>
        <v>2</v>
      </c>
      <c r="O51" s="159" t="str">
        <f>IF(R51&gt;1,"入力確認",IF(Q51+S51=12,"入力済","未入力"))</f>
        <v>入力済</v>
      </c>
      <c r="P51" s="161"/>
      <c r="Q51" s="158">
        <f>COUNTIF($C51:$N51,0)</f>
        <v>0</v>
      </c>
      <c r="R51" s="158">
        <f>COUNTIF($C51:$N51,1)</f>
        <v>0</v>
      </c>
      <c r="S51" s="158">
        <f>COUNTIF($C51:$N51,2)</f>
        <v>12</v>
      </c>
    </row>
    <row r="52" spans="2:20" ht="18.75" hidden="1" customHeight="1" x14ac:dyDescent="0.55000000000000004">
      <c r="B52" s="160" t="s">
        <v>446</v>
      </c>
      <c r="C52" s="159">
        <f>IF(AND(C50=2,C51=2),2,IF(C50&lt;&gt;C51,1,IF(AND(C50=0,C51=0),0,4)))</f>
        <v>2</v>
      </c>
      <c r="D52" s="159">
        <f t="shared" ref="D52:N52" si="10">IF(AND(D50=2,D51=2),2,IF(D50&lt;&gt;D51,1,IF(AND(D50=0,D51=0),0,4)))</f>
        <v>2</v>
      </c>
      <c r="E52" s="159">
        <f t="shared" si="10"/>
        <v>2</v>
      </c>
      <c r="F52" s="159">
        <f t="shared" si="10"/>
        <v>2</v>
      </c>
      <c r="G52" s="159">
        <f t="shared" si="10"/>
        <v>2</v>
      </c>
      <c r="H52" s="159">
        <f t="shared" si="10"/>
        <v>2</v>
      </c>
      <c r="I52" s="159">
        <f t="shared" si="10"/>
        <v>2</v>
      </c>
      <c r="J52" s="159">
        <f t="shared" si="10"/>
        <v>2</v>
      </c>
      <c r="K52" s="159">
        <f t="shared" si="10"/>
        <v>2</v>
      </c>
      <c r="L52" s="159">
        <f t="shared" si="10"/>
        <v>2</v>
      </c>
      <c r="M52" s="159">
        <f t="shared" si="10"/>
        <v>2</v>
      </c>
      <c r="N52" s="159">
        <f t="shared" si="10"/>
        <v>2</v>
      </c>
      <c r="O52" s="159" t="str">
        <f>IF(R52&gt;1,"入力確認",IF(Q52+S52=12,"入力済","未入力"))</f>
        <v>入力済</v>
      </c>
      <c r="P52" s="161">
        <f>IF(O52="未入力",1,IF(O52="入力済",0,2))</f>
        <v>0</v>
      </c>
      <c r="Q52" s="158">
        <f>COUNTIF($C52:$N52,0)</f>
        <v>0</v>
      </c>
      <c r="R52" s="158">
        <f>COUNTIF($C52:$N52,1)</f>
        <v>0</v>
      </c>
      <c r="S52" s="158">
        <f>COUNTIF($C52:$N52,2)</f>
        <v>12</v>
      </c>
    </row>
    <row r="53" spans="2:20" x14ac:dyDescent="0.55000000000000004">
      <c r="E53" s="71"/>
      <c r="F53" s="71"/>
      <c r="G53" s="71"/>
      <c r="H53" s="71"/>
      <c r="O53" s="72"/>
    </row>
    <row r="54" spans="2:20" x14ac:dyDescent="0.55000000000000004">
      <c r="E54" s="71"/>
      <c r="F54" s="71"/>
      <c r="G54" s="71"/>
      <c r="H54" s="71"/>
      <c r="O54" s="72"/>
    </row>
    <row r="55" spans="2:20" ht="20.25" customHeight="1" thickBot="1" x14ac:dyDescent="0.6">
      <c r="B55" s="59" t="s">
        <v>201</v>
      </c>
      <c r="E55" s="341" t="s">
        <v>254</v>
      </c>
      <c r="F55" s="341"/>
      <c r="G55" s="62"/>
      <c r="H55" s="73"/>
      <c r="I55" s="73"/>
      <c r="K55" s="61"/>
    </row>
    <row r="56" spans="2:20" ht="19.5" customHeight="1" x14ac:dyDescent="0.55000000000000004">
      <c r="B56" s="330" t="s">
        <v>253</v>
      </c>
      <c r="C56" s="63" t="s">
        <v>32</v>
      </c>
      <c r="D56" s="64" t="s">
        <v>31</v>
      </c>
      <c r="E56" s="64" t="s">
        <v>30</v>
      </c>
      <c r="F56" s="64" t="s">
        <v>29</v>
      </c>
      <c r="G56" s="64" t="s">
        <v>28</v>
      </c>
      <c r="H56" s="64" t="s">
        <v>27</v>
      </c>
      <c r="I56" s="64" t="s">
        <v>26</v>
      </c>
      <c r="J56" s="64" t="s">
        <v>25</v>
      </c>
      <c r="K56" s="64" t="s">
        <v>24</v>
      </c>
      <c r="L56" s="63" t="s">
        <v>23</v>
      </c>
      <c r="M56" s="64" t="s">
        <v>22</v>
      </c>
      <c r="N56" s="68" t="s">
        <v>21</v>
      </c>
      <c r="O56" s="139"/>
      <c r="P56" s="69"/>
    </row>
    <row r="57" spans="2:20" ht="38.25" customHeight="1" x14ac:dyDescent="0.55000000000000004">
      <c r="B57" s="66" t="s">
        <v>412</v>
      </c>
      <c r="C57" s="331"/>
      <c r="D57" s="331"/>
      <c r="E57" s="331"/>
      <c r="F57" s="331"/>
      <c r="G57" s="331"/>
      <c r="H57" s="331"/>
      <c r="I57" s="331"/>
      <c r="J57" s="331"/>
      <c r="K57" s="331"/>
      <c r="L57" s="342"/>
      <c r="M57" s="331"/>
      <c r="N57" s="338"/>
      <c r="O57" s="134" t="s">
        <v>414</v>
      </c>
      <c r="P57" s="138" t="s">
        <v>413</v>
      </c>
    </row>
    <row r="58" spans="2:20" ht="19.5" customHeight="1" x14ac:dyDescent="0.55000000000000004">
      <c r="B58" s="65" t="s">
        <v>18</v>
      </c>
      <c r="C58" s="332"/>
      <c r="D58" s="332"/>
      <c r="E58" s="332"/>
      <c r="F58" s="332"/>
      <c r="G58" s="332"/>
      <c r="H58" s="332"/>
      <c r="I58" s="332"/>
      <c r="J58" s="332"/>
      <c r="K58" s="332"/>
      <c r="L58" s="332"/>
      <c r="M58" s="332"/>
      <c r="N58" s="343"/>
      <c r="O58" s="264" t="str">
        <f>IF(ISERROR(12*SUM(C58:N59)/COUNT(C58:N59)),"",12*SUM(C58:N59)/COUNT(C58:N59))</f>
        <v/>
      </c>
      <c r="P58" s="262" t="str">
        <f>IF(P61=0,"",IF(P63=1,"未入力欄を確認",IF(P61=1,"年度を選択",IF(P61=2,"エネルギー種別を選択",IF($E55="温水・冷水",計算!$J$27,IF($E55="産業用蒸気",計算!$J$28,IF($E55="産業用以外の蒸気",計算!$J$29,IF($E55="灯油",計算!$J$30,IF($E55="軽油",計算!$J$31,IF($E55="A重油",計算!$J$32,IF($E55="B・Ｃ重油",計算!$J$33,"")))))))))))</f>
        <v/>
      </c>
    </row>
    <row r="59" spans="2:20" ht="19.5" customHeight="1" thickBot="1" x14ac:dyDescent="0.6">
      <c r="B59" s="66" t="str">
        <f>IF(OR(E55="温水・冷水",E55="産業用蒸気",E55="産業用以外の蒸気"),"［MJ］","［L］")</f>
        <v>［L］</v>
      </c>
      <c r="C59" s="339"/>
      <c r="D59" s="339"/>
      <c r="E59" s="339"/>
      <c r="F59" s="339"/>
      <c r="G59" s="339"/>
      <c r="H59" s="339"/>
      <c r="I59" s="339"/>
      <c r="J59" s="334"/>
      <c r="K59" s="334"/>
      <c r="L59" s="334"/>
      <c r="M59" s="334"/>
      <c r="N59" s="344"/>
      <c r="O59" s="265"/>
      <c r="P59" s="263"/>
    </row>
    <row r="60" spans="2:20" ht="38.25" customHeight="1" thickTop="1" thickBot="1" x14ac:dyDescent="0.6">
      <c r="B60" s="67" t="s">
        <v>411</v>
      </c>
      <c r="C60" s="336"/>
      <c r="D60" s="336"/>
      <c r="E60" s="336"/>
      <c r="F60" s="336"/>
      <c r="G60" s="336"/>
      <c r="H60" s="336"/>
      <c r="I60" s="336"/>
      <c r="J60" s="340"/>
      <c r="K60" s="340"/>
      <c r="L60" s="340"/>
      <c r="M60" s="340"/>
      <c r="N60" s="345"/>
      <c r="O60" s="70" t="str">
        <f>IF(ISERROR(12*SUM(C60:N60)/COUNT(C60:N60)),"",12*SUM(C60:N60)/COUNT(C60:N60))</f>
        <v/>
      </c>
      <c r="P60" s="98">
        <f>IF(AND(O58="",O60="",P63=0),0,IF(OR(B56="",B56="年度を選択"),1,IF(OR(E55="",E55="エネルギー種別を選択"),2,4)))</f>
        <v>0</v>
      </c>
      <c r="Q60" s="158"/>
    </row>
    <row r="61" spans="2:20" ht="18.75" hidden="1" customHeight="1" x14ac:dyDescent="0.55000000000000004">
      <c r="B61" s="160" t="s">
        <v>444</v>
      </c>
      <c r="C61" s="159">
        <f>IF(C57="",2,IF(C57&lt;&gt;"",0,1))</f>
        <v>2</v>
      </c>
      <c r="D61" s="159">
        <f t="shared" ref="D61:L61" si="11">IF(D57="",2,IF(D57&lt;&gt;"",0,1))</f>
        <v>2</v>
      </c>
      <c r="E61" s="159">
        <f t="shared" si="11"/>
        <v>2</v>
      </c>
      <c r="F61" s="159">
        <f t="shared" si="11"/>
        <v>2</v>
      </c>
      <c r="G61" s="159">
        <f t="shared" si="11"/>
        <v>2</v>
      </c>
      <c r="H61" s="159">
        <f t="shared" si="11"/>
        <v>2</v>
      </c>
      <c r="I61" s="159">
        <f t="shared" si="11"/>
        <v>2</v>
      </c>
      <c r="J61" s="159">
        <f t="shared" si="11"/>
        <v>2</v>
      </c>
      <c r="K61" s="159">
        <f t="shared" si="11"/>
        <v>2</v>
      </c>
      <c r="L61" s="159">
        <f t="shared" si="11"/>
        <v>2</v>
      </c>
      <c r="M61" s="159">
        <f>IF(M57="",2,IF(M57&lt;&gt;"",0,1))</f>
        <v>2</v>
      </c>
      <c r="N61" s="159">
        <f t="shared" ref="N61" si="12">IF(N57="",2,IF(N57&lt;&gt;"",0,1))</f>
        <v>2</v>
      </c>
      <c r="O61" s="159" t="str">
        <f>IF(R61&gt;1,"入力確認",IF(Q61=Q62,"入力済","未入力"))</f>
        <v>入力済</v>
      </c>
      <c r="P61" s="161">
        <f>P60</f>
        <v>0</v>
      </c>
      <c r="Q61" s="158">
        <f>COUNTIF($C61:$N61,0)</f>
        <v>0</v>
      </c>
      <c r="R61" s="158">
        <f>COUNTIF($C61:$N61,1)</f>
        <v>0</v>
      </c>
      <c r="S61" s="158">
        <f>COUNTIF($C61:$N61,2)</f>
        <v>12</v>
      </c>
      <c r="T61" s="158"/>
    </row>
    <row r="62" spans="2:20" ht="18.75" hidden="1" customHeight="1" x14ac:dyDescent="0.55000000000000004">
      <c r="B62" s="160" t="s">
        <v>445</v>
      </c>
      <c r="C62" s="159">
        <f>IF(AND(C58="",C60=""),2,IF(AND(C58&lt;&gt;"",C60&lt;&gt;""),0,1))</f>
        <v>2</v>
      </c>
      <c r="D62" s="159">
        <f t="shared" ref="D62:N62" si="13">IF(AND(D58="",D60=""),2,IF(AND(D58&lt;&gt;"",D60&lt;&gt;""),0,1))</f>
        <v>2</v>
      </c>
      <c r="E62" s="159">
        <f t="shared" si="13"/>
        <v>2</v>
      </c>
      <c r="F62" s="159">
        <f t="shared" si="13"/>
        <v>2</v>
      </c>
      <c r="G62" s="159">
        <f t="shared" si="13"/>
        <v>2</v>
      </c>
      <c r="H62" s="159">
        <f t="shared" si="13"/>
        <v>2</v>
      </c>
      <c r="I62" s="159">
        <f t="shared" si="13"/>
        <v>2</v>
      </c>
      <c r="J62" s="159">
        <f t="shared" si="13"/>
        <v>2</v>
      </c>
      <c r="K62" s="159">
        <f t="shared" si="13"/>
        <v>2</v>
      </c>
      <c r="L62" s="159">
        <f t="shared" si="13"/>
        <v>2</v>
      </c>
      <c r="M62" s="159">
        <f t="shared" si="13"/>
        <v>2</v>
      </c>
      <c r="N62" s="159">
        <f t="shared" si="13"/>
        <v>2</v>
      </c>
      <c r="O62" s="159" t="str">
        <f>IF(R62&gt;1,"入力確認",IF(Q62+S62=12,"入力済","未入力"))</f>
        <v>入力済</v>
      </c>
      <c r="P62" s="161"/>
      <c r="Q62" s="158">
        <f>COUNTIF($C62:$N62,0)</f>
        <v>0</v>
      </c>
      <c r="R62" s="158">
        <f>COUNTIF($C62:$N62,1)</f>
        <v>0</v>
      </c>
      <c r="S62" s="158">
        <f>COUNTIF($C62:$N62,2)</f>
        <v>12</v>
      </c>
    </row>
    <row r="63" spans="2:20" ht="18.75" hidden="1" customHeight="1" x14ac:dyDescent="0.55000000000000004">
      <c r="B63" s="160" t="s">
        <v>446</v>
      </c>
      <c r="C63" s="159">
        <f>IF(AND(C61=2,C62=2),2,IF(C61&lt;&gt;C62,1,IF(AND(C61=0,C62=0),0,4)))</f>
        <v>2</v>
      </c>
      <c r="D63" s="159">
        <f t="shared" ref="D63:N63" si="14">IF(AND(D61=2,D62=2),2,IF(D61&lt;&gt;D62,1,IF(AND(D61=0,D62=0),0,4)))</f>
        <v>2</v>
      </c>
      <c r="E63" s="159">
        <f t="shared" si="14"/>
        <v>2</v>
      </c>
      <c r="F63" s="159">
        <f t="shared" si="14"/>
        <v>2</v>
      </c>
      <c r="G63" s="159">
        <f t="shared" si="14"/>
        <v>2</v>
      </c>
      <c r="H63" s="159">
        <f t="shared" si="14"/>
        <v>2</v>
      </c>
      <c r="I63" s="159">
        <f t="shared" si="14"/>
        <v>2</v>
      </c>
      <c r="J63" s="159">
        <f t="shared" si="14"/>
        <v>2</v>
      </c>
      <c r="K63" s="159">
        <f t="shared" si="14"/>
        <v>2</v>
      </c>
      <c r="L63" s="159">
        <f t="shared" si="14"/>
        <v>2</v>
      </c>
      <c r="M63" s="159">
        <f t="shared" si="14"/>
        <v>2</v>
      </c>
      <c r="N63" s="159">
        <f t="shared" si="14"/>
        <v>2</v>
      </c>
      <c r="O63" s="159" t="str">
        <f>IF(R63&gt;1,"入力確認",IF(Q63+S63=12,"入力済","未入力"))</f>
        <v>入力済</v>
      </c>
      <c r="P63" s="161">
        <f>IF(O63="未入力",1,IF(O63="入力済",0,2))</f>
        <v>0</v>
      </c>
      <c r="Q63" s="158">
        <f>COUNTIF($C63:$N63,0)</f>
        <v>0</v>
      </c>
      <c r="R63" s="158">
        <f>COUNTIF($C63:$N63,1)</f>
        <v>0</v>
      </c>
      <c r="S63" s="158">
        <f>COUNTIF($C63:$N63,2)</f>
        <v>12</v>
      </c>
    </row>
    <row r="64" spans="2:20" x14ac:dyDescent="0.55000000000000004">
      <c r="E64" s="71"/>
      <c r="F64" s="71"/>
      <c r="G64" s="71"/>
      <c r="H64" s="71"/>
      <c r="O64" s="72"/>
    </row>
    <row r="65" spans="2:20" x14ac:dyDescent="0.55000000000000004">
      <c r="E65" s="71"/>
      <c r="F65" s="71"/>
      <c r="G65" s="71"/>
      <c r="H65" s="71"/>
      <c r="O65" s="72"/>
    </row>
    <row r="66" spans="2:20" ht="20.25" customHeight="1" thickBot="1" x14ac:dyDescent="0.6">
      <c r="B66" s="59" t="s">
        <v>202</v>
      </c>
      <c r="E66" s="341" t="s">
        <v>254</v>
      </c>
      <c r="F66" s="341"/>
      <c r="G66" s="62"/>
      <c r="H66" s="73"/>
      <c r="I66" s="73"/>
      <c r="K66" s="61"/>
    </row>
    <row r="67" spans="2:20" ht="19.5" customHeight="1" x14ac:dyDescent="0.55000000000000004">
      <c r="B67" s="330" t="s">
        <v>253</v>
      </c>
      <c r="C67" s="63" t="s">
        <v>32</v>
      </c>
      <c r="D67" s="64" t="s">
        <v>31</v>
      </c>
      <c r="E67" s="64" t="s">
        <v>30</v>
      </c>
      <c r="F67" s="64" t="s">
        <v>29</v>
      </c>
      <c r="G67" s="64" t="s">
        <v>28</v>
      </c>
      <c r="H67" s="64" t="s">
        <v>27</v>
      </c>
      <c r="I67" s="64" t="s">
        <v>26</v>
      </c>
      <c r="J67" s="64" t="s">
        <v>25</v>
      </c>
      <c r="K67" s="64" t="s">
        <v>24</v>
      </c>
      <c r="L67" s="63" t="s">
        <v>23</v>
      </c>
      <c r="M67" s="64" t="s">
        <v>22</v>
      </c>
      <c r="N67" s="68" t="s">
        <v>21</v>
      </c>
      <c r="O67" s="139"/>
      <c r="P67" s="69"/>
    </row>
    <row r="68" spans="2:20" ht="38.25" customHeight="1" x14ac:dyDescent="0.55000000000000004">
      <c r="B68" s="66" t="s">
        <v>412</v>
      </c>
      <c r="C68" s="331"/>
      <c r="D68" s="331"/>
      <c r="E68" s="331"/>
      <c r="F68" s="331"/>
      <c r="G68" s="331"/>
      <c r="H68" s="331"/>
      <c r="I68" s="331"/>
      <c r="J68" s="331"/>
      <c r="K68" s="331"/>
      <c r="L68" s="331"/>
      <c r="M68" s="331"/>
      <c r="N68" s="338"/>
      <c r="O68" s="134" t="s">
        <v>414</v>
      </c>
      <c r="P68" s="138" t="s">
        <v>413</v>
      </c>
    </row>
    <row r="69" spans="2:20" ht="19.5" customHeight="1" x14ac:dyDescent="0.55000000000000004">
      <c r="B69" s="65" t="s">
        <v>18</v>
      </c>
      <c r="C69" s="332"/>
      <c r="D69" s="332"/>
      <c r="E69" s="332"/>
      <c r="F69" s="332"/>
      <c r="G69" s="332"/>
      <c r="H69" s="332"/>
      <c r="I69" s="332"/>
      <c r="J69" s="332"/>
      <c r="K69" s="332"/>
      <c r="L69" s="332"/>
      <c r="M69" s="332"/>
      <c r="N69" s="332"/>
      <c r="O69" s="264" t="str">
        <f>IF(ISERROR(12*SUM(C69:N70)/COUNT(C69:N70)),"",12*SUM(C69:N70)/COUNT(C69:N70))</f>
        <v/>
      </c>
      <c r="P69" s="262" t="str">
        <f>IF(P72=0,"",IF(P74=1,"未入力欄を確認",IF(P72=1,"年度を選択",IF(P72=2,"エネルギー種別を選択",IF($E66="温水・冷水",計算!$J$36,IF($E66="産業用蒸気",計算!$J$37,IF($E66="産業用以外の蒸気",計算!$J$38,IF($E66="灯油",計算!$J$39,IF($E66="軽油",計算!$J$40,IF($E66="A重油",計算!$J$41,IF($E66="B・Ｃ重油",計算!$J$42,"")))))))))))</f>
        <v/>
      </c>
    </row>
    <row r="70" spans="2:20" ht="19.5" customHeight="1" thickBot="1" x14ac:dyDescent="0.6">
      <c r="B70" s="66" t="str">
        <f>IF(OR(E66="温水・冷水",E66="産業用蒸気",E66="産業用以外の蒸気"),"［MJ］","［L］")</f>
        <v>［L］</v>
      </c>
      <c r="C70" s="339"/>
      <c r="D70" s="339"/>
      <c r="E70" s="339"/>
      <c r="F70" s="339"/>
      <c r="G70" s="339"/>
      <c r="H70" s="339"/>
      <c r="I70" s="339"/>
      <c r="J70" s="334"/>
      <c r="K70" s="334"/>
      <c r="L70" s="334"/>
      <c r="M70" s="334"/>
      <c r="N70" s="334"/>
      <c r="O70" s="265"/>
      <c r="P70" s="263"/>
    </row>
    <row r="71" spans="2:20" ht="38.25" customHeight="1" thickTop="1" thickBot="1" x14ac:dyDescent="0.6">
      <c r="B71" s="67" t="s">
        <v>411</v>
      </c>
      <c r="C71" s="336"/>
      <c r="D71" s="336"/>
      <c r="E71" s="336"/>
      <c r="F71" s="336"/>
      <c r="G71" s="336"/>
      <c r="H71" s="336"/>
      <c r="I71" s="336"/>
      <c r="J71" s="340"/>
      <c r="K71" s="340"/>
      <c r="L71" s="340"/>
      <c r="M71" s="340"/>
      <c r="N71" s="340"/>
      <c r="O71" s="70" t="str">
        <f>IF(ISERROR(12*SUM(C71:N71)/COUNT(C71:N71)),"",12*SUM(C71:N71)/COUNT(C71:N71))</f>
        <v/>
      </c>
      <c r="P71" s="98">
        <f>IF(AND(O69="",O71="",P74=0),0,IF(OR(B67="",B67="年度を選択"),1,IF(OR(E66="",E66="エネルギー種別を選択"),2,4)))</f>
        <v>0</v>
      </c>
      <c r="Q71" s="158"/>
    </row>
    <row r="72" spans="2:20" ht="18.75" hidden="1" customHeight="1" x14ac:dyDescent="0.55000000000000004">
      <c r="B72" s="160" t="s">
        <v>444</v>
      </c>
      <c r="C72" s="159">
        <f>IF(C68="",2,IF(C68&lt;&gt;"",0,1))</f>
        <v>2</v>
      </c>
      <c r="D72" s="159">
        <f t="shared" ref="D72:L72" si="15">IF(D68="",2,IF(D68&lt;&gt;"",0,1))</f>
        <v>2</v>
      </c>
      <c r="E72" s="159">
        <f t="shared" si="15"/>
        <v>2</v>
      </c>
      <c r="F72" s="159">
        <f t="shared" si="15"/>
        <v>2</v>
      </c>
      <c r="G72" s="159">
        <f t="shared" si="15"/>
        <v>2</v>
      </c>
      <c r="H72" s="159">
        <f t="shared" si="15"/>
        <v>2</v>
      </c>
      <c r="I72" s="159">
        <f t="shared" si="15"/>
        <v>2</v>
      </c>
      <c r="J72" s="159">
        <f t="shared" si="15"/>
        <v>2</v>
      </c>
      <c r="K72" s="159">
        <f t="shared" si="15"/>
        <v>2</v>
      </c>
      <c r="L72" s="159">
        <f t="shared" si="15"/>
        <v>2</v>
      </c>
      <c r="M72" s="159">
        <f>IF(M68="",2,IF(M68&lt;&gt;"",0,1))</f>
        <v>2</v>
      </c>
      <c r="N72" s="159">
        <f t="shared" ref="N72" si="16">IF(N68="",2,IF(N68&lt;&gt;"",0,1))</f>
        <v>2</v>
      </c>
      <c r="O72" s="159" t="str">
        <f>IF(R72&gt;1,"入力確認",IF(Q72=Q73,"入力済","未入力"))</f>
        <v>入力済</v>
      </c>
      <c r="P72" s="161">
        <f>P71</f>
        <v>0</v>
      </c>
      <c r="Q72" s="158">
        <f>COUNTIF($C72:$N72,0)</f>
        <v>0</v>
      </c>
      <c r="R72" s="158">
        <f>COUNTIF($C72:$N72,1)</f>
        <v>0</v>
      </c>
      <c r="S72" s="158">
        <f>COUNTIF($C72:$N72,2)</f>
        <v>12</v>
      </c>
      <c r="T72" s="158"/>
    </row>
    <row r="73" spans="2:20" ht="18.75" hidden="1" customHeight="1" x14ac:dyDescent="0.55000000000000004">
      <c r="B73" s="160" t="s">
        <v>445</v>
      </c>
      <c r="C73" s="159">
        <f>IF(AND(C69="",C71=""),2,IF(AND(C69&lt;&gt;"",C71&lt;&gt;""),0,1))</f>
        <v>2</v>
      </c>
      <c r="D73" s="159">
        <f t="shared" ref="D73:N73" si="17">IF(AND(D69="",D71=""),2,IF(AND(D69&lt;&gt;"",D71&lt;&gt;""),0,1))</f>
        <v>2</v>
      </c>
      <c r="E73" s="159">
        <f t="shared" si="17"/>
        <v>2</v>
      </c>
      <c r="F73" s="159">
        <f t="shared" si="17"/>
        <v>2</v>
      </c>
      <c r="G73" s="159">
        <f t="shared" si="17"/>
        <v>2</v>
      </c>
      <c r="H73" s="159">
        <f t="shared" si="17"/>
        <v>2</v>
      </c>
      <c r="I73" s="159">
        <f t="shared" si="17"/>
        <v>2</v>
      </c>
      <c r="J73" s="159">
        <f t="shared" si="17"/>
        <v>2</v>
      </c>
      <c r="K73" s="159">
        <f t="shared" si="17"/>
        <v>2</v>
      </c>
      <c r="L73" s="159">
        <f t="shared" si="17"/>
        <v>2</v>
      </c>
      <c r="M73" s="159">
        <f t="shared" si="17"/>
        <v>2</v>
      </c>
      <c r="N73" s="159">
        <f t="shared" si="17"/>
        <v>2</v>
      </c>
      <c r="O73" s="159" t="str">
        <f>IF(R73&gt;1,"入力確認",IF(Q73+S73=12,"入力済","未入力"))</f>
        <v>入力済</v>
      </c>
      <c r="P73" s="161"/>
      <c r="Q73" s="158">
        <f>COUNTIF($C73:$N73,0)</f>
        <v>0</v>
      </c>
      <c r="R73" s="158">
        <f>COUNTIF($C73:$N73,1)</f>
        <v>0</v>
      </c>
      <c r="S73" s="158">
        <f>COUNTIF($C73:$N73,2)</f>
        <v>12</v>
      </c>
    </row>
    <row r="74" spans="2:20" ht="18.75" hidden="1" customHeight="1" x14ac:dyDescent="0.55000000000000004">
      <c r="B74" s="160" t="s">
        <v>446</v>
      </c>
      <c r="C74" s="159">
        <f>IF(AND(C72=2,C73=2),2,IF(C72&lt;&gt;C73,1,IF(AND(C72=0,C73=0),0,4)))</f>
        <v>2</v>
      </c>
      <c r="D74" s="159">
        <f t="shared" ref="D74:N74" si="18">IF(AND(D72=2,D73=2),2,IF(D72&lt;&gt;D73,1,IF(AND(D72=0,D73=0),0,4)))</f>
        <v>2</v>
      </c>
      <c r="E74" s="159">
        <f t="shared" si="18"/>
        <v>2</v>
      </c>
      <c r="F74" s="159">
        <f t="shared" si="18"/>
        <v>2</v>
      </c>
      <c r="G74" s="159">
        <f t="shared" si="18"/>
        <v>2</v>
      </c>
      <c r="H74" s="159">
        <f t="shared" si="18"/>
        <v>2</v>
      </c>
      <c r="I74" s="159">
        <f t="shared" si="18"/>
        <v>2</v>
      </c>
      <c r="J74" s="159">
        <f t="shared" si="18"/>
        <v>2</v>
      </c>
      <c r="K74" s="159">
        <f t="shared" si="18"/>
        <v>2</v>
      </c>
      <c r="L74" s="159">
        <f t="shared" si="18"/>
        <v>2</v>
      </c>
      <c r="M74" s="159">
        <f t="shared" si="18"/>
        <v>2</v>
      </c>
      <c r="N74" s="159">
        <f t="shared" si="18"/>
        <v>2</v>
      </c>
      <c r="O74" s="159" t="str">
        <f>IF(R74&gt;1,"入力確認",IF(Q74+S74=12,"入力済","未入力"))</f>
        <v>入力済</v>
      </c>
      <c r="P74" s="161">
        <f>IF(O74="未入力",1,IF(O74="入力済",0,2))</f>
        <v>0</v>
      </c>
      <c r="Q74" s="158">
        <f>COUNTIF($C74:$N74,0)</f>
        <v>0</v>
      </c>
      <c r="R74" s="158">
        <f>COUNTIF($C74:$N74,1)</f>
        <v>0</v>
      </c>
      <c r="S74" s="158">
        <f>COUNTIF($C74:$N74,2)</f>
        <v>12</v>
      </c>
    </row>
    <row r="75" spans="2:20" x14ac:dyDescent="0.55000000000000004">
      <c r="E75" s="71"/>
      <c r="F75" s="71"/>
      <c r="G75" s="71"/>
      <c r="H75" s="71"/>
      <c r="O75" s="72"/>
    </row>
    <row r="76" spans="2:20" x14ac:dyDescent="0.55000000000000004">
      <c r="E76" s="71"/>
      <c r="F76" s="71"/>
      <c r="G76" s="71"/>
      <c r="H76" s="71"/>
      <c r="O76" s="72"/>
    </row>
    <row r="77" spans="2:20" ht="20.25" customHeight="1" thickBot="1" x14ac:dyDescent="0.6">
      <c r="B77" s="59" t="s">
        <v>203</v>
      </c>
      <c r="E77" s="341" t="s">
        <v>254</v>
      </c>
      <c r="F77" s="341"/>
      <c r="G77" s="62"/>
      <c r="H77" s="73"/>
      <c r="I77" s="73"/>
      <c r="K77" s="61"/>
    </row>
    <row r="78" spans="2:20" ht="19.5" customHeight="1" x14ac:dyDescent="0.55000000000000004">
      <c r="B78" s="330" t="s">
        <v>253</v>
      </c>
      <c r="C78" s="63" t="s">
        <v>32</v>
      </c>
      <c r="D78" s="64" t="s">
        <v>31</v>
      </c>
      <c r="E78" s="64" t="s">
        <v>30</v>
      </c>
      <c r="F78" s="64" t="s">
        <v>29</v>
      </c>
      <c r="G78" s="64" t="s">
        <v>28</v>
      </c>
      <c r="H78" s="64" t="s">
        <v>27</v>
      </c>
      <c r="I78" s="64" t="s">
        <v>26</v>
      </c>
      <c r="J78" s="64" t="s">
        <v>25</v>
      </c>
      <c r="K78" s="64" t="s">
        <v>24</v>
      </c>
      <c r="L78" s="63" t="s">
        <v>23</v>
      </c>
      <c r="M78" s="64" t="s">
        <v>22</v>
      </c>
      <c r="N78" s="68" t="s">
        <v>21</v>
      </c>
      <c r="O78" s="139"/>
      <c r="P78" s="69"/>
    </row>
    <row r="79" spans="2:20" ht="38.25" customHeight="1" x14ac:dyDescent="0.55000000000000004">
      <c r="B79" s="66" t="s">
        <v>412</v>
      </c>
      <c r="C79" s="331"/>
      <c r="D79" s="331"/>
      <c r="E79" s="331"/>
      <c r="F79" s="331"/>
      <c r="G79" s="331"/>
      <c r="H79" s="331"/>
      <c r="I79" s="331"/>
      <c r="J79" s="331"/>
      <c r="K79" s="331"/>
      <c r="L79" s="331"/>
      <c r="M79" s="331"/>
      <c r="N79" s="338"/>
      <c r="O79" s="134" t="s">
        <v>414</v>
      </c>
      <c r="P79" s="138" t="s">
        <v>413</v>
      </c>
    </row>
    <row r="80" spans="2:20" ht="19.5" customHeight="1" x14ac:dyDescent="0.55000000000000004">
      <c r="B80" s="65" t="s">
        <v>18</v>
      </c>
      <c r="C80" s="332"/>
      <c r="D80" s="332"/>
      <c r="E80" s="332"/>
      <c r="F80" s="332"/>
      <c r="G80" s="332"/>
      <c r="H80" s="332"/>
      <c r="I80" s="332"/>
      <c r="J80" s="332"/>
      <c r="K80" s="332"/>
      <c r="L80" s="332"/>
      <c r="M80" s="332"/>
      <c r="N80" s="332"/>
      <c r="O80" s="264" t="str">
        <f>IF(ISERROR(12*SUM(C80:N81)/COUNT(C80:N81)),"",12*SUM(C80:N81)/COUNT(C80:N81))</f>
        <v/>
      </c>
      <c r="P80" s="262" t="str">
        <f>IF(P83=0,"",IF(P85=1,"未入力欄を確認",IF(P83=1,"年度を選択",IF(P83=2,"エネルギー種別を選択",IF($E77="温水・冷水",計算!$J$45,IF($E77="産業用蒸気",計算!$J$46,IF($E77="産業用以外の蒸気",計算!$J$47,IF($E77="灯油",計算!$J$48,IF($E77="軽油",計算!$J$49,IF($E77="A重油",計算!$J$50,IF($E77="B・Ｃ重油",計算!J51,"")))))))))))</f>
        <v/>
      </c>
    </row>
    <row r="81" spans="2:20" ht="19.5" customHeight="1" thickBot="1" x14ac:dyDescent="0.6">
      <c r="B81" s="66" t="str">
        <f>IF(OR(E77="温水・冷水",E77="産業用蒸気",E77="産業用以外の蒸気"),"［MJ］","［L］")</f>
        <v>［L］</v>
      </c>
      <c r="C81" s="339"/>
      <c r="D81" s="339"/>
      <c r="E81" s="339"/>
      <c r="F81" s="339"/>
      <c r="G81" s="339"/>
      <c r="H81" s="339"/>
      <c r="I81" s="339"/>
      <c r="J81" s="334"/>
      <c r="K81" s="334"/>
      <c r="L81" s="334"/>
      <c r="M81" s="334"/>
      <c r="N81" s="334"/>
      <c r="O81" s="265"/>
      <c r="P81" s="263"/>
    </row>
    <row r="82" spans="2:20" ht="38.25" customHeight="1" thickTop="1" thickBot="1" x14ac:dyDescent="0.6">
      <c r="B82" s="67" t="s">
        <v>411</v>
      </c>
      <c r="C82" s="336"/>
      <c r="D82" s="336"/>
      <c r="E82" s="336"/>
      <c r="F82" s="336"/>
      <c r="G82" s="336"/>
      <c r="H82" s="336"/>
      <c r="I82" s="336"/>
      <c r="J82" s="340"/>
      <c r="K82" s="340"/>
      <c r="L82" s="340"/>
      <c r="M82" s="340"/>
      <c r="N82" s="340"/>
      <c r="O82" s="70" t="str">
        <f>IF(ISERROR(12*SUM(C82:N82)/COUNT(C82:N82)),"",12*SUM(C82:N82)/COUNT(C82:N82))</f>
        <v/>
      </c>
      <c r="P82" s="98">
        <f>IF(AND(O80="",O82="",P85=0),0,IF(OR(B78="",B78="年度を選択"),1,IF(OR(E77="",E77="エネルギー種別を選択"),2,4)))</f>
        <v>0</v>
      </c>
      <c r="Q82" s="158"/>
    </row>
    <row r="83" spans="2:20" ht="18.75" hidden="1" customHeight="1" x14ac:dyDescent="0.55000000000000004">
      <c r="B83" s="160" t="s">
        <v>444</v>
      </c>
      <c r="C83" s="159">
        <f>IF(C79="",2,IF(C79&lt;&gt;"",0,1))</f>
        <v>2</v>
      </c>
      <c r="D83" s="159">
        <f t="shared" ref="D83:L83" si="19">IF(D79="",2,IF(D79&lt;&gt;"",0,1))</f>
        <v>2</v>
      </c>
      <c r="E83" s="159">
        <f t="shared" si="19"/>
        <v>2</v>
      </c>
      <c r="F83" s="159">
        <f t="shared" si="19"/>
        <v>2</v>
      </c>
      <c r="G83" s="159">
        <f t="shared" si="19"/>
        <v>2</v>
      </c>
      <c r="H83" s="159">
        <f t="shared" si="19"/>
        <v>2</v>
      </c>
      <c r="I83" s="159">
        <f t="shared" si="19"/>
        <v>2</v>
      </c>
      <c r="J83" s="159">
        <f t="shared" si="19"/>
        <v>2</v>
      </c>
      <c r="K83" s="159">
        <f t="shared" si="19"/>
        <v>2</v>
      </c>
      <c r="L83" s="159">
        <f t="shared" si="19"/>
        <v>2</v>
      </c>
      <c r="M83" s="159">
        <f>IF(M79="",2,IF(M79&lt;&gt;"",0,1))</f>
        <v>2</v>
      </c>
      <c r="N83" s="159">
        <f t="shared" ref="N83" si="20">IF(N79="",2,IF(N79&lt;&gt;"",0,1))</f>
        <v>2</v>
      </c>
      <c r="O83" s="159" t="str">
        <f>IF(R83&gt;1,"入力確認",IF(Q83=Q84,"入力済","未入力"))</f>
        <v>入力済</v>
      </c>
      <c r="P83" s="161">
        <f>P82</f>
        <v>0</v>
      </c>
      <c r="Q83" s="158">
        <f>COUNTIF($C83:$N83,0)</f>
        <v>0</v>
      </c>
      <c r="R83" s="158">
        <f>COUNTIF($C83:$N83,1)</f>
        <v>0</v>
      </c>
      <c r="S83" s="158">
        <f>COUNTIF($C83:$N83,2)</f>
        <v>12</v>
      </c>
      <c r="T83" s="158"/>
    </row>
    <row r="84" spans="2:20" ht="18.75" hidden="1" customHeight="1" x14ac:dyDescent="0.55000000000000004">
      <c r="B84" s="160" t="s">
        <v>445</v>
      </c>
      <c r="C84" s="159">
        <f>IF(AND(C80="",C82=""),2,IF(AND(C80&lt;&gt;"",C82&lt;&gt;""),0,1))</f>
        <v>2</v>
      </c>
      <c r="D84" s="159">
        <f t="shared" ref="D84:N84" si="21">IF(AND(D80="",D82=""),2,IF(AND(D80&lt;&gt;"",D82&lt;&gt;""),0,1))</f>
        <v>2</v>
      </c>
      <c r="E84" s="159">
        <f t="shared" si="21"/>
        <v>2</v>
      </c>
      <c r="F84" s="159">
        <f t="shared" si="21"/>
        <v>2</v>
      </c>
      <c r="G84" s="159">
        <f t="shared" si="21"/>
        <v>2</v>
      </c>
      <c r="H84" s="159">
        <f t="shared" si="21"/>
        <v>2</v>
      </c>
      <c r="I84" s="159">
        <f t="shared" si="21"/>
        <v>2</v>
      </c>
      <c r="J84" s="159">
        <f t="shared" si="21"/>
        <v>2</v>
      </c>
      <c r="K84" s="159">
        <f t="shared" si="21"/>
        <v>2</v>
      </c>
      <c r="L84" s="159">
        <f t="shared" si="21"/>
        <v>2</v>
      </c>
      <c r="M84" s="159">
        <f t="shared" si="21"/>
        <v>2</v>
      </c>
      <c r="N84" s="159">
        <f t="shared" si="21"/>
        <v>2</v>
      </c>
      <c r="O84" s="159" t="str">
        <f>IF(R84&gt;1,"入力確認",IF(Q84+S84=12,"入力済","未入力"))</f>
        <v>入力済</v>
      </c>
      <c r="P84" s="161"/>
      <c r="Q84" s="158">
        <f>COUNTIF($C84:$N84,0)</f>
        <v>0</v>
      </c>
      <c r="R84" s="158">
        <f>COUNTIF($C84:$N84,1)</f>
        <v>0</v>
      </c>
      <c r="S84" s="158">
        <f>COUNTIF($C84:$N84,2)</f>
        <v>12</v>
      </c>
    </row>
    <row r="85" spans="2:20" ht="18.75" hidden="1" customHeight="1" x14ac:dyDescent="0.55000000000000004">
      <c r="B85" s="160" t="s">
        <v>446</v>
      </c>
      <c r="C85" s="159">
        <f>IF(AND(C83=2,C84=2),2,IF(C83&lt;&gt;C84,1,IF(AND(C83=0,C84=0),0,4)))</f>
        <v>2</v>
      </c>
      <c r="D85" s="159">
        <f t="shared" ref="D85:N85" si="22">IF(AND(D83=2,D84=2),2,IF(D83&lt;&gt;D84,1,IF(AND(D83=0,D84=0),0,4)))</f>
        <v>2</v>
      </c>
      <c r="E85" s="159">
        <f t="shared" si="22"/>
        <v>2</v>
      </c>
      <c r="F85" s="159">
        <f t="shared" si="22"/>
        <v>2</v>
      </c>
      <c r="G85" s="159">
        <f t="shared" si="22"/>
        <v>2</v>
      </c>
      <c r="H85" s="159">
        <f t="shared" si="22"/>
        <v>2</v>
      </c>
      <c r="I85" s="159">
        <f t="shared" si="22"/>
        <v>2</v>
      </c>
      <c r="J85" s="159">
        <f t="shared" si="22"/>
        <v>2</v>
      </c>
      <c r="K85" s="159">
        <f t="shared" si="22"/>
        <v>2</v>
      </c>
      <c r="L85" s="159">
        <f t="shared" si="22"/>
        <v>2</v>
      </c>
      <c r="M85" s="159">
        <f t="shared" si="22"/>
        <v>2</v>
      </c>
      <c r="N85" s="159">
        <f t="shared" si="22"/>
        <v>2</v>
      </c>
      <c r="O85" s="159" t="str">
        <f>IF(R85&gt;1,"入力確認",IF(Q85+S85=12,"入力済","未入力"))</f>
        <v>入力済</v>
      </c>
      <c r="P85" s="161">
        <f>IF(O85="未入力",1,IF(O85="入力済",0,2))</f>
        <v>0</v>
      </c>
      <c r="Q85" s="158">
        <f>COUNTIF($C85:$N85,0)</f>
        <v>0</v>
      </c>
      <c r="R85" s="158">
        <f>COUNTIF($C85:$N85,1)</f>
        <v>0</v>
      </c>
      <c r="S85" s="158">
        <f>COUNTIF($C85:$N85,2)</f>
        <v>12</v>
      </c>
    </row>
  </sheetData>
  <sheetProtection algorithmName="SHA-512" hashValue="PFyXX+bW1bowtH8i0SEBP2g5HDwPAHLRnfBcpATFxQe5vK4Bq+FoCn0VQ37e2kdgxwLOebgVxEBrYC/KRb40Vg==" saltValue="MmVaXNzeUDEOTN8EyRv7Hw==" spinCount="100000" sheet="1" objects="1" scenarios="1" selectLockedCells="1" selectUnlockedCells="1"/>
  <mergeCells count="90">
    <mergeCell ref="P80:P81"/>
    <mergeCell ref="I80:I81"/>
    <mergeCell ref="J80:J81"/>
    <mergeCell ref="K80:K81"/>
    <mergeCell ref="L80:L81"/>
    <mergeCell ref="M80:M81"/>
    <mergeCell ref="N80:N81"/>
    <mergeCell ref="O69:O70"/>
    <mergeCell ref="P69:P70"/>
    <mergeCell ref="E77:F77"/>
    <mergeCell ref="C80:C81"/>
    <mergeCell ref="D80:D81"/>
    <mergeCell ref="E80:E81"/>
    <mergeCell ref="F80:F81"/>
    <mergeCell ref="G80:G81"/>
    <mergeCell ref="H80:H81"/>
    <mergeCell ref="H69:H70"/>
    <mergeCell ref="I69:I70"/>
    <mergeCell ref="J69:J70"/>
    <mergeCell ref="K69:K70"/>
    <mergeCell ref="L69:L70"/>
    <mergeCell ref="M69:M70"/>
    <mergeCell ref="O80:O81"/>
    <mergeCell ref="E66:F66"/>
    <mergeCell ref="C69:C70"/>
    <mergeCell ref="D69:D70"/>
    <mergeCell ref="E69:E70"/>
    <mergeCell ref="F69:F70"/>
    <mergeCell ref="G69:G70"/>
    <mergeCell ref="K58:K59"/>
    <mergeCell ref="L58:L59"/>
    <mergeCell ref="M58:M59"/>
    <mergeCell ref="N58:N59"/>
    <mergeCell ref="N69:N70"/>
    <mergeCell ref="O58:O59"/>
    <mergeCell ref="P58:P59"/>
    <mergeCell ref="P47:P48"/>
    <mergeCell ref="E55:F55"/>
    <mergeCell ref="C58:C59"/>
    <mergeCell ref="D58:D59"/>
    <mergeCell ref="E58:E59"/>
    <mergeCell ref="F58:F59"/>
    <mergeCell ref="G58:G59"/>
    <mergeCell ref="H58:H59"/>
    <mergeCell ref="I58:I59"/>
    <mergeCell ref="J58:J59"/>
    <mergeCell ref="J47:J48"/>
    <mergeCell ref="K47:K48"/>
    <mergeCell ref="L47:L48"/>
    <mergeCell ref="M47:M48"/>
    <mergeCell ref="N47:N48"/>
    <mergeCell ref="O47:O48"/>
    <mergeCell ref="O36:O37"/>
    <mergeCell ref="P36:P37"/>
    <mergeCell ref="E44:F44"/>
    <mergeCell ref="H47:H48"/>
    <mergeCell ref="I47:I48"/>
    <mergeCell ref="I36:I37"/>
    <mergeCell ref="J36:J37"/>
    <mergeCell ref="K36:K37"/>
    <mergeCell ref="L36:L37"/>
    <mergeCell ref="M36:M37"/>
    <mergeCell ref="N36:N37"/>
    <mergeCell ref="H36:H37"/>
    <mergeCell ref="C47:C48"/>
    <mergeCell ref="D47:D48"/>
    <mergeCell ref="E47:E48"/>
    <mergeCell ref="F47:F48"/>
    <mergeCell ref="G47:G48"/>
    <mergeCell ref="C36:C37"/>
    <mergeCell ref="D36:D37"/>
    <mergeCell ref="E36:E37"/>
    <mergeCell ref="F36:F37"/>
    <mergeCell ref="G36:G37"/>
    <mergeCell ref="P24:P25"/>
    <mergeCell ref="E19:F19"/>
    <mergeCell ref="G19:N19"/>
    <mergeCell ref="C24:C25"/>
    <mergeCell ref="D24:D25"/>
    <mergeCell ref="E24:E25"/>
    <mergeCell ref="F24:F25"/>
    <mergeCell ref="G24:G25"/>
    <mergeCell ref="H24:H25"/>
    <mergeCell ref="I24:I25"/>
    <mergeCell ref="J24:J25"/>
    <mergeCell ref="K24:K25"/>
    <mergeCell ref="L24:L25"/>
    <mergeCell ref="M24:M25"/>
    <mergeCell ref="N24:N25"/>
    <mergeCell ref="O24:O25"/>
  </mergeCells>
  <phoneticPr fontId="2"/>
  <conditionalFormatting sqref="B22 P24">
    <cfRule type="expression" dxfId="20" priority="14">
      <formula>$P$27=1</formula>
    </cfRule>
  </conditionalFormatting>
  <conditionalFormatting sqref="G19">
    <cfRule type="expression" dxfId="19" priority="21">
      <formula>OR($G$19="エネルギー種別・単位を選択してください。",$G$19="エネルギーの使用年度を選択してください。",$G$19="未入力欄が有ります。確認してください。",$G$19="中小規模事業所の要件を満たしていないため、申請できません。")</formula>
    </cfRule>
  </conditionalFormatting>
  <conditionalFormatting sqref="C22:N22">
    <cfRule type="expression" dxfId="18" priority="20">
      <formula>C29=1</formula>
    </cfRule>
  </conditionalFormatting>
  <conditionalFormatting sqref="C34:N34">
    <cfRule type="expression" dxfId="17" priority="19">
      <formula>C41=1</formula>
    </cfRule>
  </conditionalFormatting>
  <conditionalFormatting sqref="B34 P36">
    <cfRule type="expression" dxfId="16" priority="12">
      <formula>$P$39=1</formula>
    </cfRule>
  </conditionalFormatting>
  <conditionalFormatting sqref="E33 P36">
    <cfRule type="expression" dxfId="15" priority="11">
      <formula>$P$39=2</formula>
    </cfRule>
  </conditionalFormatting>
  <conditionalFormatting sqref="F33 P36">
    <cfRule type="expression" dxfId="14" priority="10">
      <formula>$P$39=3</formula>
    </cfRule>
  </conditionalFormatting>
  <conditionalFormatting sqref="C45:N45">
    <cfRule type="expression" dxfId="13" priority="18">
      <formula>C52=1</formula>
    </cfRule>
  </conditionalFormatting>
  <conditionalFormatting sqref="C56:N56">
    <cfRule type="expression" dxfId="12" priority="17">
      <formula>C63=1</formula>
    </cfRule>
  </conditionalFormatting>
  <conditionalFormatting sqref="C67:N67">
    <cfRule type="expression" dxfId="11" priority="16">
      <formula>C74=1</formula>
    </cfRule>
  </conditionalFormatting>
  <conditionalFormatting sqref="C78:N78">
    <cfRule type="expression" dxfId="10" priority="15">
      <formula>C85=1</formula>
    </cfRule>
  </conditionalFormatting>
  <conditionalFormatting sqref="B45 P47">
    <cfRule type="expression" dxfId="9" priority="9">
      <formula>$P$50=1</formula>
    </cfRule>
  </conditionalFormatting>
  <conditionalFormatting sqref="B56 P58">
    <cfRule type="expression" dxfId="8" priority="7">
      <formula>$P$61=1</formula>
    </cfRule>
  </conditionalFormatting>
  <conditionalFormatting sqref="B67 P69">
    <cfRule type="expression" dxfId="7" priority="5">
      <formula>$P$72=1</formula>
    </cfRule>
  </conditionalFormatting>
  <conditionalFormatting sqref="E44 P47">
    <cfRule type="expression" dxfId="6" priority="8">
      <formula>$P$50=2</formula>
    </cfRule>
  </conditionalFormatting>
  <conditionalFormatting sqref="E55 P58">
    <cfRule type="expression" dxfId="5" priority="6">
      <formula>$P$61=2</formula>
    </cfRule>
  </conditionalFormatting>
  <conditionalFormatting sqref="E66 P69">
    <cfRule type="expression" dxfId="4" priority="4">
      <formula>$P$72=2</formula>
    </cfRule>
  </conditionalFormatting>
  <conditionalFormatting sqref="P24">
    <cfRule type="expression" dxfId="3" priority="13">
      <formula>$P$29=1</formula>
    </cfRule>
  </conditionalFormatting>
  <conditionalFormatting sqref="B78 P80">
    <cfRule type="expression" dxfId="2" priority="3">
      <formula>$P$83=1</formula>
    </cfRule>
  </conditionalFormatting>
  <conditionalFormatting sqref="E77 P80">
    <cfRule type="expression" dxfId="1" priority="2">
      <formula>$P$83=2</formula>
    </cfRule>
  </conditionalFormatting>
  <conditionalFormatting sqref="G19:N19">
    <cfRule type="expression" dxfId="0" priority="1">
      <formula>$G$19="事業所のエネルギー使用について入力してください。"</formula>
    </cfRule>
  </conditionalFormatting>
  <dataValidations count="5">
    <dataValidation allowBlank="1" showInputMessage="1" sqref="B23 B57 B68 B35 B46 B79"/>
    <dataValidation type="list" allowBlank="1" showInputMessage="1" sqref="B78 B22 B34 B45 B56 B67">
      <formula1>"年度を選択,2021年度,2022年度"</formula1>
    </dataValidation>
    <dataValidation allowBlank="1" sqref="C13:C14"/>
    <dataValidation allowBlank="1" showInputMessage="1" showErrorMessage="1" prompt="証憑等に記載されている使用期間を記入してください。" sqref="C23"/>
    <dataValidation type="list" allowBlank="1" showInputMessage="1" showErrorMessage="1" sqref="F33">
      <formula1>INDIRECT($E$33)</formula1>
    </dataValidation>
  </dataValidations>
  <printOptions horizontalCentered="1"/>
  <pageMargins left="0.6692913385826772" right="0.31496062992125984" top="0.56000000000000005" bottom="0.37" header="0.24" footer="0.15748031496062992"/>
  <pageSetup paperSize="9" scale="62" fitToHeight="0" orientation="landscape" r:id="rId1"/>
  <headerFooter>
    <oddHeader>&amp;C&amp;20換気量・省エネ計算シート</oddHeader>
    <oddFooter>&amp;C&amp;P</oddFooter>
  </headerFooter>
  <rowBreaks count="2" manualBreakCount="2">
    <brk id="45" max="16" man="1"/>
    <brk id="64" max="16"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計算!$N$3:$N$5</xm:f>
          </x14:formula1>
          <xm:sqref>E33</xm:sqref>
        </x14:dataValidation>
        <x14:dataValidation type="list" allowBlank="1" showInputMessage="1" showErrorMessage="1">
          <x14:formula1>
            <xm:f>計算!$Q$3:$Q$11</xm:f>
          </x14:formula1>
          <xm:sqref>E44:F44</xm:sqref>
        </x14:dataValidation>
        <x14:dataValidation type="list" allowBlank="1" showInputMessage="1" showErrorMessage="1">
          <x14:formula1>
            <xm:f>計算!$P$3:$P$12</xm:f>
          </x14:formula1>
          <xm:sqref>E55:F55 E66:F66 E77:F77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outlinePr summaryBelow="0" summaryRight="0"/>
    <pageSetUpPr fitToPage="1"/>
  </sheetPr>
  <dimension ref="B1:BO54"/>
  <sheetViews>
    <sheetView view="pageBreakPreview" zoomScale="70" zoomScaleNormal="80" zoomScaleSheetLayoutView="70" workbookViewId="0">
      <selection sqref="A1:XFD1048576"/>
    </sheetView>
  </sheetViews>
  <sheetFormatPr defaultColWidth="7.1640625" defaultRowHeight="19.2" x14ac:dyDescent="0.55000000000000004"/>
  <cols>
    <col min="1" max="1" width="2.1640625" style="39" customWidth="1"/>
    <col min="2" max="2" width="14.9140625" style="39" customWidth="1"/>
    <col min="3" max="3" width="4.83203125" style="39" customWidth="1"/>
    <col min="4" max="4" width="4" style="39" customWidth="1"/>
    <col min="5" max="13" width="9.83203125" style="39" customWidth="1"/>
    <col min="14" max="14" width="9.83203125" style="39" customWidth="1" collapsed="1"/>
    <col min="15" max="28" width="9.83203125" style="39" customWidth="1"/>
    <col min="29" max="29" width="9.83203125" style="39" customWidth="1" collapsed="1"/>
    <col min="30" max="36" width="9.83203125" style="39" customWidth="1"/>
    <col min="37" max="37" width="9.83203125" style="45" customWidth="1"/>
    <col min="38" max="54" width="9.83203125" style="39" customWidth="1"/>
    <col min="55" max="65" width="9.9140625" style="39" customWidth="1"/>
    <col min="66" max="16384" width="7.1640625" style="39"/>
  </cols>
  <sheetData>
    <row r="1" spans="2:34" s="59" customFormat="1" ht="17.399999999999999" x14ac:dyDescent="0.55000000000000004"/>
    <row r="2" spans="2:34" s="18" customFormat="1" x14ac:dyDescent="0.55000000000000004">
      <c r="B2" s="50" t="s">
        <v>230</v>
      </c>
      <c r="C2" s="5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2:34" s="59" customFormat="1" x14ac:dyDescent="0.55000000000000004">
      <c r="B3" s="74" t="s">
        <v>231</v>
      </c>
      <c r="C3" s="39"/>
      <c r="D3" s="39"/>
      <c r="E3" s="39"/>
      <c r="F3" s="39"/>
      <c r="G3" s="39"/>
      <c r="H3" s="39"/>
      <c r="I3" s="39"/>
      <c r="J3" s="39"/>
      <c r="K3" s="51"/>
      <c r="L3" s="39"/>
      <c r="M3" s="39"/>
      <c r="N3" s="39"/>
      <c r="O3" s="39"/>
      <c r="P3" s="39"/>
      <c r="Q3" s="39"/>
      <c r="R3" s="39"/>
      <c r="S3" s="39"/>
      <c r="T3" s="39"/>
      <c r="U3" s="39"/>
      <c r="V3" s="39"/>
      <c r="W3" s="39"/>
      <c r="X3" s="39"/>
      <c r="Y3" s="39"/>
      <c r="Z3" s="39"/>
      <c r="AA3" s="39"/>
      <c r="AB3" s="39"/>
      <c r="AC3" s="39"/>
      <c r="AD3" s="39"/>
      <c r="AE3" s="39"/>
      <c r="AF3" s="39"/>
      <c r="AG3" s="39"/>
      <c r="AH3" s="39"/>
    </row>
    <row r="4" spans="2:34" s="59" customFormat="1" x14ac:dyDescent="0.55000000000000004">
      <c r="B4" s="74"/>
      <c r="C4" s="39"/>
      <c r="D4" s="39"/>
      <c r="E4" s="39"/>
      <c r="F4" s="39"/>
      <c r="G4" s="39"/>
      <c r="H4" s="39"/>
      <c r="I4" s="39"/>
      <c r="J4" s="39"/>
      <c r="K4" s="51"/>
      <c r="L4" s="39"/>
      <c r="M4" s="39"/>
      <c r="N4" s="39"/>
      <c r="O4" s="39"/>
      <c r="P4" s="39"/>
      <c r="Q4" s="39"/>
      <c r="R4" s="39"/>
      <c r="S4" s="39"/>
      <c r="T4" s="39"/>
      <c r="U4" s="39"/>
      <c r="V4" s="39"/>
      <c r="W4" s="39"/>
      <c r="X4" s="39"/>
      <c r="Y4" s="39"/>
      <c r="Z4" s="39"/>
      <c r="AA4" s="39"/>
      <c r="AB4" s="39"/>
      <c r="AC4" s="39"/>
      <c r="AD4" s="39"/>
      <c r="AE4" s="39"/>
      <c r="AF4" s="39"/>
      <c r="AG4" s="39"/>
      <c r="AH4" s="39"/>
    </row>
    <row r="5" spans="2:34" s="18" customFormat="1" x14ac:dyDescent="0.55000000000000004">
      <c r="B5" s="50" t="s">
        <v>177</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2:34" s="59" customFormat="1" x14ac:dyDescent="0.55000000000000004">
      <c r="B6" s="108" t="s">
        <v>406</v>
      </c>
      <c r="C6" s="39"/>
      <c r="D6" s="39"/>
      <c r="E6" s="39"/>
      <c r="F6" s="39"/>
      <c r="G6" s="39"/>
      <c r="H6" s="39"/>
      <c r="I6" s="39"/>
      <c r="J6" s="39"/>
      <c r="K6" s="51"/>
      <c r="L6" s="39"/>
      <c r="M6" s="39"/>
      <c r="N6" s="39"/>
      <c r="O6" s="39"/>
      <c r="P6" s="39"/>
      <c r="Q6" s="39"/>
      <c r="R6" s="39"/>
      <c r="S6" s="39"/>
      <c r="T6" s="39"/>
      <c r="U6" s="39"/>
      <c r="V6" s="39"/>
      <c r="W6" s="39"/>
      <c r="X6" s="39"/>
      <c r="Y6" s="39"/>
      <c r="Z6" s="39"/>
      <c r="AA6" s="39"/>
      <c r="AB6" s="39"/>
      <c r="AC6" s="39"/>
      <c r="AD6" s="39"/>
      <c r="AE6" s="39"/>
      <c r="AF6" s="39"/>
      <c r="AG6" s="39"/>
      <c r="AH6" s="39"/>
    </row>
    <row r="7" spans="2:34" s="59" customFormat="1" x14ac:dyDescent="0.55000000000000004">
      <c r="B7" s="108" t="s">
        <v>402</v>
      </c>
      <c r="C7" s="39"/>
      <c r="D7" s="39"/>
      <c r="E7" s="39"/>
      <c r="F7" s="39"/>
      <c r="G7" s="39"/>
      <c r="H7" s="39"/>
      <c r="I7" s="39"/>
      <c r="J7" s="39"/>
      <c r="K7" s="51"/>
      <c r="L7" s="39"/>
      <c r="M7" s="39"/>
      <c r="N7" s="39"/>
      <c r="O7" s="39"/>
      <c r="P7" s="39"/>
      <c r="Q7" s="39"/>
      <c r="R7" s="39"/>
      <c r="S7" s="39"/>
      <c r="T7" s="39"/>
      <c r="U7" s="39"/>
      <c r="V7" s="39"/>
      <c r="W7" s="39"/>
      <c r="X7" s="39"/>
      <c r="Y7" s="39"/>
      <c r="Z7" s="39"/>
      <c r="AA7" s="39"/>
      <c r="AB7" s="39"/>
      <c r="AC7" s="39"/>
      <c r="AD7" s="39"/>
      <c r="AE7" s="39"/>
      <c r="AF7" s="39"/>
      <c r="AG7" s="39"/>
      <c r="AH7" s="39"/>
    </row>
    <row r="8" spans="2:34" s="59" customFormat="1" x14ac:dyDescent="0.55000000000000004">
      <c r="B8" s="108" t="s">
        <v>405</v>
      </c>
      <c r="C8" s="39"/>
      <c r="D8" s="39"/>
      <c r="E8" s="39"/>
      <c r="F8" s="39"/>
      <c r="G8" s="39"/>
      <c r="H8" s="39"/>
      <c r="I8" s="39"/>
      <c r="J8" s="39"/>
      <c r="K8" s="51"/>
      <c r="L8" s="39"/>
      <c r="M8" s="39"/>
      <c r="N8" s="39"/>
      <c r="O8" s="39"/>
      <c r="P8" s="39"/>
      <c r="Q8" s="39"/>
      <c r="R8" s="39"/>
      <c r="S8" s="39"/>
      <c r="T8" s="39"/>
      <c r="U8" s="39"/>
      <c r="V8" s="39"/>
      <c r="W8" s="39"/>
      <c r="X8" s="39"/>
      <c r="Y8" s="39"/>
      <c r="Z8" s="39"/>
      <c r="AA8" s="39"/>
      <c r="AB8" s="39"/>
      <c r="AC8" s="39"/>
      <c r="AD8" s="39"/>
      <c r="AE8" s="39"/>
      <c r="AF8" s="39"/>
      <c r="AG8" s="39"/>
      <c r="AH8" s="39"/>
    </row>
    <row r="9" spans="2:34" s="59" customFormat="1" x14ac:dyDescent="0.55000000000000004">
      <c r="B9" s="108" t="s">
        <v>467</v>
      </c>
      <c r="C9" s="39"/>
      <c r="D9" s="86"/>
      <c r="E9" s="86"/>
      <c r="F9" s="86"/>
      <c r="G9" s="39"/>
      <c r="H9" s="39"/>
      <c r="I9" s="39"/>
      <c r="J9" s="39"/>
      <c r="K9" s="51"/>
      <c r="L9" s="39"/>
      <c r="M9" s="39"/>
      <c r="N9" s="39"/>
      <c r="O9" s="39"/>
      <c r="P9" s="39"/>
      <c r="Q9" s="39"/>
      <c r="R9" s="39"/>
      <c r="S9" s="39"/>
      <c r="T9" s="39"/>
      <c r="U9" s="39"/>
      <c r="V9" s="39"/>
      <c r="W9" s="39"/>
      <c r="X9" s="39"/>
      <c r="Y9" s="39"/>
      <c r="Z9" s="39"/>
      <c r="AA9" s="39"/>
      <c r="AB9" s="39"/>
      <c r="AC9" s="39"/>
      <c r="AD9" s="39"/>
      <c r="AE9" s="39"/>
      <c r="AF9" s="39"/>
      <c r="AG9" s="39"/>
      <c r="AH9" s="39"/>
    </row>
    <row r="10" spans="2:34" s="59" customFormat="1" x14ac:dyDescent="0.55000000000000004">
      <c r="B10" s="108" t="s">
        <v>468</v>
      </c>
      <c r="C10" s="39"/>
      <c r="D10" s="39"/>
      <c r="E10" s="39"/>
      <c r="F10" s="39"/>
      <c r="G10" s="39"/>
      <c r="H10" s="39"/>
      <c r="I10" s="39"/>
      <c r="J10" s="39"/>
      <c r="K10" s="51"/>
      <c r="L10" s="39"/>
      <c r="M10" s="39"/>
      <c r="N10" s="39"/>
      <c r="O10" s="39"/>
      <c r="P10" s="39"/>
      <c r="Q10" s="39"/>
      <c r="R10" s="39"/>
      <c r="S10" s="39"/>
      <c r="T10" s="39"/>
      <c r="U10" s="39"/>
      <c r="V10" s="39"/>
      <c r="W10" s="39"/>
      <c r="X10" s="39"/>
      <c r="Y10" s="39"/>
      <c r="Z10" s="39"/>
      <c r="AA10" s="39"/>
      <c r="AB10" s="39"/>
      <c r="AC10" s="39"/>
      <c r="AD10" s="39"/>
      <c r="AE10" s="39"/>
      <c r="AF10" s="39"/>
      <c r="AG10" s="39"/>
      <c r="AH10" s="39"/>
    </row>
    <row r="11" spans="2:34" s="59" customFormat="1" x14ac:dyDescent="0.55000000000000004">
      <c r="B11" s="108" t="s">
        <v>404</v>
      </c>
      <c r="C11" s="39"/>
      <c r="D11" s="39"/>
      <c r="E11" s="39"/>
      <c r="F11" s="39"/>
      <c r="G11" s="39"/>
      <c r="H11" s="39"/>
      <c r="I11" s="39"/>
      <c r="J11" s="39"/>
      <c r="K11" s="51"/>
      <c r="L11" s="39"/>
      <c r="M11" s="39"/>
      <c r="N11" s="39"/>
      <c r="O11" s="39"/>
      <c r="P11" s="39"/>
      <c r="Q11" s="39"/>
      <c r="R11" s="39"/>
      <c r="S11" s="39"/>
      <c r="T11" s="39"/>
      <c r="U11" s="39"/>
      <c r="V11" s="39"/>
      <c r="W11" s="39"/>
      <c r="X11" s="39"/>
      <c r="Y11" s="39"/>
      <c r="Z11" s="39"/>
      <c r="AA11" s="39"/>
      <c r="AB11" s="39"/>
      <c r="AC11" s="39"/>
      <c r="AD11" s="39"/>
      <c r="AE11" s="39"/>
      <c r="AF11" s="39"/>
      <c r="AG11" s="39"/>
      <c r="AH11" s="39"/>
    </row>
    <row r="12" spans="2:34" s="59" customFormat="1" x14ac:dyDescent="0.55000000000000004">
      <c r="B12" s="108" t="s">
        <v>403</v>
      </c>
      <c r="C12" s="39"/>
      <c r="D12" s="39"/>
      <c r="E12" s="39"/>
      <c r="F12" s="39"/>
      <c r="G12" s="39"/>
      <c r="H12" s="39"/>
      <c r="I12" s="39"/>
      <c r="J12" s="39"/>
      <c r="K12" s="51"/>
      <c r="L12" s="39"/>
      <c r="M12" s="39"/>
      <c r="N12" s="39"/>
      <c r="O12" s="39"/>
      <c r="P12" s="39"/>
      <c r="Q12" s="39"/>
      <c r="R12" s="39"/>
      <c r="S12" s="39"/>
      <c r="T12" s="39"/>
      <c r="U12" s="39"/>
      <c r="V12" s="39"/>
      <c r="W12" s="39"/>
      <c r="X12" s="39"/>
      <c r="Y12" s="39"/>
      <c r="Z12" s="39"/>
      <c r="AA12" s="39"/>
      <c r="AB12" s="39"/>
      <c r="AC12" s="39"/>
      <c r="AD12" s="39"/>
      <c r="AE12" s="39"/>
      <c r="AF12" s="39"/>
      <c r="AG12" s="39"/>
      <c r="AH12" s="39"/>
    </row>
    <row r="13" spans="2:34" s="59" customFormat="1" x14ac:dyDescent="0.55000000000000004">
      <c r="B13" s="126" t="s">
        <v>401</v>
      </c>
      <c r="C13" s="39"/>
      <c r="D13" s="39"/>
      <c r="E13" s="39"/>
      <c r="F13" s="39"/>
      <c r="G13" s="39"/>
      <c r="H13" s="39"/>
      <c r="I13" s="39"/>
      <c r="J13" s="39"/>
      <c r="K13" s="51"/>
      <c r="L13" s="39"/>
      <c r="M13" s="39"/>
      <c r="N13" s="39"/>
      <c r="O13" s="39"/>
      <c r="P13" s="39"/>
      <c r="Q13" s="39"/>
      <c r="R13" s="39"/>
      <c r="S13" s="39"/>
      <c r="T13" s="39"/>
      <c r="U13" s="39"/>
      <c r="V13" s="39"/>
      <c r="W13" s="39"/>
      <c r="X13" s="39"/>
      <c r="Y13" s="39"/>
      <c r="Z13" s="39"/>
      <c r="AA13" s="39"/>
      <c r="AB13" s="39"/>
      <c r="AC13" s="39"/>
      <c r="AD13" s="39"/>
      <c r="AE13" s="39"/>
      <c r="AF13" s="39"/>
      <c r="AG13" s="39"/>
      <c r="AH13" s="39"/>
    </row>
    <row r="14" spans="2:34" s="18" customFormat="1" x14ac:dyDescent="0.55000000000000004">
      <c r="B14" s="50"/>
      <c r="C14" s="50"/>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2:34" s="18" customFormat="1" x14ac:dyDescent="0.55000000000000004">
      <c r="B15" s="88" t="s">
        <v>178</v>
      </c>
      <c r="C15" s="52"/>
      <c r="D15" s="51" t="s">
        <v>228</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row>
    <row r="16" spans="2:34" s="18" customFormat="1" x14ac:dyDescent="0.55000000000000004">
      <c r="B16" s="53"/>
      <c r="C16" s="54"/>
      <c r="D16" s="51" t="s">
        <v>134</v>
      </c>
      <c r="F16" s="51"/>
      <c r="G16" s="51"/>
      <c r="H16" s="51"/>
      <c r="I16" s="51"/>
      <c r="J16" s="51"/>
      <c r="K16" s="55"/>
      <c r="L16" s="51"/>
      <c r="M16" s="51"/>
      <c r="N16" s="55"/>
      <c r="O16" s="55"/>
      <c r="P16" s="55"/>
      <c r="Q16" s="55"/>
      <c r="R16" s="55"/>
      <c r="S16" s="55"/>
      <c r="T16" s="55"/>
      <c r="U16" s="55"/>
      <c r="V16" s="55"/>
      <c r="W16" s="55"/>
      <c r="X16" s="55"/>
      <c r="Y16" s="55"/>
      <c r="Z16" s="55"/>
      <c r="AA16" s="55"/>
      <c r="AB16" s="55"/>
      <c r="AC16" s="55"/>
      <c r="AD16" s="55"/>
      <c r="AE16" s="55"/>
      <c r="AF16" s="55"/>
      <c r="AG16" s="55"/>
      <c r="AH16" s="55"/>
    </row>
    <row r="17" spans="2:67" s="18" customFormat="1" x14ac:dyDescent="0.55000000000000004">
      <c r="B17" s="53"/>
      <c r="C17" s="56"/>
      <c r="D17" s="51" t="s">
        <v>338</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2:67" s="18" customFormat="1" x14ac:dyDescent="0.55000000000000004">
      <c r="B18" s="53"/>
      <c r="C18" s="53"/>
      <c r="D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2:67" s="18" customFormat="1" x14ac:dyDescent="0.55000000000000004">
      <c r="C19" s="53"/>
      <c r="F19" s="51"/>
      <c r="G19" s="51"/>
      <c r="H19" s="51"/>
      <c r="I19" s="51"/>
      <c r="J19" s="51"/>
      <c r="K19" s="51"/>
      <c r="L19" s="51"/>
      <c r="M19" s="51"/>
      <c r="N19" s="51"/>
      <c r="O19" s="51"/>
      <c r="P19" s="51"/>
      <c r="Q19" s="51"/>
      <c r="R19" s="51"/>
      <c r="S19" s="51"/>
      <c r="T19" s="51"/>
      <c r="U19" s="51"/>
      <c r="V19" s="51"/>
      <c r="W19" s="51"/>
      <c r="X19" s="51"/>
      <c r="Y19" s="53"/>
      <c r="Z19" s="51"/>
      <c r="AA19" s="51"/>
      <c r="AB19" s="51"/>
      <c r="AC19" s="51"/>
      <c r="AD19" s="51"/>
      <c r="AE19" s="51"/>
      <c r="AF19" s="51"/>
      <c r="AG19" s="51"/>
      <c r="AH19" s="51"/>
    </row>
    <row r="20" spans="2:67" ht="24.75" customHeight="1" x14ac:dyDescent="0.55000000000000004">
      <c r="AI20" s="105"/>
    </row>
    <row r="21" spans="2:67" ht="49.5" customHeight="1" x14ac:dyDescent="0.55000000000000004">
      <c r="B21" s="90" t="s">
        <v>204</v>
      </c>
      <c r="C21" s="90"/>
      <c r="D21" s="90"/>
      <c r="E21" s="90"/>
      <c r="F21" s="90"/>
      <c r="G21" s="213" t="s">
        <v>251</v>
      </c>
      <c r="H21" s="214"/>
      <c r="I21" s="210"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必要換気量に係る要件を満たしています。</v>
      </c>
      <c r="J21" s="211"/>
      <c r="K21" s="211"/>
      <c r="L21" s="211"/>
      <c r="M21" s="211"/>
      <c r="N21" s="211"/>
      <c r="O21" s="211"/>
      <c r="P21" s="211"/>
      <c r="Q21" s="212"/>
    </row>
    <row r="22" spans="2:67" ht="24.75" customHeight="1" x14ac:dyDescent="0.6">
      <c r="B22" s="89"/>
      <c r="C22" s="89"/>
      <c r="D22" s="89"/>
      <c r="E22" s="89"/>
      <c r="F22" s="89"/>
      <c r="G22" s="89"/>
      <c r="H22" s="89"/>
      <c r="I22" s="89"/>
      <c r="J22" s="89"/>
      <c r="K22" s="89"/>
      <c r="L22" s="89"/>
      <c r="M22" s="89"/>
      <c r="N22" s="102"/>
      <c r="O22" s="125"/>
      <c r="P22" s="125"/>
      <c r="Q22" s="125"/>
      <c r="R22" s="125"/>
      <c r="S22" s="125"/>
      <c r="T22" s="125"/>
      <c r="U22" s="125"/>
      <c r="V22" s="125"/>
      <c r="W22" s="125"/>
      <c r="X22" s="125"/>
      <c r="Y22" s="125"/>
      <c r="Z22" s="125"/>
      <c r="AA22" s="125"/>
      <c r="AB22" s="125"/>
      <c r="AC22" s="125"/>
      <c r="AD22" s="125"/>
      <c r="AE22" s="125"/>
      <c r="AF22" s="125"/>
      <c r="AG22" s="125"/>
      <c r="AH22" s="125"/>
    </row>
    <row r="23" spans="2:67" ht="42" customHeight="1" x14ac:dyDescent="0.55000000000000004">
      <c r="B23" s="208" t="s">
        <v>136</v>
      </c>
      <c r="C23" s="208"/>
      <c r="D23" s="208"/>
      <c r="E23" s="124" t="s">
        <v>308</v>
      </c>
      <c r="F23" s="124" t="s">
        <v>309</v>
      </c>
      <c r="G23" s="124" t="s">
        <v>310</v>
      </c>
      <c r="H23" s="124" t="s">
        <v>311</v>
      </c>
      <c r="I23" s="124" t="s">
        <v>312</v>
      </c>
      <c r="J23" s="124" t="s">
        <v>313</v>
      </c>
      <c r="K23" s="124" t="s">
        <v>314</v>
      </c>
      <c r="L23" s="124" t="s">
        <v>315</v>
      </c>
      <c r="M23" s="124" t="s">
        <v>316</v>
      </c>
      <c r="N23" s="124" t="s">
        <v>317</v>
      </c>
      <c r="O23" s="124" t="s">
        <v>318</v>
      </c>
      <c r="P23" s="124" t="s">
        <v>319</v>
      </c>
      <c r="Q23" s="124" t="s">
        <v>320</v>
      </c>
      <c r="R23" s="124" t="s">
        <v>321</v>
      </c>
      <c r="S23" s="124" t="s">
        <v>322</v>
      </c>
      <c r="T23" s="124" t="s">
        <v>323</v>
      </c>
      <c r="U23" s="124" t="s">
        <v>324</v>
      </c>
      <c r="V23" s="124" t="s">
        <v>325</v>
      </c>
      <c r="W23" s="124" t="s">
        <v>326</v>
      </c>
      <c r="X23" s="124" t="s">
        <v>327</v>
      </c>
      <c r="Y23" s="124" t="s">
        <v>328</v>
      </c>
      <c r="Z23" s="124" t="s">
        <v>329</v>
      </c>
      <c r="AA23" s="124" t="s">
        <v>330</v>
      </c>
      <c r="AB23" s="124" t="s">
        <v>331</v>
      </c>
      <c r="AC23" s="124" t="s">
        <v>332</v>
      </c>
      <c r="AD23" s="124" t="s">
        <v>333</v>
      </c>
      <c r="AE23" s="124" t="s">
        <v>334</v>
      </c>
      <c r="AF23" s="124" t="s">
        <v>335</v>
      </c>
      <c r="AG23" s="124" t="s">
        <v>336</v>
      </c>
      <c r="AH23" s="124" t="s">
        <v>337</v>
      </c>
      <c r="AI23" s="124" t="s">
        <v>381</v>
      </c>
      <c r="AJ23" s="124" t="s">
        <v>382</v>
      </c>
      <c r="AK23" s="124" t="s">
        <v>383</v>
      </c>
      <c r="AL23" s="124" t="s">
        <v>384</v>
      </c>
      <c r="AM23" s="124" t="s">
        <v>385</v>
      </c>
      <c r="AN23" s="124" t="s">
        <v>386</v>
      </c>
      <c r="AO23" s="124" t="s">
        <v>387</v>
      </c>
      <c r="AP23" s="124" t="s">
        <v>388</v>
      </c>
      <c r="AQ23" s="124" t="s">
        <v>389</v>
      </c>
      <c r="AR23" s="124" t="s">
        <v>390</v>
      </c>
      <c r="AS23" s="124" t="s">
        <v>391</v>
      </c>
      <c r="AT23" s="124" t="s">
        <v>392</v>
      </c>
      <c r="AU23" s="124" t="s">
        <v>393</v>
      </c>
      <c r="AV23" s="124" t="s">
        <v>394</v>
      </c>
      <c r="AW23" s="124" t="s">
        <v>395</v>
      </c>
      <c r="AX23" s="124" t="s">
        <v>396</v>
      </c>
      <c r="AY23" s="124" t="s">
        <v>397</v>
      </c>
      <c r="AZ23" s="124" t="s">
        <v>398</v>
      </c>
      <c r="BA23" s="124" t="s">
        <v>399</v>
      </c>
      <c r="BB23" s="124" t="s">
        <v>400</v>
      </c>
      <c r="BC23" s="124" t="s">
        <v>416</v>
      </c>
      <c r="BD23" s="124" t="s">
        <v>417</v>
      </c>
      <c r="BE23" s="124" t="s">
        <v>418</v>
      </c>
      <c r="BF23" s="124" t="s">
        <v>419</v>
      </c>
      <c r="BG23" s="124" t="s">
        <v>420</v>
      </c>
      <c r="BH23" s="124" t="s">
        <v>421</v>
      </c>
      <c r="BI23" s="124" t="s">
        <v>422</v>
      </c>
      <c r="BJ23" s="124" t="s">
        <v>423</v>
      </c>
      <c r="BK23" s="124" t="s">
        <v>424</v>
      </c>
      <c r="BL23" s="124" t="s">
        <v>425</v>
      </c>
      <c r="BO23" s="45"/>
    </row>
    <row r="24" spans="2:67" ht="58.5" customHeight="1" x14ac:dyDescent="0.55000000000000004">
      <c r="B24" s="208" t="s">
        <v>137</v>
      </c>
      <c r="C24" s="208"/>
      <c r="D24" s="208"/>
      <c r="E24" s="279" t="s">
        <v>98</v>
      </c>
      <c r="F24" s="279" t="s">
        <v>98</v>
      </c>
      <c r="G24" s="279" t="s">
        <v>98</v>
      </c>
      <c r="H24" s="279" t="s">
        <v>108</v>
      </c>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N24" s="108"/>
      <c r="BO24" s="45"/>
    </row>
    <row r="25" spans="2:67" ht="49.5" customHeight="1" x14ac:dyDescent="0.55000000000000004">
      <c r="B25" s="209" t="s">
        <v>141</v>
      </c>
      <c r="C25" s="209"/>
      <c r="D25" s="209"/>
      <c r="E25" s="281">
        <v>50.2</v>
      </c>
      <c r="F25" s="281">
        <v>50.2</v>
      </c>
      <c r="G25" s="281">
        <v>100</v>
      </c>
      <c r="H25" s="281">
        <v>120.5</v>
      </c>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O25" s="45"/>
    </row>
    <row r="26" spans="2:67" ht="49.5" customHeight="1" x14ac:dyDescent="0.55000000000000004">
      <c r="B26" s="209" t="s">
        <v>144</v>
      </c>
      <c r="C26" s="209"/>
      <c r="D26" s="209"/>
      <c r="E26" s="281">
        <v>2.5</v>
      </c>
      <c r="F26" s="281">
        <v>2.5</v>
      </c>
      <c r="G26" s="281">
        <v>2.5</v>
      </c>
      <c r="H26" s="281">
        <v>3.2</v>
      </c>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O26" s="45"/>
    </row>
    <row r="27" spans="2:67" ht="49.5" customHeight="1" x14ac:dyDescent="0.55000000000000004">
      <c r="B27" s="209" t="s">
        <v>184</v>
      </c>
      <c r="C27" s="209"/>
      <c r="D27" s="209"/>
      <c r="E27" s="283" t="s">
        <v>140</v>
      </c>
      <c r="F27" s="283" t="s">
        <v>143</v>
      </c>
      <c r="G27" s="283" t="s">
        <v>140</v>
      </c>
      <c r="H27" s="283" t="s">
        <v>143</v>
      </c>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N27" s="108"/>
      <c r="BO27" s="45"/>
    </row>
    <row r="28" spans="2:67" ht="49.5" customHeight="1" x14ac:dyDescent="0.55000000000000004">
      <c r="B28" s="215" t="s">
        <v>339</v>
      </c>
      <c r="C28" s="209" t="s">
        <v>147</v>
      </c>
      <c r="D28" s="209"/>
      <c r="E28" s="285">
        <v>15</v>
      </c>
      <c r="F28" s="285">
        <v>10</v>
      </c>
      <c r="G28" s="285">
        <v>20</v>
      </c>
      <c r="H28" s="285">
        <v>20</v>
      </c>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O28" s="45"/>
    </row>
    <row r="29" spans="2:67" ht="49.5" customHeight="1" x14ac:dyDescent="0.55000000000000004">
      <c r="B29" s="216"/>
      <c r="C29" s="209" t="s">
        <v>179</v>
      </c>
      <c r="D29" s="209"/>
      <c r="E29" s="285">
        <v>15</v>
      </c>
      <c r="F29" s="285">
        <v>10</v>
      </c>
      <c r="G29" s="285">
        <v>20</v>
      </c>
      <c r="H29" s="285">
        <v>20</v>
      </c>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O29" s="45"/>
    </row>
    <row r="30" spans="2:67" ht="49.5" customHeight="1" x14ac:dyDescent="0.55000000000000004">
      <c r="B30" s="215" t="s">
        <v>185</v>
      </c>
      <c r="C30" s="209" t="s">
        <v>147</v>
      </c>
      <c r="D30" s="209"/>
      <c r="E30" s="285">
        <v>500</v>
      </c>
      <c r="F30" s="285">
        <v>0</v>
      </c>
      <c r="G30" s="285">
        <v>800</v>
      </c>
      <c r="H30" s="285">
        <v>0</v>
      </c>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O30" s="45"/>
    </row>
    <row r="31" spans="2:67" ht="49.5" customHeight="1" x14ac:dyDescent="0.55000000000000004">
      <c r="B31" s="216"/>
      <c r="C31" s="209" t="s">
        <v>179</v>
      </c>
      <c r="D31" s="209"/>
      <c r="E31" s="285">
        <v>1200</v>
      </c>
      <c r="F31" s="285">
        <v>600</v>
      </c>
      <c r="G31" s="285">
        <v>1000</v>
      </c>
      <c r="H31" s="285">
        <v>1000</v>
      </c>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O31" s="45"/>
    </row>
    <row r="32" spans="2:67" ht="49.5" customHeight="1" x14ac:dyDescent="0.55000000000000004">
      <c r="B32" s="215" t="s">
        <v>151</v>
      </c>
      <c r="C32" s="209" t="s">
        <v>147</v>
      </c>
      <c r="D32" s="209"/>
      <c r="E32" s="169">
        <f>IF(E40&lt;&gt;0,"",IF(E27="自然換気",0,IF(ISERROR(E30/E28),"入力確認",E30/E28)))</f>
        <v>33.333333333333336</v>
      </c>
      <c r="F32" s="169">
        <f t="shared" ref="F32:BL32" si="0">IF(F40&lt;&gt;0,"",IF(F27="自然換気",0,IF(ISERROR(F30/F28),"入力確認",F30/F28)))</f>
        <v>0</v>
      </c>
      <c r="G32" s="169">
        <f t="shared" si="0"/>
        <v>40</v>
      </c>
      <c r="H32" s="169">
        <f t="shared" si="0"/>
        <v>0</v>
      </c>
      <c r="I32" s="169" t="str">
        <f t="shared" si="0"/>
        <v/>
      </c>
      <c r="J32" s="169" t="str">
        <f t="shared" si="0"/>
        <v/>
      </c>
      <c r="K32" s="169" t="str">
        <f t="shared" si="0"/>
        <v/>
      </c>
      <c r="L32" s="169" t="str">
        <f t="shared" si="0"/>
        <v/>
      </c>
      <c r="M32" s="169" t="str">
        <f t="shared" si="0"/>
        <v/>
      </c>
      <c r="N32" s="169" t="str">
        <f t="shared" si="0"/>
        <v/>
      </c>
      <c r="O32" s="169" t="str">
        <f t="shared" si="0"/>
        <v/>
      </c>
      <c r="P32" s="169" t="str">
        <f t="shared" si="0"/>
        <v/>
      </c>
      <c r="Q32" s="169" t="str">
        <f t="shared" si="0"/>
        <v/>
      </c>
      <c r="R32" s="169" t="str">
        <f t="shared" si="0"/>
        <v/>
      </c>
      <c r="S32" s="169" t="str">
        <f t="shared" si="0"/>
        <v/>
      </c>
      <c r="T32" s="169" t="str">
        <f t="shared" si="0"/>
        <v/>
      </c>
      <c r="U32" s="169" t="str">
        <f t="shared" si="0"/>
        <v/>
      </c>
      <c r="V32" s="169" t="str">
        <f t="shared" si="0"/>
        <v/>
      </c>
      <c r="W32" s="169" t="str">
        <f t="shared" si="0"/>
        <v/>
      </c>
      <c r="X32" s="169" t="str">
        <f t="shared" si="0"/>
        <v/>
      </c>
      <c r="Y32" s="169" t="str">
        <f t="shared" si="0"/>
        <v/>
      </c>
      <c r="Z32" s="169" t="str">
        <f t="shared" si="0"/>
        <v/>
      </c>
      <c r="AA32" s="169" t="str">
        <f t="shared" si="0"/>
        <v/>
      </c>
      <c r="AB32" s="169" t="str">
        <f t="shared" si="0"/>
        <v/>
      </c>
      <c r="AC32" s="169" t="str">
        <f t="shared" si="0"/>
        <v/>
      </c>
      <c r="AD32" s="169" t="str">
        <f t="shared" si="0"/>
        <v/>
      </c>
      <c r="AE32" s="169" t="str">
        <f t="shared" si="0"/>
        <v/>
      </c>
      <c r="AF32" s="169" t="str">
        <f t="shared" si="0"/>
        <v/>
      </c>
      <c r="AG32" s="169" t="str">
        <f t="shared" si="0"/>
        <v/>
      </c>
      <c r="AH32" s="169" t="str">
        <f t="shared" si="0"/>
        <v/>
      </c>
      <c r="AI32" s="169" t="str">
        <f t="shared" si="0"/>
        <v/>
      </c>
      <c r="AJ32" s="169" t="str">
        <f t="shared" si="0"/>
        <v/>
      </c>
      <c r="AK32" s="169" t="str">
        <f t="shared" si="0"/>
        <v/>
      </c>
      <c r="AL32" s="169" t="str">
        <f t="shared" si="0"/>
        <v/>
      </c>
      <c r="AM32" s="169" t="str">
        <f t="shared" si="0"/>
        <v/>
      </c>
      <c r="AN32" s="169" t="str">
        <f t="shared" si="0"/>
        <v/>
      </c>
      <c r="AO32" s="169" t="str">
        <f t="shared" si="0"/>
        <v/>
      </c>
      <c r="AP32" s="169" t="str">
        <f t="shared" si="0"/>
        <v/>
      </c>
      <c r="AQ32" s="169" t="str">
        <f t="shared" si="0"/>
        <v/>
      </c>
      <c r="AR32" s="169" t="str">
        <f t="shared" si="0"/>
        <v/>
      </c>
      <c r="AS32" s="169" t="str">
        <f t="shared" si="0"/>
        <v/>
      </c>
      <c r="AT32" s="169" t="str">
        <f t="shared" si="0"/>
        <v/>
      </c>
      <c r="AU32" s="169" t="str">
        <f t="shared" si="0"/>
        <v/>
      </c>
      <c r="AV32" s="169" t="str">
        <f t="shared" si="0"/>
        <v/>
      </c>
      <c r="AW32" s="169" t="str">
        <f t="shared" si="0"/>
        <v/>
      </c>
      <c r="AX32" s="169" t="str">
        <f t="shared" si="0"/>
        <v/>
      </c>
      <c r="AY32" s="169" t="str">
        <f t="shared" si="0"/>
        <v/>
      </c>
      <c r="AZ32" s="169" t="str">
        <f t="shared" si="0"/>
        <v/>
      </c>
      <c r="BA32" s="169" t="str">
        <f t="shared" si="0"/>
        <v/>
      </c>
      <c r="BB32" s="169" t="str">
        <f t="shared" si="0"/>
        <v/>
      </c>
      <c r="BC32" s="169" t="str">
        <f t="shared" si="0"/>
        <v/>
      </c>
      <c r="BD32" s="169" t="str">
        <f t="shared" si="0"/>
        <v/>
      </c>
      <c r="BE32" s="169" t="str">
        <f t="shared" si="0"/>
        <v/>
      </c>
      <c r="BF32" s="169" t="str">
        <f t="shared" si="0"/>
        <v/>
      </c>
      <c r="BG32" s="169" t="str">
        <f t="shared" si="0"/>
        <v/>
      </c>
      <c r="BH32" s="169" t="str">
        <f t="shared" si="0"/>
        <v/>
      </c>
      <c r="BI32" s="169" t="str">
        <f t="shared" si="0"/>
        <v/>
      </c>
      <c r="BJ32" s="169" t="str">
        <f t="shared" si="0"/>
        <v/>
      </c>
      <c r="BK32" s="169" t="str">
        <f t="shared" si="0"/>
        <v/>
      </c>
      <c r="BL32" s="169" t="str">
        <f t="shared" si="0"/>
        <v/>
      </c>
      <c r="BO32" s="45"/>
    </row>
    <row r="33" spans="2:67" ht="49.5" customHeight="1" x14ac:dyDescent="0.55000000000000004">
      <c r="B33" s="216"/>
      <c r="C33" s="209" t="s">
        <v>179</v>
      </c>
      <c r="D33" s="209"/>
      <c r="E33" s="169">
        <f>IF(E40&lt;&gt;0,"",IF(ISERROR(E31/E29),"入力確認",E31/E29))</f>
        <v>80</v>
      </c>
      <c r="F33" s="169">
        <f t="shared" ref="F33:BL33" si="1">IF(F40&lt;&gt;0,"",IF(ISERROR(F31/F29),"入力確認",F31/F29))</f>
        <v>60</v>
      </c>
      <c r="G33" s="169">
        <f t="shared" si="1"/>
        <v>50</v>
      </c>
      <c r="H33" s="169">
        <f t="shared" si="1"/>
        <v>50</v>
      </c>
      <c r="I33" s="169" t="str">
        <f t="shared" si="1"/>
        <v/>
      </c>
      <c r="J33" s="169" t="str">
        <f t="shared" si="1"/>
        <v/>
      </c>
      <c r="K33" s="169" t="str">
        <f t="shared" si="1"/>
        <v/>
      </c>
      <c r="L33" s="169" t="str">
        <f t="shared" si="1"/>
        <v/>
      </c>
      <c r="M33" s="169" t="str">
        <f>IF(M40&lt;&gt;0,"",IF(ISERROR(M31/M29),"入力確認",M31/M29))</f>
        <v/>
      </c>
      <c r="N33" s="169" t="str">
        <f t="shared" si="1"/>
        <v/>
      </c>
      <c r="O33" s="169" t="str">
        <f t="shared" si="1"/>
        <v/>
      </c>
      <c r="P33" s="169" t="str">
        <f t="shared" si="1"/>
        <v/>
      </c>
      <c r="Q33" s="169" t="str">
        <f t="shared" si="1"/>
        <v/>
      </c>
      <c r="R33" s="169" t="str">
        <f t="shared" si="1"/>
        <v/>
      </c>
      <c r="S33" s="169" t="str">
        <f t="shared" si="1"/>
        <v/>
      </c>
      <c r="T33" s="169" t="str">
        <f t="shared" si="1"/>
        <v/>
      </c>
      <c r="U33" s="169" t="str">
        <f t="shared" si="1"/>
        <v/>
      </c>
      <c r="V33" s="169" t="str">
        <f t="shared" si="1"/>
        <v/>
      </c>
      <c r="W33" s="169" t="str">
        <f t="shared" si="1"/>
        <v/>
      </c>
      <c r="X33" s="169" t="str">
        <f t="shared" si="1"/>
        <v/>
      </c>
      <c r="Y33" s="169" t="str">
        <f t="shared" si="1"/>
        <v/>
      </c>
      <c r="Z33" s="169" t="str">
        <f t="shared" si="1"/>
        <v/>
      </c>
      <c r="AA33" s="169" t="str">
        <f t="shared" si="1"/>
        <v/>
      </c>
      <c r="AB33" s="169" t="str">
        <f t="shared" si="1"/>
        <v/>
      </c>
      <c r="AC33" s="169" t="str">
        <f t="shared" si="1"/>
        <v/>
      </c>
      <c r="AD33" s="169" t="str">
        <f t="shared" si="1"/>
        <v/>
      </c>
      <c r="AE33" s="169" t="str">
        <f t="shared" si="1"/>
        <v/>
      </c>
      <c r="AF33" s="169" t="str">
        <f t="shared" si="1"/>
        <v/>
      </c>
      <c r="AG33" s="169" t="str">
        <f t="shared" si="1"/>
        <v/>
      </c>
      <c r="AH33" s="169" t="str">
        <f t="shared" si="1"/>
        <v/>
      </c>
      <c r="AI33" s="169" t="str">
        <f t="shared" si="1"/>
        <v/>
      </c>
      <c r="AJ33" s="169" t="str">
        <f t="shared" si="1"/>
        <v/>
      </c>
      <c r="AK33" s="169" t="str">
        <f t="shared" si="1"/>
        <v/>
      </c>
      <c r="AL33" s="169" t="str">
        <f t="shared" si="1"/>
        <v/>
      </c>
      <c r="AM33" s="169" t="str">
        <f t="shared" si="1"/>
        <v/>
      </c>
      <c r="AN33" s="169" t="str">
        <f t="shared" si="1"/>
        <v/>
      </c>
      <c r="AO33" s="169" t="str">
        <f t="shared" si="1"/>
        <v/>
      </c>
      <c r="AP33" s="169" t="str">
        <f t="shared" si="1"/>
        <v/>
      </c>
      <c r="AQ33" s="169" t="str">
        <f t="shared" si="1"/>
        <v/>
      </c>
      <c r="AR33" s="169" t="str">
        <f t="shared" si="1"/>
        <v/>
      </c>
      <c r="AS33" s="169" t="str">
        <f t="shared" si="1"/>
        <v/>
      </c>
      <c r="AT33" s="169" t="str">
        <f t="shared" si="1"/>
        <v/>
      </c>
      <c r="AU33" s="169" t="str">
        <f t="shared" si="1"/>
        <v/>
      </c>
      <c r="AV33" s="169" t="str">
        <f t="shared" si="1"/>
        <v/>
      </c>
      <c r="AW33" s="169" t="str">
        <f t="shared" si="1"/>
        <v/>
      </c>
      <c r="AX33" s="169" t="str">
        <f t="shared" si="1"/>
        <v/>
      </c>
      <c r="AY33" s="169" t="str">
        <f t="shared" si="1"/>
        <v/>
      </c>
      <c r="AZ33" s="169" t="str">
        <f t="shared" si="1"/>
        <v/>
      </c>
      <c r="BA33" s="169" t="str">
        <f t="shared" si="1"/>
        <v/>
      </c>
      <c r="BB33" s="169" t="str">
        <f t="shared" si="1"/>
        <v/>
      </c>
      <c r="BC33" s="169" t="str">
        <f t="shared" si="1"/>
        <v/>
      </c>
      <c r="BD33" s="169" t="str">
        <f t="shared" si="1"/>
        <v/>
      </c>
      <c r="BE33" s="169" t="str">
        <f t="shared" si="1"/>
        <v/>
      </c>
      <c r="BF33" s="169" t="str">
        <f t="shared" si="1"/>
        <v/>
      </c>
      <c r="BG33" s="169" t="str">
        <f t="shared" si="1"/>
        <v/>
      </c>
      <c r="BH33" s="169" t="str">
        <f t="shared" si="1"/>
        <v/>
      </c>
      <c r="BI33" s="169" t="str">
        <f t="shared" si="1"/>
        <v/>
      </c>
      <c r="BJ33" s="169" t="str">
        <f t="shared" si="1"/>
        <v/>
      </c>
      <c r="BK33" s="169" t="str">
        <f t="shared" si="1"/>
        <v/>
      </c>
      <c r="BL33" s="169" t="str">
        <f t="shared" si="1"/>
        <v/>
      </c>
      <c r="BO33" s="45"/>
    </row>
    <row r="34" spans="2:67" ht="49.5" customHeight="1" x14ac:dyDescent="0.55000000000000004">
      <c r="B34" s="205" t="s">
        <v>221</v>
      </c>
      <c r="C34" s="206"/>
      <c r="D34" s="207"/>
      <c r="E34" s="91" t="str">
        <f>IF(E40&lt;&gt;0,"",IF((E31-E30)&lt;0,"不適合","適合"))</f>
        <v>適合</v>
      </c>
      <c r="F34" s="91" t="str">
        <f t="shared" ref="F34:BL34" si="2">IF(F40&lt;&gt;0,"",IF((F31-F30)&lt;0,"不適合","適合"))</f>
        <v>適合</v>
      </c>
      <c r="G34" s="91" t="str">
        <f t="shared" si="2"/>
        <v>適合</v>
      </c>
      <c r="H34" s="91" t="str">
        <f t="shared" si="2"/>
        <v>適合</v>
      </c>
      <c r="I34" s="91" t="str">
        <f t="shared" si="2"/>
        <v/>
      </c>
      <c r="J34" s="91" t="str">
        <f t="shared" si="2"/>
        <v/>
      </c>
      <c r="K34" s="91" t="str">
        <f t="shared" si="2"/>
        <v/>
      </c>
      <c r="L34" s="91" t="str">
        <f t="shared" si="2"/>
        <v/>
      </c>
      <c r="M34" s="91" t="str">
        <f t="shared" si="2"/>
        <v/>
      </c>
      <c r="N34" s="91" t="str">
        <f t="shared" si="2"/>
        <v/>
      </c>
      <c r="O34" s="91" t="str">
        <f t="shared" si="2"/>
        <v/>
      </c>
      <c r="P34" s="91" t="str">
        <f t="shared" si="2"/>
        <v/>
      </c>
      <c r="Q34" s="91" t="str">
        <f t="shared" si="2"/>
        <v/>
      </c>
      <c r="R34" s="91" t="str">
        <f t="shared" si="2"/>
        <v/>
      </c>
      <c r="S34" s="91" t="str">
        <f t="shared" si="2"/>
        <v/>
      </c>
      <c r="T34" s="91" t="str">
        <f t="shared" si="2"/>
        <v/>
      </c>
      <c r="U34" s="91" t="str">
        <f t="shared" si="2"/>
        <v/>
      </c>
      <c r="V34" s="91" t="str">
        <f t="shared" si="2"/>
        <v/>
      </c>
      <c r="W34" s="91" t="str">
        <f t="shared" si="2"/>
        <v/>
      </c>
      <c r="X34" s="91" t="str">
        <f t="shared" si="2"/>
        <v/>
      </c>
      <c r="Y34" s="91" t="str">
        <f t="shared" si="2"/>
        <v/>
      </c>
      <c r="Z34" s="91" t="str">
        <f t="shared" si="2"/>
        <v/>
      </c>
      <c r="AA34" s="91" t="str">
        <f t="shared" si="2"/>
        <v/>
      </c>
      <c r="AB34" s="91" t="str">
        <f t="shared" si="2"/>
        <v/>
      </c>
      <c r="AC34" s="91" t="str">
        <f t="shared" si="2"/>
        <v/>
      </c>
      <c r="AD34" s="91" t="str">
        <f t="shared" si="2"/>
        <v/>
      </c>
      <c r="AE34" s="91" t="str">
        <f t="shared" si="2"/>
        <v/>
      </c>
      <c r="AF34" s="91" t="str">
        <f t="shared" si="2"/>
        <v/>
      </c>
      <c r="AG34" s="91" t="str">
        <f t="shared" si="2"/>
        <v/>
      </c>
      <c r="AH34" s="91" t="str">
        <f t="shared" si="2"/>
        <v/>
      </c>
      <c r="AI34" s="91" t="str">
        <f t="shared" si="2"/>
        <v/>
      </c>
      <c r="AJ34" s="91" t="str">
        <f t="shared" si="2"/>
        <v/>
      </c>
      <c r="AK34" s="91" t="str">
        <f t="shared" si="2"/>
        <v/>
      </c>
      <c r="AL34" s="91" t="str">
        <f t="shared" si="2"/>
        <v/>
      </c>
      <c r="AM34" s="91" t="str">
        <f t="shared" si="2"/>
        <v/>
      </c>
      <c r="AN34" s="91" t="str">
        <f t="shared" si="2"/>
        <v/>
      </c>
      <c r="AO34" s="91" t="str">
        <f t="shared" si="2"/>
        <v/>
      </c>
      <c r="AP34" s="91" t="str">
        <f t="shared" si="2"/>
        <v/>
      </c>
      <c r="AQ34" s="91" t="str">
        <f t="shared" si="2"/>
        <v/>
      </c>
      <c r="AR34" s="91" t="str">
        <f t="shared" si="2"/>
        <v/>
      </c>
      <c r="AS34" s="91" t="str">
        <f t="shared" si="2"/>
        <v/>
      </c>
      <c r="AT34" s="91" t="str">
        <f t="shared" si="2"/>
        <v/>
      </c>
      <c r="AU34" s="91" t="str">
        <f t="shared" si="2"/>
        <v/>
      </c>
      <c r="AV34" s="91" t="str">
        <f t="shared" si="2"/>
        <v/>
      </c>
      <c r="AW34" s="91" t="str">
        <f t="shared" si="2"/>
        <v/>
      </c>
      <c r="AX34" s="91" t="str">
        <f t="shared" si="2"/>
        <v/>
      </c>
      <c r="AY34" s="91" t="str">
        <f t="shared" si="2"/>
        <v/>
      </c>
      <c r="AZ34" s="91" t="str">
        <f t="shared" si="2"/>
        <v/>
      </c>
      <c r="BA34" s="91" t="str">
        <f t="shared" si="2"/>
        <v/>
      </c>
      <c r="BB34" s="91" t="str">
        <f t="shared" si="2"/>
        <v/>
      </c>
      <c r="BC34" s="91" t="str">
        <f t="shared" si="2"/>
        <v/>
      </c>
      <c r="BD34" s="91" t="str">
        <f t="shared" si="2"/>
        <v/>
      </c>
      <c r="BE34" s="91" t="str">
        <f t="shared" si="2"/>
        <v/>
      </c>
      <c r="BF34" s="91" t="str">
        <f t="shared" si="2"/>
        <v/>
      </c>
      <c r="BG34" s="91" t="str">
        <f t="shared" si="2"/>
        <v/>
      </c>
      <c r="BH34" s="91" t="str">
        <f t="shared" si="2"/>
        <v/>
      </c>
      <c r="BI34" s="91" t="str">
        <f t="shared" si="2"/>
        <v/>
      </c>
      <c r="BJ34" s="91" t="str">
        <f t="shared" si="2"/>
        <v/>
      </c>
      <c r="BK34" s="91" t="str">
        <f t="shared" si="2"/>
        <v/>
      </c>
      <c r="BL34" s="91" t="str">
        <f t="shared" si="2"/>
        <v/>
      </c>
      <c r="BO34" s="45"/>
    </row>
    <row r="35" spans="2:67" ht="49.5" customHeight="1" x14ac:dyDescent="0.55000000000000004">
      <c r="B35" s="205" t="s">
        <v>222</v>
      </c>
      <c r="C35" s="206"/>
      <c r="D35" s="207"/>
      <c r="E35" s="91" t="str">
        <f>IF(E40&lt;&gt;0,"",IF(ISERROR(AND((E33-E32)&gt;=0,E33&gt;=30)),"不適合",IF(AND((E33-E32)&gt;=0,E33&gt;=30),"適合","不適合")))</f>
        <v>適合</v>
      </c>
      <c r="F35" s="91" t="str">
        <f t="shared" ref="F35:BL35" si="3">IF(F40&lt;&gt;0,"",IF(ISERROR(AND((F33-F32)&gt;=0,F33&gt;=30)),"不適合",IF(AND((F33-F32)&gt;=0,F33&gt;=30),"適合","不適合")))</f>
        <v>適合</v>
      </c>
      <c r="G35" s="91" t="str">
        <f t="shared" si="3"/>
        <v>適合</v>
      </c>
      <c r="H35" s="91" t="str">
        <f t="shared" si="3"/>
        <v>適合</v>
      </c>
      <c r="I35" s="91" t="str">
        <f t="shared" si="3"/>
        <v/>
      </c>
      <c r="J35" s="91" t="str">
        <f t="shared" si="3"/>
        <v/>
      </c>
      <c r="K35" s="91" t="str">
        <f t="shared" si="3"/>
        <v/>
      </c>
      <c r="L35" s="91" t="str">
        <f t="shared" si="3"/>
        <v/>
      </c>
      <c r="M35" s="91" t="str">
        <f>IF(M40&lt;&gt;0,"",IF(ISERROR(AND((M33-M32)&gt;=0,M33&gt;=30)),"不適合",IF(AND((M33-M32)&gt;=0,M33&gt;=30),"適合","不適合")))</f>
        <v/>
      </c>
      <c r="N35" s="91" t="str">
        <f t="shared" si="3"/>
        <v/>
      </c>
      <c r="O35" s="91" t="str">
        <f t="shared" si="3"/>
        <v/>
      </c>
      <c r="P35" s="91" t="str">
        <f t="shared" si="3"/>
        <v/>
      </c>
      <c r="Q35" s="91" t="str">
        <f t="shared" si="3"/>
        <v/>
      </c>
      <c r="R35" s="91" t="str">
        <f t="shared" si="3"/>
        <v/>
      </c>
      <c r="S35" s="91" t="str">
        <f t="shared" si="3"/>
        <v/>
      </c>
      <c r="T35" s="91" t="str">
        <f t="shared" si="3"/>
        <v/>
      </c>
      <c r="U35" s="91" t="str">
        <f t="shared" si="3"/>
        <v/>
      </c>
      <c r="V35" s="91" t="str">
        <f t="shared" si="3"/>
        <v/>
      </c>
      <c r="W35" s="91" t="str">
        <f t="shared" si="3"/>
        <v/>
      </c>
      <c r="X35" s="91" t="str">
        <f t="shared" si="3"/>
        <v/>
      </c>
      <c r="Y35" s="91" t="str">
        <f t="shared" si="3"/>
        <v/>
      </c>
      <c r="Z35" s="91" t="str">
        <f t="shared" si="3"/>
        <v/>
      </c>
      <c r="AA35" s="91" t="str">
        <f t="shared" si="3"/>
        <v/>
      </c>
      <c r="AB35" s="91" t="str">
        <f t="shared" si="3"/>
        <v/>
      </c>
      <c r="AC35" s="91" t="str">
        <f t="shared" si="3"/>
        <v/>
      </c>
      <c r="AD35" s="91" t="str">
        <f t="shared" si="3"/>
        <v/>
      </c>
      <c r="AE35" s="91" t="str">
        <f t="shared" si="3"/>
        <v/>
      </c>
      <c r="AF35" s="91" t="str">
        <f t="shared" si="3"/>
        <v/>
      </c>
      <c r="AG35" s="91" t="str">
        <f t="shared" si="3"/>
        <v/>
      </c>
      <c r="AH35" s="91" t="str">
        <f t="shared" si="3"/>
        <v/>
      </c>
      <c r="AI35" s="91" t="str">
        <f t="shared" si="3"/>
        <v/>
      </c>
      <c r="AJ35" s="91" t="str">
        <f t="shared" si="3"/>
        <v/>
      </c>
      <c r="AK35" s="91" t="str">
        <f t="shared" si="3"/>
        <v/>
      </c>
      <c r="AL35" s="91" t="str">
        <f t="shared" si="3"/>
        <v/>
      </c>
      <c r="AM35" s="91" t="str">
        <f t="shared" si="3"/>
        <v/>
      </c>
      <c r="AN35" s="91" t="str">
        <f t="shared" si="3"/>
        <v/>
      </c>
      <c r="AO35" s="91" t="str">
        <f t="shared" si="3"/>
        <v/>
      </c>
      <c r="AP35" s="91" t="str">
        <f t="shared" si="3"/>
        <v/>
      </c>
      <c r="AQ35" s="91" t="str">
        <f t="shared" si="3"/>
        <v/>
      </c>
      <c r="AR35" s="91" t="str">
        <f t="shared" si="3"/>
        <v/>
      </c>
      <c r="AS35" s="91" t="str">
        <f t="shared" si="3"/>
        <v/>
      </c>
      <c r="AT35" s="91" t="str">
        <f t="shared" si="3"/>
        <v/>
      </c>
      <c r="AU35" s="91" t="str">
        <f t="shared" si="3"/>
        <v/>
      </c>
      <c r="AV35" s="91" t="str">
        <f t="shared" si="3"/>
        <v/>
      </c>
      <c r="AW35" s="91" t="str">
        <f t="shared" si="3"/>
        <v/>
      </c>
      <c r="AX35" s="91" t="str">
        <f t="shared" si="3"/>
        <v/>
      </c>
      <c r="AY35" s="91" t="str">
        <f t="shared" si="3"/>
        <v/>
      </c>
      <c r="AZ35" s="91" t="str">
        <f t="shared" si="3"/>
        <v/>
      </c>
      <c r="BA35" s="91" t="str">
        <f t="shared" si="3"/>
        <v/>
      </c>
      <c r="BB35" s="91" t="str">
        <f t="shared" si="3"/>
        <v/>
      </c>
      <c r="BC35" s="91" t="str">
        <f t="shared" si="3"/>
        <v/>
      </c>
      <c r="BD35" s="91" t="str">
        <f t="shared" si="3"/>
        <v/>
      </c>
      <c r="BE35" s="91" t="str">
        <f t="shared" si="3"/>
        <v/>
      </c>
      <c r="BF35" s="91" t="str">
        <f t="shared" si="3"/>
        <v/>
      </c>
      <c r="BG35" s="91" t="str">
        <f t="shared" si="3"/>
        <v/>
      </c>
      <c r="BH35" s="91" t="str">
        <f t="shared" si="3"/>
        <v/>
      </c>
      <c r="BI35" s="91" t="str">
        <f t="shared" si="3"/>
        <v/>
      </c>
      <c r="BJ35" s="91" t="str">
        <f t="shared" si="3"/>
        <v/>
      </c>
      <c r="BK35" s="91" t="str">
        <f t="shared" si="3"/>
        <v/>
      </c>
      <c r="BL35" s="91" t="str">
        <f t="shared" si="3"/>
        <v/>
      </c>
      <c r="BO35" s="45"/>
    </row>
    <row r="36" spans="2:67" ht="24.75" hidden="1" customHeight="1" x14ac:dyDescent="0.55000000000000004">
      <c r="B36" s="203" t="s">
        <v>471</v>
      </c>
      <c r="C36" s="203"/>
      <c r="D36" s="203"/>
      <c r="E36" s="167">
        <f t="shared" ref="E36:AJ36" si="4">IF(E24="",0,1)</f>
        <v>1</v>
      </c>
      <c r="F36" s="167">
        <f t="shared" si="4"/>
        <v>1</v>
      </c>
      <c r="G36" s="167">
        <f t="shared" si="4"/>
        <v>1</v>
      </c>
      <c r="H36" s="167">
        <f t="shared" si="4"/>
        <v>1</v>
      </c>
      <c r="I36" s="167">
        <f t="shared" si="4"/>
        <v>0</v>
      </c>
      <c r="J36" s="167">
        <f t="shared" si="4"/>
        <v>0</v>
      </c>
      <c r="K36" s="167">
        <f t="shared" si="4"/>
        <v>0</v>
      </c>
      <c r="L36" s="167">
        <f t="shared" si="4"/>
        <v>0</v>
      </c>
      <c r="M36" s="167">
        <f t="shared" si="4"/>
        <v>0</v>
      </c>
      <c r="N36" s="167">
        <f t="shared" si="4"/>
        <v>0</v>
      </c>
      <c r="O36" s="167">
        <f t="shared" si="4"/>
        <v>0</v>
      </c>
      <c r="P36" s="167">
        <f t="shared" si="4"/>
        <v>0</v>
      </c>
      <c r="Q36" s="167">
        <f t="shared" si="4"/>
        <v>0</v>
      </c>
      <c r="R36" s="167">
        <f t="shared" si="4"/>
        <v>0</v>
      </c>
      <c r="S36" s="167">
        <f t="shared" si="4"/>
        <v>0</v>
      </c>
      <c r="T36" s="167">
        <f t="shared" si="4"/>
        <v>0</v>
      </c>
      <c r="U36" s="167">
        <f t="shared" si="4"/>
        <v>0</v>
      </c>
      <c r="V36" s="167">
        <f t="shared" si="4"/>
        <v>0</v>
      </c>
      <c r="W36" s="167">
        <f t="shared" si="4"/>
        <v>0</v>
      </c>
      <c r="X36" s="167">
        <f t="shared" si="4"/>
        <v>0</v>
      </c>
      <c r="Y36" s="167">
        <f t="shared" si="4"/>
        <v>0</v>
      </c>
      <c r="Z36" s="167">
        <f t="shared" si="4"/>
        <v>0</v>
      </c>
      <c r="AA36" s="167">
        <f t="shared" si="4"/>
        <v>0</v>
      </c>
      <c r="AB36" s="167">
        <f t="shared" si="4"/>
        <v>0</v>
      </c>
      <c r="AC36" s="167">
        <f t="shared" si="4"/>
        <v>0</v>
      </c>
      <c r="AD36" s="167">
        <f t="shared" si="4"/>
        <v>0</v>
      </c>
      <c r="AE36" s="167">
        <f t="shared" si="4"/>
        <v>0</v>
      </c>
      <c r="AF36" s="167">
        <f t="shared" si="4"/>
        <v>0</v>
      </c>
      <c r="AG36" s="167">
        <f t="shared" si="4"/>
        <v>0</v>
      </c>
      <c r="AH36" s="167">
        <f t="shared" si="4"/>
        <v>0</v>
      </c>
      <c r="AI36" s="167">
        <f t="shared" si="4"/>
        <v>0</v>
      </c>
      <c r="AJ36" s="167">
        <f t="shared" si="4"/>
        <v>0</v>
      </c>
      <c r="AK36" s="167">
        <f t="shared" ref="AK36:BL36" si="5">IF(AK24="",0,1)</f>
        <v>0</v>
      </c>
      <c r="AL36" s="167">
        <f t="shared" si="5"/>
        <v>0</v>
      </c>
      <c r="AM36" s="167">
        <f t="shared" si="5"/>
        <v>0</v>
      </c>
      <c r="AN36" s="167">
        <f t="shared" si="5"/>
        <v>0</v>
      </c>
      <c r="AO36" s="167">
        <f t="shared" si="5"/>
        <v>0</v>
      </c>
      <c r="AP36" s="167">
        <f t="shared" si="5"/>
        <v>0</v>
      </c>
      <c r="AQ36" s="167">
        <f t="shared" si="5"/>
        <v>0</v>
      </c>
      <c r="AR36" s="167">
        <f t="shared" si="5"/>
        <v>0</v>
      </c>
      <c r="AS36" s="167">
        <f t="shared" si="5"/>
        <v>0</v>
      </c>
      <c r="AT36" s="167">
        <f t="shared" si="5"/>
        <v>0</v>
      </c>
      <c r="AU36" s="167">
        <f t="shared" si="5"/>
        <v>0</v>
      </c>
      <c r="AV36" s="167">
        <f t="shared" si="5"/>
        <v>0</v>
      </c>
      <c r="AW36" s="167">
        <f t="shared" si="5"/>
        <v>0</v>
      </c>
      <c r="AX36" s="167">
        <f t="shared" si="5"/>
        <v>0</v>
      </c>
      <c r="AY36" s="167">
        <f t="shared" si="5"/>
        <v>0</v>
      </c>
      <c r="AZ36" s="167">
        <f t="shared" si="5"/>
        <v>0</v>
      </c>
      <c r="BA36" s="167">
        <f t="shared" si="5"/>
        <v>0</v>
      </c>
      <c r="BB36" s="167">
        <f t="shared" si="5"/>
        <v>0</v>
      </c>
      <c r="BC36" s="167">
        <f t="shared" si="5"/>
        <v>0</v>
      </c>
      <c r="BD36" s="167">
        <f t="shared" si="5"/>
        <v>0</v>
      </c>
      <c r="BE36" s="167">
        <f t="shared" si="5"/>
        <v>0</v>
      </c>
      <c r="BF36" s="167">
        <f t="shared" si="5"/>
        <v>0</v>
      </c>
      <c r="BG36" s="167">
        <f t="shared" si="5"/>
        <v>0</v>
      </c>
      <c r="BH36" s="167">
        <f t="shared" si="5"/>
        <v>0</v>
      </c>
      <c r="BI36" s="167">
        <f t="shared" si="5"/>
        <v>0</v>
      </c>
      <c r="BJ36" s="167">
        <f t="shared" si="5"/>
        <v>0</v>
      </c>
      <c r="BK36" s="167">
        <f t="shared" si="5"/>
        <v>0</v>
      </c>
      <c r="BL36" s="167">
        <f t="shared" si="5"/>
        <v>0</v>
      </c>
      <c r="BO36" s="45"/>
    </row>
    <row r="37" spans="2:67" ht="24.75" hidden="1" customHeight="1" x14ac:dyDescent="0.55000000000000004">
      <c r="B37" s="201" t="s">
        <v>476</v>
      </c>
      <c r="C37" s="201"/>
      <c r="D37" s="201"/>
      <c r="E37" s="167">
        <f>IF(OR(AND(E27="機械換気",E30&gt;0),AND(E27="自然換気",E30=0)),0,1)</f>
        <v>0</v>
      </c>
      <c r="F37" s="167">
        <f t="shared" ref="F37:BL37" si="6">IF(OR(AND(F27="機械換気",F30&gt;0),AND(F27="自然換気",F30=0)),0,1)</f>
        <v>0</v>
      </c>
      <c r="G37" s="167">
        <f t="shared" si="6"/>
        <v>0</v>
      </c>
      <c r="H37" s="167">
        <f t="shared" si="6"/>
        <v>0</v>
      </c>
      <c r="I37" s="167">
        <f t="shared" si="6"/>
        <v>1</v>
      </c>
      <c r="J37" s="167">
        <f t="shared" si="6"/>
        <v>1</v>
      </c>
      <c r="K37" s="167">
        <f t="shared" si="6"/>
        <v>1</v>
      </c>
      <c r="L37" s="167">
        <f t="shared" si="6"/>
        <v>1</v>
      </c>
      <c r="M37" s="167">
        <f t="shared" si="6"/>
        <v>1</v>
      </c>
      <c r="N37" s="167">
        <f t="shared" si="6"/>
        <v>1</v>
      </c>
      <c r="O37" s="167">
        <f t="shared" si="6"/>
        <v>1</v>
      </c>
      <c r="P37" s="167">
        <f t="shared" si="6"/>
        <v>1</v>
      </c>
      <c r="Q37" s="167">
        <f t="shared" si="6"/>
        <v>1</v>
      </c>
      <c r="R37" s="167">
        <f t="shared" si="6"/>
        <v>1</v>
      </c>
      <c r="S37" s="167">
        <f t="shared" si="6"/>
        <v>1</v>
      </c>
      <c r="T37" s="167">
        <f t="shared" si="6"/>
        <v>1</v>
      </c>
      <c r="U37" s="167">
        <f t="shared" si="6"/>
        <v>1</v>
      </c>
      <c r="V37" s="167">
        <f t="shared" si="6"/>
        <v>1</v>
      </c>
      <c r="W37" s="167">
        <f t="shared" si="6"/>
        <v>1</v>
      </c>
      <c r="X37" s="167">
        <f t="shared" si="6"/>
        <v>1</v>
      </c>
      <c r="Y37" s="167">
        <f t="shared" si="6"/>
        <v>1</v>
      </c>
      <c r="Z37" s="167">
        <f t="shared" si="6"/>
        <v>1</v>
      </c>
      <c r="AA37" s="167">
        <f t="shared" si="6"/>
        <v>1</v>
      </c>
      <c r="AB37" s="167">
        <f t="shared" si="6"/>
        <v>1</v>
      </c>
      <c r="AC37" s="167">
        <f t="shared" si="6"/>
        <v>1</v>
      </c>
      <c r="AD37" s="167">
        <f t="shared" si="6"/>
        <v>1</v>
      </c>
      <c r="AE37" s="167">
        <f t="shared" si="6"/>
        <v>1</v>
      </c>
      <c r="AF37" s="167">
        <f t="shared" si="6"/>
        <v>1</v>
      </c>
      <c r="AG37" s="167">
        <f t="shared" si="6"/>
        <v>1</v>
      </c>
      <c r="AH37" s="167">
        <f t="shared" si="6"/>
        <v>1</v>
      </c>
      <c r="AI37" s="167">
        <f t="shared" si="6"/>
        <v>1</v>
      </c>
      <c r="AJ37" s="167">
        <f t="shared" si="6"/>
        <v>1</v>
      </c>
      <c r="AK37" s="167">
        <f t="shared" si="6"/>
        <v>1</v>
      </c>
      <c r="AL37" s="167">
        <f t="shared" si="6"/>
        <v>1</v>
      </c>
      <c r="AM37" s="167">
        <f t="shared" si="6"/>
        <v>1</v>
      </c>
      <c r="AN37" s="167">
        <f t="shared" si="6"/>
        <v>1</v>
      </c>
      <c r="AO37" s="167">
        <f t="shared" si="6"/>
        <v>1</v>
      </c>
      <c r="AP37" s="167">
        <f t="shared" si="6"/>
        <v>1</v>
      </c>
      <c r="AQ37" s="167">
        <f t="shared" si="6"/>
        <v>1</v>
      </c>
      <c r="AR37" s="167">
        <f t="shared" si="6"/>
        <v>1</v>
      </c>
      <c r="AS37" s="167">
        <f t="shared" si="6"/>
        <v>1</v>
      </c>
      <c r="AT37" s="167">
        <f t="shared" si="6"/>
        <v>1</v>
      </c>
      <c r="AU37" s="167">
        <f t="shared" si="6"/>
        <v>1</v>
      </c>
      <c r="AV37" s="167">
        <f t="shared" si="6"/>
        <v>1</v>
      </c>
      <c r="AW37" s="167">
        <f t="shared" si="6"/>
        <v>1</v>
      </c>
      <c r="AX37" s="167">
        <f t="shared" si="6"/>
        <v>1</v>
      </c>
      <c r="AY37" s="167">
        <f t="shared" si="6"/>
        <v>1</v>
      </c>
      <c r="AZ37" s="167">
        <f t="shared" si="6"/>
        <v>1</v>
      </c>
      <c r="BA37" s="167">
        <f t="shared" si="6"/>
        <v>1</v>
      </c>
      <c r="BB37" s="167">
        <f t="shared" si="6"/>
        <v>1</v>
      </c>
      <c r="BC37" s="167">
        <f t="shared" si="6"/>
        <v>1</v>
      </c>
      <c r="BD37" s="167">
        <f t="shared" si="6"/>
        <v>1</v>
      </c>
      <c r="BE37" s="167">
        <f t="shared" si="6"/>
        <v>1</v>
      </c>
      <c r="BF37" s="167">
        <f t="shared" si="6"/>
        <v>1</v>
      </c>
      <c r="BG37" s="167">
        <f t="shared" si="6"/>
        <v>1</v>
      </c>
      <c r="BH37" s="167">
        <f t="shared" si="6"/>
        <v>1</v>
      </c>
      <c r="BI37" s="167">
        <f t="shared" si="6"/>
        <v>1</v>
      </c>
      <c r="BJ37" s="167">
        <f t="shared" si="6"/>
        <v>1</v>
      </c>
      <c r="BK37" s="167">
        <f t="shared" si="6"/>
        <v>1</v>
      </c>
      <c r="BL37" s="167">
        <f t="shared" si="6"/>
        <v>1</v>
      </c>
      <c r="BO37" s="45"/>
    </row>
    <row r="38" spans="2:67" s="108" customFormat="1" ht="24.75" hidden="1" customHeight="1" x14ac:dyDescent="0.55000000000000004">
      <c r="B38" s="202" t="s">
        <v>470</v>
      </c>
      <c r="C38" s="202"/>
      <c r="D38" s="202"/>
      <c r="E38" s="170">
        <f>IF(E34="適合",0,1)</f>
        <v>0</v>
      </c>
      <c r="F38" s="170">
        <f t="shared" ref="F38:AJ38" si="7">IF(F34="適合",0,1)</f>
        <v>0</v>
      </c>
      <c r="G38" s="170">
        <f t="shared" si="7"/>
        <v>0</v>
      </c>
      <c r="H38" s="170">
        <f t="shared" si="7"/>
        <v>0</v>
      </c>
      <c r="I38" s="170">
        <f t="shared" si="7"/>
        <v>1</v>
      </c>
      <c r="J38" s="170">
        <f t="shared" si="7"/>
        <v>1</v>
      </c>
      <c r="K38" s="170">
        <f t="shared" si="7"/>
        <v>1</v>
      </c>
      <c r="L38" s="170">
        <f t="shared" si="7"/>
        <v>1</v>
      </c>
      <c r="M38" s="170">
        <f t="shared" si="7"/>
        <v>1</v>
      </c>
      <c r="N38" s="170">
        <f t="shared" si="7"/>
        <v>1</v>
      </c>
      <c r="O38" s="170">
        <f t="shared" si="7"/>
        <v>1</v>
      </c>
      <c r="P38" s="170">
        <f t="shared" si="7"/>
        <v>1</v>
      </c>
      <c r="Q38" s="170">
        <f t="shared" si="7"/>
        <v>1</v>
      </c>
      <c r="R38" s="170">
        <f t="shared" si="7"/>
        <v>1</v>
      </c>
      <c r="S38" s="170">
        <f t="shared" si="7"/>
        <v>1</v>
      </c>
      <c r="T38" s="170">
        <f t="shared" si="7"/>
        <v>1</v>
      </c>
      <c r="U38" s="170">
        <f t="shared" si="7"/>
        <v>1</v>
      </c>
      <c r="V38" s="170">
        <f t="shared" si="7"/>
        <v>1</v>
      </c>
      <c r="W38" s="170">
        <f t="shared" si="7"/>
        <v>1</v>
      </c>
      <c r="X38" s="170">
        <f t="shared" si="7"/>
        <v>1</v>
      </c>
      <c r="Y38" s="170">
        <f t="shared" si="7"/>
        <v>1</v>
      </c>
      <c r="Z38" s="170">
        <f t="shared" si="7"/>
        <v>1</v>
      </c>
      <c r="AA38" s="170">
        <f t="shared" si="7"/>
        <v>1</v>
      </c>
      <c r="AB38" s="170">
        <f t="shared" si="7"/>
        <v>1</v>
      </c>
      <c r="AC38" s="170">
        <f t="shared" si="7"/>
        <v>1</v>
      </c>
      <c r="AD38" s="170">
        <f t="shared" si="7"/>
        <v>1</v>
      </c>
      <c r="AE38" s="170">
        <f t="shared" si="7"/>
        <v>1</v>
      </c>
      <c r="AF38" s="170">
        <f t="shared" si="7"/>
        <v>1</v>
      </c>
      <c r="AG38" s="170">
        <f t="shared" si="7"/>
        <v>1</v>
      </c>
      <c r="AH38" s="170">
        <f t="shared" si="7"/>
        <v>1</v>
      </c>
      <c r="AI38" s="170">
        <f t="shared" si="7"/>
        <v>1</v>
      </c>
      <c r="AJ38" s="170">
        <f t="shared" si="7"/>
        <v>1</v>
      </c>
      <c r="AK38" s="170">
        <f t="shared" ref="AK38:BL38" si="8">IF(AK34="適合",0,1)</f>
        <v>1</v>
      </c>
      <c r="AL38" s="170">
        <f t="shared" si="8"/>
        <v>1</v>
      </c>
      <c r="AM38" s="170">
        <f t="shared" si="8"/>
        <v>1</v>
      </c>
      <c r="AN38" s="170">
        <f t="shared" si="8"/>
        <v>1</v>
      </c>
      <c r="AO38" s="170">
        <f t="shared" si="8"/>
        <v>1</v>
      </c>
      <c r="AP38" s="170">
        <f t="shared" si="8"/>
        <v>1</v>
      </c>
      <c r="AQ38" s="170">
        <f t="shared" si="8"/>
        <v>1</v>
      </c>
      <c r="AR38" s="170">
        <f t="shared" si="8"/>
        <v>1</v>
      </c>
      <c r="AS38" s="170">
        <f t="shared" si="8"/>
        <v>1</v>
      </c>
      <c r="AT38" s="170">
        <f t="shared" si="8"/>
        <v>1</v>
      </c>
      <c r="AU38" s="170">
        <f t="shared" si="8"/>
        <v>1</v>
      </c>
      <c r="AV38" s="170">
        <f t="shared" si="8"/>
        <v>1</v>
      </c>
      <c r="AW38" s="170">
        <f t="shared" si="8"/>
        <v>1</v>
      </c>
      <c r="AX38" s="170">
        <f t="shared" si="8"/>
        <v>1</v>
      </c>
      <c r="AY38" s="170">
        <f t="shared" si="8"/>
        <v>1</v>
      </c>
      <c r="AZ38" s="170">
        <f t="shared" si="8"/>
        <v>1</v>
      </c>
      <c r="BA38" s="170">
        <f t="shared" si="8"/>
        <v>1</v>
      </c>
      <c r="BB38" s="170">
        <f t="shared" si="8"/>
        <v>1</v>
      </c>
      <c r="BC38" s="170">
        <f t="shared" si="8"/>
        <v>1</v>
      </c>
      <c r="BD38" s="170">
        <f t="shared" si="8"/>
        <v>1</v>
      </c>
      <c r="BE38" s="170">
        <f t="shared" si="8"/>
        <v>1</v>
      </c>
      <c r="BF38" s="170">
        <f t="shared" si="8"/>
        <v>1</v>
      </c>
      <c r="BG38" s="170">
        <f t="shared" si="8"/>
        <v>1</v>
      </c>
      <c r="BH38" s="170">
        <f t="shared" si="8"/>
        <v>1</v>
      </c>
      <c r="BI38" s="170">
        <f t="shared" si="8"/>
        <v>1</v>
      </c>
      <c r="BJ38" s="170">
        <f t="shared" si="8"/>
        <v>1</v>
      </c>
      <c r="BK38" s="170">
        <f t="shared" si="8"/>
        <v>1</v>
      </c>
      <c r="BL38" s="170">
        <f t="shared" si="8"/>
        <v>1</v>
      </c>
      <c r="BO38" s="135"/>
    </row>
    <row r="39" spans="2:67" ht="24.75" hidden="1" customHeight="1" x14ac:dyDescent="0.55000000000000004">
      <c r="B39" s="201" t="s">
        <v>469</v>
      </c>
      <c r="C39" s="201"/>
      <c r="D39" s="201"/>
      <c r="E39" s="167">
        <f>IF(E35="適合",0,1)</f>
        <v>0</v>
      </c>
      <c r="F39" s="167">
        <f t="shared" ref="F39:BL39" si="9">IF(F35="適合",0,1)</f>
        <v>0</v>
      </c>
      <c r="G39" s="167">
        <f t="shared" si="9"/>
        <v>0</v>
      </c>
      <c r="H39" s="167">
        <f t="shared" si="9"/>
        <v>0</v>
      </c>
      <c r="I39" s="167">
        <f t="shared" si="9"/>
        <v>1</v>
      </c>
      <c r="J39" s="167">
        <f t="shared" si="9"/>
        <v>1</v>
      </c>
      <c r="K39" s="167">
        <f t="shared" si="9"/>
        <v>1</v>
      </c>
      <c r="L39" s="167">
        <f t="shared" si="9"/>
        <v>1</v>
      </c>
      <c r="M39" s="167">
        <f t="shared" si="9"/>
        <v>1</v>
      </c>
      <c r="N39" s="167">
        <f t="shared" si="9"/>
        <v>1</v>
      </c>
      <c r="O39" s="167">
        <f t="shared" si="9"/>
        <v>1</v>
      </c>
      <c r="P39" s="167">
        <f t="shared" si="9"/>
        <v>1</v>
      </c>
      <c r="Q39" s="167">
        <f t="shared" si="9"/>
        <v>1</v>
      </c>
      <c r="R39" s="167">
        <f t="shared" si="9"/>
        <v>1</v>
      </c>
      <c r="S39" s="167">
        <f t="shared" si="9"/>
        <v>1</v>
      </c>
      <c r="T39" s="167">
        <f t="shared" si="9"/>
        <v>1</v>
      </c>
      <c r="U39" s="167">
        <f t="shared" si="9"/>
        <v>1</v>
      </c>
      <c r="V39" s="167">
        <f t="shared" si="9"/>
        <v>1</v>
      </c>
      <c r="W39" s="167">
        <f t="shared" si="9"/>
        <v>1</v>
      </c>
      <c r="X39" s="167">
        <f t="shared" si="9"/>
        <v>1</v>
      </c>
      <c r="Y39" s="167">
        <f t="shared" si="9"/>
        <v>1</v>
      </c>
      <c r="Z39" s="167">
        <f t="shared" si="9"/>
        <v>1</v>
      </c>
      <c r="AA39" s="167">
        <f t="shared" si="9"/>
        <v>1</v>
      </c>
      <c r="AB39" s="167">
        <f t="shared" si="9"/>
        <v>1</v>
      </c>
      <c r="AC39" s="167">
        <f t="shared" si="9"/>
        <v>1</v>
      </c>
      <c r="AD39" s="167">
        <f t="shared" si="9"/>
        <v>1</v>
      </c>
      <c r="AE39" s="167">
        <f t="shared" si="9"/>
        <v>1</v>
      </c>
      <c r="AF39" s="167">
        <f t="shared" si="9"/>
        <v>1</v>
      </c>
      <c r="AG39" s="167">
        <f t="shared" si="9"/>
        <v>1</v>
      </c>
      <c r="AH39" s="167">
        <f t="shared" si="9"/>
        <v>1</v>
      </c>
      <c r="AI39" s="167">
        <f t="shared" si="9"/>
        <v>1</v>
      </c>
      <c r="AJ39" s="167">
        <f t="shared" si="9"/>
        <v>1</v>
      </c>
      <c r="AK39" s="167">
        <f t="shared" si="9"/>
        <v>1</v>
      </c>
      <c r="AL39" s="167">
        <f t="shared" si="9"/>
        <v>1</v>
      </c>
      <c r="AM39" s="167">
        <f t="shared" si="9"/>
        <v>1</v>
      </c>
      <c r="AN39" s="167">
        <f t="shared" si="9"/>
        <v>1</v>
      </c>
      <c r="AO39" s="167">
        <f t="shared" si="9"/>
        <v>1</v>
      </c>
      <c r="AP39" s="167">
        <f t="shared" si="9"/>
        <v>1</v>
      </c>
      <c r="AQ39" s="167">
        <f t="shared" si="9"/>
        <v>1</v>
      </c>
      <c r="AR39" s="167">
        <f t="shared" si="9"/>
        <v>1</v>
      </c>
      <c r="AS39" s="167">
        <f t="shared" si="9"/>
        <v>1</v>
      </c>
      <c r="AT39" s="167">
        <f t="shared" si="9"/>
        <v>1</v>
      </c>
      <c r="AU39" s="167">
        <f t="shared" si="9"/>
        <v>1</v>
      </c>
      <c r="AV39" s="167">
        <f t="shared" si="9"/>
        <v>1</v>
      </c>
      <c r="AW39" s="167">
        <f t="shared" si="9"/>
        <v>1</v>
      </c>
      <c r="AX39" s="167">
        <f t="shared" si="9"/>
        <v>1</v>
      </c>
      <c r="AY39" s="167">
        <f t="shared" si="9"/>
        <v>1</v>
      </c>
      <c r="AZ39" s="167">
        <f t="shared" si="9"/>
        <v>1</v>
      </c>
      <c r="BA39" s="167">
        <f t="shared" si="9"/>
        <v>1</v>
      </c>
      <c r="BB39" s="167">
        <f t="shared" si="9"/>
        <v>1</v>
      </c>
      <c r="BC39" s="167">
        <f t="shared" si="9"/>
        <v>1</v>
      </c>
      <c r="BD39" s="167">
        <f t="shared" si="9"/>
        <v>1</v>
      </c>
      <c r="BE39" s="167">
        <f t="shared" si="9"/>
        <v>1</v>
      </c>
      <c r="BF39" s="167">
        <f t="shared" si="9"/>
        <v>1</v>
      </c>
      <c r="BG39" s="167">
        <f t="shared" si="9"/>
        <v>1</v>
      </c>
      <c r="BH39" s="167">
        <f t="shared" si="9"/>
        <v>1</v>
      </c>
      <c r="BI39" s="167">
        <f t="shared" si="9"/>
        <v>1</v>
      </c>
      <c r="BJ39" s="167">
        <f t="shared" si="9"/>
        <v>1</v>
      </c>
      <c r="BK39" s="167">
        <f t="shared" si="9"/>
        <v>1</v>
      </c>
      <c r="BL39" s="167">
        <f t="shared" si="9"/>
        <v>1</v>
      </c>
      <c r="BO39" s="45"/>
    </row>
    <row r="40" spans="2:67" ht="24.75" hidden="1" customHeight="1" x14ac:dyDescent="0.55000000000000004">
      <c r="B40" s="202" t="s">
        <v>472</v>
      </c>
      <c r="C40" s="202"/>
      <c r="D40" s="202"/>
      <c r="E40" s="167">
        <f>IF(AND(E24="",E25="",E26="",E27="",E28="",E29="",E30="",E31=""),2,IF(AND(E24&lt;&gt;"",E25&lt;&gt;"",E26&lt;&gt;"",E27&lt;&gt;"",E28&lt;&gt;"",E29&lt;&gt;"",E30&lt;&gt;"",E31&lt;&gt;"",E37=0),0,1))</f>
        <v>0</v>
      </c>
      <c r="F40" s="167">
        <f t="shared" ref="F40:BL40" si="10">IF(AND(F24="",F25="",F26="",F27="",F28="",F29="",F30="",F31=""),2,IF(AND(F24&lt;&gt;"",F25&lt;&gt;"",F26&lt;&gt;"",F27&lt;&gt;"",F28&lt;&gt;"",F29&lt;&gt;"",F30&lt;&gt;"",F31&lt;&gt;"",F37=0),0,1))</f>
        <v>0</v>
      </c>
      <c r="G40" s="167">
        <f t="shared" si="10"/>
        <v>0</v>
      </c>
      <c r="H40" s="167">
        <f t="shared" si="10"/>
        <v>0</v>
      </c>
      <c r="I40" s="167">
        <f t="shared" si="10"/>
        <v>2</v>
      </c>
      <c r="J40" s="167">
        <f t="shared" si="10"/>
        <v>2</v>
      </c>
      <c r="K40" s="167">
        <f t="shared" si="10"/>
        <v>2</v>
      </c>
      <c r="L40" s="167">
        <f t="shared" si="10"/>
        <v>2</v>
      </c>
      <c r="M40" s="167">
        <f t="shared" si="10"/>
        <v>2</v>
      </c>
      <c r="N40" s="167">
        <f t="shared" si="10"/>
        <v>2</v>
      </c>
      <c r="O40" s="167">
        <f t="shared" si="10"/>
        <v>2</v>
      </c>
      <c r="P40" s="167">
        <f t="shared" si="10"/>
        <v>2</v>
      </c>
      <c r="Q40" s="167">
        <f t="shared" si="10"/>
        <v>2</v>
      </c>
      <c r="R40" s="167">
        <f t="shared" si="10"/>
        <v>2</v>
      </c>
      <c r="S40" s="167">
        <f t="shared" si="10"/>
        <v>2</v>
      </c>
      <c r="T40" s="167">
        <f t="shared" si="10"/>
        <v>2</v>
      </c>
      <c r="U40" s="167">
        <f t="shared" si="10"/>
        <v>2</v>
      </c>
      <c r="V40" s="167">
        <f t="shared" si="10"/>
        <v>2</v>
      </c>
      <c r="W40" s="167">
        <f t="shared" si="10"/>
        <v>2</v>
      </c>
      <c r="X40" s="167">
        <f t="shared" si="10"/>
        <v>2</v>
      </c>
      <c r="Y40" s="167">
        <f t="shared" si="10"/>
        <v>2</v>
      </c>
      <c r="Z40" s="167">
        <f t="shared" si="10"/>
        <v>2</v>
      </c>
      <c r="AA40" s="167">
        <f t="shared" si="10"/>
        <v>2</v>
      </c>
      <c r="AB40" s="167">
        <f t="shared" si="10"/>
        <v>2</v>
      </c>
      <c r="AC40" s="167">
        <f t="shared" si="10"/>
        <v>2</v>
      </c>
      <c r="AD40" s="167">
        <f t="shared" si="10"/>
        <v>2</v>
      </c>
      <c r="AE40" s="167">
        <f t="shared" si="10"/>
        <v>2</v>
      </c>
      <c r="AF40" s="167">
        <f t="shared" si="10"/>
        <v>2</v>
      </c>
      <c r="AG40" s="167">
        <f t="shared" si="10"/>
        <v>2</v>
      </c>
      <c r="AH40" s="167">
        <f t="shared" si="10"/>
        <v>2</v>
      </c>
      <c r="AI40" s="167">
        <f t="shared" si="10"/>
        <v>2</v>
      </c>
      <c r="AJ40" s="167">
        <f t="shared" si="10"/>
        <v>2</v>
      </c>
      <c r="AK40" s="167">
        <f t="shared" si="10"/>
        <v>2</v>
      </c>
      <c r="AL40" s="167">
        <f t="shared" si="10"/>
        <v>2</v>
      </c>
      <c r="AM40" s="167">
        <f t="shared" si="10"/>
        <v>2</v>
      </c>
      <c r="AN40" s="167">
        <f t="shared" si="10"/>
        <v>2</v>
      </c>
      <c r="AO40" s="167">
        <f t="shared" si="10"/>
        <v>2</v>
      </c>
      <c r="AP40" s="167">
        <f t="shared" si="10"/>
        <v>2</v>
      </c>
      <c r="AQ40" s="167">
        <f t="shared" si="10"/>
        <v>2</v>
      </c>
      <c r="AR40" s="167">
        <f t="shared" si="10"/>
        <v>2</v>
      </c>
      <c r="AS40" s="167">
        <f t="shared" si="10"/>
        <v>2</v>
      </c>
      <c r="AT40" s="167">
        <f t="shared" si="10"/>
        <v>2</v>
      </c>
      <c r="AU40" s="167">
        <f t="shared" si="10"/>
        <v>2</v>
      </c>
      <c r="AV40" s="167">
        <f t="shared" si="10"/>
        <v>2</v>
      </c>
      <c r="AW40" s="167">
        <f t="shared" si="10"/>
        <v>2</v>
      </c>
      <c r="AX40" s="167">
        <f t="shared" si="10"/>
        <v>2</v>
      </c>
      <c r="AY40" s="167">
        <f t="shared" si="10"/>
        <v>2</v>
      </c>
      <c r="AZ40" s="167">
        <f t="shared" si="10"/>
        <v>2</v>
      </c>
      <c r="BA40" s="167">
        <f t="shared" si="10"/>
        <v>2</v>
      </c>
      <c r="BB40" s="167">
        <f t="shared" si="10"/>
        <v>2</v>
      </c>
      <c r="BC40" s="167">
        <f t="shared" si="10"/>
        <v>2</v>
      </c>
      <c r="BD40" s="167">
        <f t="shared" si="10"/>
        <v>2</v>
      </c>
      <c r="BE40" s="167">
        <f t="shared" si="10"/>
        <v>2</v>
      </c>
      <c r="BF40" s="167">
        <f t="shared" si="10"/>
        <v>2</v>
      </c>
      <c r="BG40" s="167">
        <f t="shared" si="10"/>
        <v>2</v>
      </c>
      <c r="BH40" s="167">
        <f t="shared" si="10"/>
        <v>2</v>
      </c>
      <c r="BI40" s="167">
        <f t="shared" si="10"/>
        <v>2</v>
      </c>
      <c r="BJ40" s="167">
        <f t="shared" si="10"/>
        <v>2</v>
      </c>
      <c r="BK40" s="167">
        <f t="shared" si="10"/>
        <v>2</v>
      </c>
      <c r="BL40" s="167">
        <f t="shared" si="10"/>
        <v>2</v>
      </c>
    </row>
    <row r="41" spans="2:67" ht="24.75" hidden="1" customHeight="1" x14ac:dyDescent="0.55000000000000004">
      <c r="B41" s="201" t="s">
        <v>474</v>
      </c>
      <c r="C41" s="201"/>
      <c r="D41" s="201"/>
      <c r="E41" s="167">
        <f>IF(AND(E38=0,E39=0,E40=0),0,IF(E40=2,0,1))</f>
        <v>0</v>
      </c>
      <c r="F41" s="167">
        <f t="shared" ref="F41:BL41" si="11">IF(AND(F38=0,F39=0,F40=0),0,IF(F40=2,0,1))</f>
        <v>0</v>
      </c>
      <c r="G41" s="167">
        <f t="shared" si="11"/>
        <v>0</v>
      </c>
      <c r="H41" s="167">
        <f t="shared" si="11"/>
        <v>0</v>
      </c>
      <c r="I41" s="167">
        <f t="shared" si="11"/>
        <v>0</v>
      </c>
      <c r="J41" s="167">
        <f t="shared" si="11"/>
        <v>0</v>
      </c>
      <c r="K41" s="167">
        <f t="shared" si="11"/>
        <v>0</v>
      </c>
      <c r="L41" s="167">
        <f t="shared" si="11"/>
        <v>0</v>
      </c>
      <c r="M41" s="167">
        <f t="shared" si="11"/>
        <v>0</v>
      </c>
      <c r="N41" s="167">
        <f t="shared" si="11"/>
        <v>0</v>
      </c>
      <c r="O41" s="167">
        <f t="shared" si="11"/>
        <v>0</v>
      </c>
      <c r="P41" s="167">
        <f t="shared" si="11"/>
        <v>0</v>
      </c>
      <c r="Q41" s="167">
        <f t="shared" si="11"/>
        <v>0</v>
      </c>
      <c r="R41" s="167">
        <f t="shared" si="11"/>
        <v>0</v>
      </c>
      <c r="S41" s="167">
        <f t="shared" si="11"/>
        <v>0</v>
      </c>
      <c r="T41" s="167">
        <f t="shared" si="11"/>
        <v>0</v>
      </c>
      <c r="U41" s="167">
        <f t="shared" si="11"/>
        <v>0</v>
      </c>
      <c r="V41" s="167">
        <f t="shared" si="11"/>
        <v>0</v>
      </c>
      <c r="W41" s="167">
        <f t="shared" si="11"/>
        <v>0</v>
      </c>
      <c r="X41" s="167">
        <f t="shared" si="11"/>
        <v>0</v>
      </c>
      <c r="Y41" s="167">
        <f t="shared" si="11"/>
        <v>0</v>
      </c>
      <c r="Z41" s="167">
        <f t="shared" si="11"/>
        <v>0</v>
      </c>
      <c r="AA41" s="167">
        <f t="shared" si="11"/>
        <v>0</v>
      </c>
      <c r="AB41" s="167">
        <f t="shared" si="11"/>
        <v>0</v>
      </c>
      <c r="AC41" s="167">
        <f t="shared" si="11"/>
        <v>0</v>
      </c>
      <c r="AD41" s="167">
        <f t="shared" si="11"/>
        <v>0</v>
      </c>
      <c r="AE41" s="167">
        <f t="shared" si="11"/>
        <v>0</v>
      </c>
      <c r="AF41" s="167">
        <f t="shared" si="11"/>
        <v>0</v>
      </c>
      <c r="AG41" s="167">
        <f t="shared" si="11"/>
        <v>0</v>
      </c>
      <c r="AH41" s="167">
        <f t="shared" si="11"/>
        <v>0</v>
      </c>
      <c r="AI41" s="167">
        <f t="shared" si="11"/>
        <v>0</v>
      </c>
      <c r="AJ41" s="167">
        <f t="shared" si="11"/>
        <v>0</v>
      </c>
      <c r="AK41" s="167">
        <f t="shared" si="11"/>
        <v>0</v>
      </c>
      <c r="AL41" s="167">
        <f t="shared" si="11"/>
        <v>0</v>
      </c>
      <c r="AM41" s="167">
        <f t="shared" si="11"/>
        <v>0</v>
      </c>
      <c r="AN41" s="167">
        <f t="shared" si="11"/>
        <v>0</v>
      </c>
      <c r="AO41" s="167">
        <f t="shared" si="11"/>
        <v>0</v>
      </c>
      <c r="AP41" s="167">
        <f t="shared" si="11"/>
        <v>0</v>
      </c>
      <c r="AQ41" s="167">
        <f t="shared" si="11"/>
        <v>0</v>
      </c>
      <c r="AR41" s="167">
        <f t="shared" si="11"/>
        <v>0</v>
      </c>
      <c r="AS41" s="167">
        <f t="shared" si="11"/>
        <v>0</v>
      </c>
      <c r="AT41" s="167">
        <f t="shared" si="11"/>
        <v>0</v>
      </c>
      <c r="AU41" s="167">
        <f t="shared" si="11"/>
        <v>0</v>
      </c>
      <c r="AV41" s="167">
        <f t="shared" si="11"/>
        <v>0</v>
      </c>
      <c r="AW41" s="167">
        <f t="shared" si="11"/>
        <v>0</v>
      </c>
      <c r="AX41" s="167">
        <f t="shared" si="11"/>
        <v>0</v>
      </c>
      <c r="AY41" s="167">
        <f t="shared" si="11"/>
        <v>0</v>
      </c>
      <c r="AZ41" s="167">
        <f t="shared" si="11"/>
        <v>0</v>
      </c>
      <c r="BA41" s="167">
        <f t="shared" si="11"/>
        <v>0</v>
      </c>
      <c r="BB41" s="167">
        <f t="shared" si="11"/>
        <v>0</v>
      </c>
      <c r="BC41" s="167">
        <f t="shared" si="11"/>
        <v>0</v>
      </c>
      <c r="BD41" s="167">
        <f t="shared" si="11"/>
        <v>0</v>
      </c>
      <c r="BE41" s="167">
        <f t="shared" si="11"/>
        <v>0</v>
      </c>
      <c r="BF41" s="167">
        <f t="shared" si="11"/>
        <v>0</v>
      </c>
      <c r="BG41" s="167">
        <f t="shared" si="11"/>
        <v>0</v>
      </c>
      <c r="BH41" s="167">
        <f t="shared" si="11"/>
        <v>0</v>
      </c>
      <c r="BI41" s="167">
        <f t="shared" si="11"/>
        <v>0</v>
      </c>
      <c r="BJ41" s="167">
        <f t="shared" si="11"/>
        <v>0</v>
      </c>
      <c r="BK41" s="167">
        <f t="shared" si="11"/>
        <v>0</v>
      </c>
      <c r="BL41" s="167">
        <f t="shared" si="11"/>
        <v>0</v>
      </c>
    </row>
    <row r="42" spans="2:67" ht="24.75" hidden="1" customHeight="1" x14ac:dyDescent="0.55000000000000004">
      <c r="B42" s="204" t="s">
        <v>473</v>
      </c>
      <c r="C42" s="204"/>
      <c r="D42" s="204"/>
      <c r="E42" s="167">
        <f>COUNTIF($E40:$BL40,0)</f>
        <v>4</v>
      </c>
      <c r="F42" s="167">
        <f>COUNTIF($E40:$BL40,1)</f>
        <v>0</v>
      </c>
      <c r="G42" s="167">
        <f>COUNTIF($E40:$BL40,2)</f>
        <v>56</v>
      </c>
      <c r="H42" s="167">
        <f>60-COUNTIF($E$24:$BL$24,"")</f>
        <v>4</v>
      </c>
      <c r="I42" s="168" t="str">
        <f>IF(F42&lt;&gt;0,"入力確認",IF(H42=E42,"入力済","未入力"))</f>
        <v>入力済</v>
      </c>
      <c r="AK42" s="39"/>
    </row>
    <row r="44" spans="2:67" ht="19.5" customHeight="1" x14ac:dyDescent="0.55000000000000004">
      <c r="B44" s="86"/>
      <c r="C44" s="86"/>
      <c r="D44" s="86"/>
      <c r="AK44" s="39"/>
    </row>
    <row r="45" spans="2:67" ht="19.5" customHeight="1" x14ac:dyDescent="0.55000000000000004">
      <c r="AK45" s="39"/>
    </row>
    <row r="46" spans="2:67" ht="19.5" customHeight="1" x14ac:dyDescent="0.55000000000000004">
      <c r="AK46" s="39"/>
    </row>
    <row r="47" spans="2:67" ht="19.5" customHeight="1" x14ac:dyDescent="0.55000000000000004">
      <c r="AK47" s="39"/>
    </row>
    <row r="51" spans="37:37" x14ac:dyDescent="0.55000000000000004">
      <c r="AK51" s="39"/>
    </row>
    <row r="54" spans="37:37" x14ac:dyDescent="0.55000000000000004">
      <c r="AK54" s="39"/>
    </row>
  </sheetData>
  <sheetProtection algorithmName="SHA-512" hashValue="xhEbz4tJ9y87mgXPRMhxHJo9/jhwP8r6ctn74pdidXJ2hcqpMgSUftcvQRP2tg+dwAvdkdhB5KXYcPHBZtWZPQ==" saltValue="oCvTadKPRd0zzrukPJwA3A==" spinCount="100000" sheet="1" objects="1" scenarios="1" selectLockedCells="1" selectUnlockedCells="1"/>
  <mergeCells count="25">
    <mergeCell ref="I21:Q21"/>
    <mergeCell ref="G21:H21"/>
    <mergeCell ref="B34:D34"/>
    <mergeCell ref="B28:B29"/>
    <mergeCell ref="B30:B31"/>
    <mergeCell ref="B32:B33"/>
    <mergeCell ref="B35:D35"/>
    <mergeCell ref="B23:D23"/>
    <mergeCell ref="B24:D24"/>
    <mergeCell ref="B25:D25"/>
    <mergeCell ref="B26:D26"/>
    <mergeCell ref="B27:D27"/>
    <mergeCell ref="C28:D28"/>
    <mergeCell ref="C29:D29"/>
    <mergeCell ref="C30:D30"/>
    <mergeCell ref="C31:D31"/>
    <mergeCell ref="C32:D32"/>
    <mergeCell ref="C33:D33"/>
    <mergeCell ref="B39:D39"/>
    <mergeCell ref="B40:D40"/>
    <mergeCell ref="B36:D36"/>
    <mergeCell ref="B42:D42"/>
    <mergeCell ref="B37:D37"/>
    <mergeCell ref="B41:D41"/>
    <mergeCell ref="B38:D38"/>
  </mergeCells>
  <phoneticPr fontId="2"/>
  <conditionalFormatting sqref="I31:BL31 I29:BL29 E35:BL35 E33:BL33">
    <cfRule type="expression" dxfId="303" priority="12">
      <formula>E$35="不適合"</formula>
    </cfRule>
  </conditionalFormatting>
  <conditionalFormatting sqref="E33:BL33">
    <cfRule type="cellIs" dxfId="302" priority="14" operator="lessThan">
      <formula>30</formula>
    </cfRule>
    <cfRule type="expression" dxfId="301" priority="15">
      <formula>E33="入力確認"</formula>
    </cfRule>
  </conditionalFormatting>
  <conditionalFormatting sqref="I31:BL31 E34:BL34">
    <cfRule type="expression" dxfId="300" priority="11">
      <formula>E$31-E$30&lt;0</formula>
    </cfRule>
  </conditionalFormatting>
  <conditionalFormatting sqref="I21">
    <cfRule type="expression" dxfId="299" priority="24">
      <formula>$I$21="必要換気量に係る要件を満たしていないため、申請できません。"</formula>
    </cfRule>
    <cfRule type="expression" dxfId="298" priority="27">
      <formula>$I$21="「換気設備導入前後の比較表」の入力をご確認ください。"</formula>
    </cfRule>
  </conditionalFormatting>
  <conditionalFormatting sqref="E32:BL32">
    <cfRule type="expression" dxfId="297" priority="13">
      <formula>E32="入力確認"</formula>
    </cfRule>
  </conditionalFormatting>
  <conditionalFormatting sqref="E34:BL34">
    <cfRule type="expression" dxfId="296" priority="16">
      <formula>E34="不適合"</formula>
    </cfRule>
  </conditionalFormatting>
  <conditionalFormatting sqref="I29:BL29">
    <cfRule type="expression" dxfId="295" priority="10">
      <formula>AND(I29&lt;=0,I40=0)</formula>
    </cfRule>
  </conditionalFormatting>
  <conditionalFormatting sqref="I27:BL28">
    <cfRule type="expression" dxfId="294" priority="8">
      <formula>AND(I$27="機械換気",I$28=0)</formula>
    </cfRule>
  </conditionalFormatting>
  <conditionalFormatting sqref="I27:BL27 I30:BL30">
    <cfRule type="expression" dxfId="293" priority="6">
      <formula>AND(I$27="自然換気",I$30&gt;0)</formula>
    </cfRule>
  </conditionalFormatting>
  <conditionalFormatting sqref="I21:Q21">
    <cfRule type="expression" dxfId="292" priority="23">
      <formula>$I$21="「換気設備導入前後の比較表」を入力してください"</formula>
    </cfRule>
  </conditionalFormatting>
  <conditionalFormatting sqref="E31:H31 E29:H29">
    <cfRule type="expression" dxfId="291" priority="5">
      <formula>E$35="不適合"</formula>
    </cfRule>
  </conditionalFormatting>
  <conditionalFormatting sqref="E31:H31">
    <cfRule type="expression" dxfId="290" priority="2">
      <formula>E$31-E$30&lt;0</formula>
    </cfRule>
  </conditionalFormatting>
  <conditionalFormatting sqref="E29:H29">
    <cfRule type="expression" dxfId="289" priority="4">
      <formula>AND(E29&lt;=0,E40=0)</formula>
    </cfRule>
  </conditionalFormatting>
  <conditionalFormatting sqref="E27:H28">
    <cfRule type="expression" dxfId="288" priority="3">
      <formula>AND(E$27="機械換気",E$28=0)</formula>
    </cfRule>
  </conditionalFormatting>
  <conditionalFormatting sqref="E27:H27 E30:H30">
    <cfRule type="expression" dxfId="287" priority="1">
      <formula>AND(E$27="自然換気",E$30&gt;0)</formula>
    </cfRule>
  </conditionalFormatting>
  <dataValidations xWindow="937" yWindow="277" count="4">
    <dataValidation allowBlank="1" sqref="C15:C16"/>
    <dataValidation type="whole" operator="greaterThanOrEqual" allowBlank="1" showInputMessage="1" showErrorMessage="1" prompt="利用人数を整数で入力してください" sqref="E28:BL29">
      <formula1>0</formula1>
    </dataValidation>
    <dataValidation type="whole" operator="greaterThanOrEqual" allowBlank="1" showInputMessage="1" showErrorMessage="1" prompt="”0”以上の整数を入力してください。" sqref="I31:BL31 E30:H31">
      <formula1>0</formula1>
    </dataValidation>
    <dataValidation type="whole" operator="greaterThanOrEqual" allowBlank="1" showInputMessage="1" showErrorMessage="1" prompt="自然換気は、”0”を入力。_x000a_機械換気は、”0”以上の整数を入力してください。" sqref="I30:BL30">
      <formula1>0</formula1>
    </dataValidation>
  </dataValidations>
  <pageMargins left="0.6692913385826772" right="0.31496062992125984" top="0.55118110236220474" bottom="0.35433070866141736" header="0.23622047244094491" footer="0.15748031496062992"/>
  <pageSetup paperSize="9" scale="46" fitToWidth="0" orientation="landscape" r:id="rId1"/>
  <headerFooter>
    <oddHeader>&amp;C&amp;20換気量・省エネ計算シート</oddHeader>
  </headerFooter>
  <colBreaks count="3" manualBreakCount="3">
    <brk id="24" max="34" man="1"/>
    <brk id="34" max="34" man="1"/>
    <brk id="49" max="34" man="1"/>
  </colBreaks>
  <drawing r:id="rId2"/>
  <legacyDrawing r:id="rId3"/>
  <extLst>
    <ext xmlns:x14="http://schemas.microsoft.com/office/spreadsheetml/2009/9/main" uri="{CCE6A557-97BC-4b89-ADB6-D9C93CAAB3DF}">
      <x14:dataValidations xmlns:xm="http://schemas.microsoft.com/office/excel/2006/main" xWindow="937" yWindow="277" count="4">
        <x14:dataValidation type="list" allowBlank="1" showInputMessage="1" showErrorMessage="1">
          <x14:formula1>
            <xm:f>計算!$T$17:$T$18</xm:f>
          </x14:formula1>
          <xm:sqref>I27:BL27</xm:sqref>
        </x14:dataValidation>
        <x14:dataValidation type="list" allowBlank="1" showInputMessage="1" showErrorMessage="1">
          <x14:formula1>
            <xm:f>計算!$Z$4:$Z$14</xm:f>
          </x14:formula1>
          <xm:sqref>I24:BL24</xm:sqref>
        </x14:dataValidation>
        <x14:dataValidation type="list" allowBlank="1" showInputMessage="1" showErrorMessage="1">
          <x14:formula1>
            <xm:f>'\\fs00001\総務部\東京都地球温暖化防止活動推進センター\事業支援チーム\Ｒ４\200_個人用\和田\[和田編集◆換気量・省エネ計算シート（R4_Ver5.5）_記入例 .xlsx]計算'!#REF!</xm:f>
          </x14:formula1>
          <xm:sqref>E24:H24</xm:sqref>
        </x14:dataValidation>
        <x14:dataValidation type="list" allowBlank="1" showInputMessage="1" showErrorMessage="1">
          <x14:formula1>
            <xm:f>'\\fs00001\総務部\東京都地球温暖化防止活動推進センター\事業支援チーム\Ｒ４\200_個人用\和田\[和田編集◆換気量・省エネ計算シート（R4_Ver5.5）_記入例 .xlsx]計算'!#REF!</xm:f>
          </x14:formula1>
          <xm:sqref>E27:H27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outlinePr summaryBelow="0" summaryRight="0"/>
    <pageSetUpPr fitToPage="1"/>
  </sheetPr>
  <dimension ref="B1:BO54"/>
  <sheetViews>
    <sheetView view="pageBreakPreview" zoomScale="70" zoomScaleNormal="80" zoomScaleSheetLayoutView="70" workbookViewId="0">
      <selection sqref="A1:XFD1048576"/>
    </sheetView>
  </sheetViews>
  <sheetFormatPr defaultColWidth="7.1640625" defaultRowHeight="19.2" x14ac:dyDescent="0.55000000000000004"/>
  <cols>
    <col min="1" max="1" width="2.1640625" style="39" customWidth="1"/>
    <col min="2" max="2" width="14.9140625" style="39" customWidth="1"/>
    <col min="3" max="3" width="4.83203125" style="39" customWidth="1"/>
    <col min="4" max="4" width="4" style="39" customWidth="1"/>
    <col min="5" max="13" width="9.83203125" style="39" customWidth="1"/>
    <col min="14" max="14" width="9.83203125" style="39" customWidth="1" collapsed="1"/>
    <col min="15" max="28" width="9.83203125" style="39" customWidth="1"/>
    <col min="29" max="29" width="9.83203125" style="39" customWidth="1" collapsed="1"/>
    <col min="30" max="36" width="9.83203125" style="39" customWidth="1"/>
    <col min="37" max="37" width="9.83203125" style="45" customWidth="1"/>
    <col min="38" max="54" width="9.83203125" style="39" customWidth="1"/>
    <col min="55" max="65" width="9.9140625" style="39" customWidth="1"/>
    <col min="66" max="16384" width="7.1640625" style="39"/>
  </cols>
  <sheetData>
    <row r="1" spans="2:34" s="59" customFormat="1" ht="17.399999999999999" x14ac:dyDescent="0.55000000000000004"/>
    <row r="2" spans="2:34" s="18" customFormat="1" x14ac:dyDescent="0.55000000000000004">
      <c r="B2" s="50" t="s">
        <v>230</v>
      </c>
      <c r="C2" s="5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2:34" s="59" customFormat="1" x14ac:dyDescent="0.55000000000000004">
      <c r="B3" s="74" t="s">
        <v>231</v>
      </c>
      <c r="C3" s="39"/>
      <c r="D3" s="39"/>
      <c r="E3" s="39"/>
      <c r="F3" s="39"/>
      <c r="G3" s="39"/>
      <c r="H3" s="39"/>
      <c r="I3" s="39"/>
      <c r="J3" s="39"/>
      <c r="K3" s="51"/>
      <c r="L3" s="39"/>
      <c r="M3" s="39"/>
      <c r="N3" s="39"/>
      <c r="O3" s="39"/>
      <c r="P3" s="39"/>
      <c r="Q3" s="39"/>
      <c r="R3" s="39"/>
      <c r="S3" s="39"/>
      <c r="T3" s="39"/>
      <c r="U3" s="39"/>
      <c r="V3" s="39"/>
      <c r="W3" s="39"/>
      <c r="X3" s="39"/>
      <c r="Y3" s="39"/>
      <c r="Z3" s="39"/>
      <c r="AA3" s="39"/>
      <c r="AB3" s="39"/>
      <c r="AC3" s="39"/>
      <c r="AD3" s="39"/>
      <c r="AE3" s="39"/>
      <c r="AF3" s="39"/>
      <c r="AG3" s="39"/>
      <c r="AH3" s="39"/>
    </row>
    <row r="4" spans="2:34" s="59" customFormat="1" x14ac:dyDescent="0.55000000000000004">
      <c r="B4" s="74"/>
      <c r="C4" s="39"/>
      <c r="D4" s="39"/>
      <c r="E4" s="39"/>
      <c r="F4" s="39"/>
      <c r="G4" s="39"/>
      <c r="H4" s="39"/>
      <c r="I4" s="39"/>
      <c r="J4" s="39"/>
      <c r="K4" s="51"/>
      <c r="L4" s="39"/>
      <c r="M4" s="39"/>
      <c r="N4" s="39"/>
      <c r="O4" s="39"/>
      <c r="P4" s="39"/>
      <c r="Q4" s="39"/>
      <c r="R4" s="39"/>
      <c r="S4" s="39"/>
      <c r="T4" s="39"/>
      <c r="U4" s="39"/>
      <c r="V4" s="39"/>
      <c r="W4" s="39"/>
      <c r="X4" s="39"/>
      <c r="Y4" s="39"/>
      <c r="Z4" s="39"/>
      <c r="AA4" s="39"/>
      <c r="AB4" s="39"/>
      <c r="AC4" s="39"/>
      <c r="AD4" s="39"/>
      <c r="AE4" s="39"/>
      <c r="AF4" s="39"/>
      <c r="AG4" s="39"/>
      <c r="AH4" s="39"/>
    </row>
    <row r="5" spans="2:34" s="18" customFormat="1" x14ac:dyDescent="0.55000000000000004">
      <c r="B5" s="50" t="s">
        <v>177</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2:34" s="59" customFormat="1" x14ac:dyDescent="0.55000000000000004">
      <c r="B6" s="108" t="s">
        <v>406</v>
      </c>
      <c r="C6" s="39"/>
      <c r="D6" s="39"/>
      <c r="E6" s="39"/>
      <c r="F6" s="39"/>
      <c r="G6" s="39"/>
      <c r="H6" s="39"/>
      <c r="I6" s="39"/>
      <c r="J6" s="39"/>
      <c r="K6" s="51"/>
      <c r="L6" s="39"/>
      <c r="M6" s="39"/>
      <c r="N6" s="39"/>
      <c r="O6" s="39"/>
      <c r="P6" s="39"/>
      <c r="Q6" s="39"/>
      <c r="R6" s="39"/>
      <c r="S6" s="39"/>
      <c r="T6" s="39"/>
      <c r="U6" s="39"/>
      <c r="V6" s="39"/>
      <c r="W6" s="39"/>
      <c r="X6" s="39"/>
      <c r="Y6" s="39"/>
      <c r="Z6" s="39"/>
      <c r="AA6" s="39"/>
      <c r="AB6" s="39"/>
      <c r="AC6" s="39"/>
      <c r="AD6" s="39"/>
      <c r="AE6" s="39"/>
      <c r="AF6" s="39"/>
      <c r="AG6" s="39"/>
      <c r="AH6" s="39"/>
    </row>
    <row r="7" spans="2:34" s="59" customFormat="1" x14ac:dyDescent="0.55000000000000004">
      <c r="B7" s="108" t="s">
        <v>402</v>
      </c>
      <c r="C7" s="39"/>
      <c r="D7" s="39"/>
      <c r="E7" s="39"/>
      <c r="F7" s="39"/>
      <c r="G7" s="39"/>
      <c r="H7" s="39"/>
      <c r="I7" s="39"/>
      <c r="J7" s="39"/>
      <c r="K7" s="51"/>
      <c r="L7" s="39"/>
      <c r="M7" s="39"/>
      <c r="N7" s="39"/>
      <c r="O7" s="39"/>
      <c r="P7" s="39"/>
      <c r="Q7" s="39"/>
      <c r="R7" s="39"/>
      <c r="S7" s="39"/>
      <c r="T7" s="39"/>
      <c r="U7" s="39"/>
      <c r="V7" s="39"/>
      <c r="W7" s="39"/>
      <c r="X7" s="39"/>
      <c r="Y7" s="39"/>
      <c r="Z7" s="39"/>
      <c r="AA7" s="39"/>
      <c r="AB7" s="39"/>
      <c r="AC7" s="39"/>
      <c r="AD7" s="39"/>
      <c r="AE7" s="39"/>
      <c r="AF7" s="39"/>
      <c r="AG7" s="39"/>
      <c r="AH7" s="39"/>
    </row>
    <row r="8" spans="2:34" s="59" customFormat="1" x14ac:dyDescent="0.55000000000000004">
      <c r="B8" s="108" t="s">
        <v>405</v>
      </c>
      <c r="C8" s="39"/>
      <c r="D8" s="39"/>
      <c r="E8" s="39"/>
      <c r="F8" s="39"/>
      <c r="G8" s="39"/>
      <c r="H8" s="39"/>
      <c r="I8" s="39"/>
      <c r="J8" s="39"/>
      <c r="K8" s="51"/>
      <c r="L8" s="39"/>
      <c r="M8" s="39"/>
      <c r="N8" s="39"/>
      <c r="O8" s="39"/>
      <c r="P8" s="39"/>
      <c r="Q8" s="39"/>
      <c r="R8" s="39"/>
      <c r="S8" s="39"/>
      <c r="T8" s="39"/>
      <c r="U8" s="39"/>
      <c r="V8" s="39"/>
      <c r="W8" s="39"/>
      <c r="X8" s="39"/>
      <c r="Y8" s="39"/>
      <c r="Z8" s="39"/>
      <c r="AA8" s="39"/>
      <c r="AB8" s="39"/>
      <c r="AC8" s="39"/>
      <c r="AD8" s="39"/>
      <c r="AE8" s="39"/>
      <c r="AF8" s="39"/>
      <c r="AG8" s="39"/>
      <c r="AH8" s="39"/>
    </row>
    <row r="9" spans="2:34" s="59" customFormat="1" x14ac:dyDescent="0.55000000000000004">
      <c r="B9" s="108" t="s">
        <v>467</v>
      </c>
      <c r="C9" s="39"/>
      <c r="D9" s="86"/>
      <c r="E9" s="86"/>
      <c r="F9" s="86"/>
      <c r="G9" s="39"/>
      <c r="H9" s="39"/>
      <c r="I9" s="39"/>
      <c r="J9" s="39"/>
      <c r="K9" s="51"/>
      <c r="L9" s="39"/>
      <c r="M9" s="39"/>
      <c r="N9" s="39"/>
      <c r="O9" s="39"/>
      <c r="P9" s="39"/>
      <c r="Q9" s="39"/>
      <c r="R9" s="39"/>
      <c r="S9" s="39"/>
      <c r="T9" s="39"/>
      <c r="U9" s="39"/>
      <c r="V9" s="39"/>
      <c r="W9" s="39"/>
      <c r="X9" s="39"/>
      <c r="Y9" s="39"/>
      <c r="Z9" s="39"/>
      <c r="AA9" s="39"/>
      <c r="AB9" s="39"/>
      <c r="AC9" s="39"/>
      <c r="AD9" s="39"/>
      <c r="AE9" s="39"/>
      <c r="AF9" s="39"/>
      <c r="AG9" s="39"/>
      <c r="AH9" s="39"/>
    </row>
    <row r="10" spans="2:34" s="59" customFormat="1" x14ac:dyDescent="0.55000000000000004">
      <c r="B10" s="108" t="s">
        <v>468</v>
      </c>
      <c r="C10" s="39"/>
      <c r="D10" s="39"/>
      <c r="E10" s="39"/>
      <c r="F10" s="39"/>
      <c r="G10" s="39"/>
      <c r="H10" s="39"/>
      <c r="I10" s="39"/>
      <c r="J10" s="39"/>
      <c r="K10" s="51"/>
      <c r="L10" s="39"/>
      <c r="M10" s="39"/>
      <c r="N10" s="39"/>
      <c r="O10" s="39"/>
      <c r="P10" s="39"/>
      <c r="Q10" s="39"/>
      <c r="R10" s="39"/>
      <c r="S10" s="39"/>
      <c r="T10" s="39"/>
      <c r="U10" s="39"/>
      <c r="V10" s="39"/>
      <c r="W10" s="39"/>
      <c r="X10" s="39"/>
      <c r="Y10" s="39"/>
      <c r="Z10" s="39"/>
      <c r="AA10" s="39"/>
      <c r="AB10" s="39"/>
      <c r="AC10" s="39"/>
      <c r="AD10" s="39"/>
      <c r="AE10" s="39"/>
      <c r="AF10" s="39"/>
      <c r="AG10" s="39"/>
      <c r="AH10" s="39"/>
    </row>
    <row r="11" spans="2:34" s="59" customFormat="1" x14ac:dyDescent="0.55000000000000004">
      <c r="B11" s="108" t="s">
        <v>404</v>
      </c>
      <c r="C11" s="39"/>
      <c r="D11" s="39"/>
      <c r="E11" s="39"/>
      <c r="F11" s="39"/>
      <c r="G11" s="39"/>
      <c r="H11" s="39"/>
      <c r="I11" s="39"/>
      <c r="J11" s="39"/>
      <c r="K11" s="51"/>
      <c r="L11" s="39"/>
      <c r="M11" s="39"/>
      <c r="N11" s="39"/>
      <c r="O11" s="39"/>
      <c r="P11" s="39"/>
      <c r="Q11" s="39"/>
      <c r="R11" s="39"/>
      <c r="S11" s="39"/>
      <c r="T11" s="39"/>
      <c r="U11" s="39"/>
      <c r="V11" s="39"/>
      <c r="W11" s="39"/>
      <c r="X11" s="39"/>
      <c r="Y11" s="39"/>
      <c r="Z11" s="39"/>
      <c r="AA11" s="39"/>
      <c r="AB11" s="39"/>
      <c r="AC11" s="39"/>
      <c r="AD11" s="39"/>
      <c r="AE11" s="39"/>
      <c r="AF11" s="39"/>
      <c r="AG11" s="39"/>
      <c r="AH11" s="39"/>
    </row>
    <row r="12" spans="2:34" s="59" customFormat="1" x14ac:dyDescent="0.55000000000000004">
      <c r="B12" s="108" t="s">
        <v>403</v>
      </c>
      <c r="C12" s="39"/>
      <c r="D12" s="39"/>
      <c r="E12" s="39"/>
      <c r="F12" s="39"/>
      <c r="G12" s="39"/>
      <c r="H12" s="39"/>
      <c r="I12" s="39"/>
      <c r="J12" s="39"/>
      <c r="K12" s="51"/>
      <c r="L12" s="39"/>
      <c r="M12" s="39"/>
      <c r="N12" s="39"/>
      <c r="O12" s="39"/>
      <c r="P12" s="39"/>
      <c r="Q12" s="39"/>
      <c r="R12" s="39"/>
      <c r="S12" s="39"/>
      <c r="T12" s="39"/>
      <c r="U12" s="39"/>
      <c r="V12" s="39"/>
      <c r="W12" s="39"/>
      <c r="X12" s="39"/>
      <c r="Y12" s="39"/>
      <c r="Z12" s="39"/>
      <c r="AA12" s="39"/>
      <c r="AB12" s="39"/>
      <c r="AC12" s="39"/>
      <c r="AD12" s="39"/>
      <c r="AE12" s="39"/>
      <c r="AF12" s="39"/>
      <c r="AG12" s="39"/>
      <c r="AH12" s="39"/>
    </row>
    <row r="13" spans="2:34" s="59" customFormat="1" x14ac:dyDescent="0.55000000000000004">
      <c r="B13" s="126" t="s">
        <v>401</v>
      </c>
      <c r="C13" s="39"/>
      <c r="D13" s="39"/>
      <c r="E13" s="39"/>
      <c r="F13" s="39"/>
      <c r="G13" s="39"/>
      <c r="H13" s="39"/>
      <c r="I13" s="39"/>
      <c r="J13" s="39"/>
      <c r="K13" s="51"/>
      <c r="L13" s="39"/>
      <c r="M13" s="39"/>
      <c r="N13" s="39"/>
      <c r="O13" s="39"/>
      <c r="P13" s="39"/>
      <c r="Q13" s="39"/>
      <c r="R13" s="39"/>
      <c r="S13" s="39"/>
      <c r="T13" s="39"/>
      <c r="U13" s="39"/>
      <c r="V13" s="39"/>
      <c r="W13" s="39"/>
      <c r="X13" s="39"/>
      <c r="Y13" s="39"/>
      <c r="Z13" s="39"/>
      <c r="AA13" s="39"/>
      <c r="AB13" s="39"/>
      <c r="AC13" s="39"/>
      <c r="AD13" s="39"/>
      <c r="AE13" s="39"/>
      <c r="AF13" s="39"/>
      <c r="AG13" s="39"/>
      <c r="AH13" s="39"/>
    </row>
    <row r="14" spans="2:34" s="18" customFormat="1" x14ac:dyDescent="0.55000000000000004">
      <c r="B14" s="50"/>
      <c r="C14" s="50"/>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2:34" s="18" customFormat="1" x14ac:dyDescent="0.55000000000000004">
      <c r="B15" s="88" t="s">
        <v>178</v>
      </c>
      <c r="C15" s="52"/>
      <c r="D15" s="51" t="s">
        <v>228</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row>
    <row r="16" spans="2:34" s="18" customFormat="1" x14ac:dyDescent="0.55000000000000004">
      <c r="B16" s="53"/>
      <c r="C16" s="54"/>
      <c r="D16" s="51" t="s">
        <v>134</v>
      </c>
      <c r="F16" s="51"/>
      <c r="G16" s="51"/>
      <c r="H16" s="51"/>
      <c r="I16" s="51"/>
      <c r="J16" s="51"/>
      <c r="K16" s="55"/>
      <c r="L16" s="51"/>
      <c r="M16" s="51"/>
      <c r="N16" s="55"/>
      <c r="O16" s="55"/>
      <c r="P16" s="55"/>
      <c r="Q16" s="55"/>
      <c r="R16" s="55"/>
      <c r="S16" s="55"/>
      <c r="T16" s="55"/>
      <c r="U16" s="55"/>
      <c r="V16" s="55"/>
      <c r="W16" s="55"/>
      <c r="X16" s="55"/>
      <c r="Y16" s="55"/>
      <c r="Z16" s="55"/>
      <c r="AA16" s="55"/>
      <c r="AB16" s="55"/>
      <c r="AC16" s="55"/>
      <c r="AD16" s="55"/>
      <c r="AE16" s="55"/>
      <c r="AF16" s="55"/>
      <c r="AG16" s="55"/>
      <c r="AH16" s="55"/>
    </row>
    <row r="17" spans="2:67" s="18" customFormat="1" x14ac:dyDescent="0.55000000000000004">
      <c r="B17" s="53"/>
      <c r="C17" s="56"/>
      <c r="D17" s="51" t="s">
        <v>338</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2:67" s="18" customFormat="1" x14ac:dyDescent="0.55000000000000004">
      <c r="B18" s="53"/>
      <c r="C18" s="53"/>
      <c r="D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2:67" s="18" customFormat="1" x14ac:dyDescent="0.55000000000000004">
      <c r="C19" s="53"/>
      <c r="F19" s="51"/>
      <c r="G19" s="51"/>
      <c r="H19" s="51"/>
      <c r="I19" s="51"/>
      <c r="J19" s="51"/>
      <c r="K19" s="51"/>
      <c r="L19" s="51"/>
      <c r="M19" s="51"/>
      <c r="N19" s="51"/>
      <c r="O19" s="51"/>
      <c r="P19" s="51"/>
      <c r="Q19" s="51"/>
      <c r="R19" s="51"/>
      <c r="S19" s="51"/>
      <c r="T19" s="51"/>
      <c r="U19" s="51"/>
      <c r="V19" s="51"/>
      <c r="W19" s="51"/>
      <c r="X19" s="51"/>
      <c r="Y19" s="53"/>
      <c r="Z19" s="51"/>
      <c r="AA19" s="51"/>
      <c r="AB19" s="51"/>
      <c r="AC19" s="51"/>
      <c r="AD19" s="51"/>
      <c r="AE19" s="51"/>
      <c r="AF19" s="51"/>
      <c r="AG19" s="51"/>
      <c r="AH19" s="51"/>
    </row>
    <row r="20" spans="2:67" ht="24.75" customHeight="1" x14ac:dyDescent="0.55000000000000004">
      <c r="AI20" s="105"/>
    </row>
    <row r="21" spans="2:67" ht="49.5" customHeight="1" x14ac:dyDescent="0.55000000000000004">
      <c r="B21" s="90" t="s">
        <v>204</v>
      </c>
      <c r="C21" s="90"/>
      <c r="D21" s="90"/>
      <c r="E21" s="90"/>
      <c r="F21" s="90"/>
      <c r="G21" s="213" t="s">
        <v>251</v>
      </c>
      <c r="H21" s="214"/>
      <c r="I21" s="210"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「換気設備導入前後の比較表」の入力をご確認ください。</v>
      </c>
      <c r="J21" s="211"/>
      <c r="K21" s="211"/>
      <c r="L21" s="211"/>
      <c r="M21" s="211"/>
      <c r="N21" s="211"/>
      <c r="O21" s="211"/>
      <c r="P21" s="211"/>
      <c r="Q21" s="212"/>
    </row>
    <row r="22" spans="2:67" ht="24.75" customHeight="1" x14ac:dyDescent="0.6">
      <c r="B22" s="89"/>
      <c r="C22" s="89"/>
      <c r="D22" s="89"/>
      <c r="E22" s="89"/>
      <c r="F22" s="89"/>
      <c r="G22" s="89"/>
      <c r="H22" s="89"/>
      <c r="I22" s="89"/>
      <c r="J22" s="89"/>
      <c r="K22" s="89"/>
      <c r="L22" s="89"/>
      <c r="M22" s="89"/>
      <c r="N22" s="102"/>
      <c r="O22" s="125"/>
      <c r="P22" s="125"/>
      <c r="Q22" s="125"/>
      <c r="R22" s="125"/>
      <c r="S22" s="125"/>
      <c r="T22" s="125"/>
      <c r="U22" s="125"/>
      <c r="V22" s="125"/>
      <c r="W22" s="125"/>
      <c r="X22" s="125"/>
      <c r="Y22" s="125"/>
      <c r="Z22" s="125"/>
      <c r="AA22" s="125"/>
      <c r="AB22" s="125"/>
      <c r="AC22" s="125"/>
      <c r="AD22" s="125"/>
      <c r="AE22" s="125"/>
      <c r="AF22" s="125"/>
      <c r="AG22" s="125"/>
      <c r="AH22" s="125"/>
    </row>
    <row r="23" spans="2:67" ht="42" customHeight="1" x14ac:dyDescent="0.55000000000000004">
      <c r="B23" s="208" t="s">
        <v>136</v>
      </c>
      <c r="C23" s="208"/>
      <c r="D23" s="208"/>
      <c r="E23" s="124" t="s">
        <v>308</v>
      </c>
      <c r="F23" s="124" t="s">
        <v>309</v>
      </c>
      <c r="G23" s="124" t="s">
        <v>310</v>
      </c>
      <c r="H23" s="124" t="s">
        <v>311</v>
      </c>
      <c r="I23" s="124" t="s">
        <v>312</v>
      </c>
      <c r="J23" s="124" t="s">
        <v>313</v>
      </c>
      <c r="K23" s="124" t="s">
        <v>314</v>
      </c>
      <c r="L23" s="124" t="s">
        <v>315</v>
      </c>
      <c r="M23" s="124" t="s">
        <v>316</v>
      </c>
      <c r="N23" s="124" t="s">
        <v>317</v>
      </c>
      <c r="O23" s="124" t="s">
        <v>318</v>
      </c>
      <c r="P23" s="124" t="s">
        <v>319</v>
      </c>
      <c r="Q23" s="124" t="s">
        <v>320</v>
      </c>
      <c r="R23" s="124" t="s">
        <v>321</v>
      </c>
      <c r="S23" s="124" t="s">
        <v>322</v>
      </c>
      <c r="T23" s="124" t="s">
        <v>323</v>
      </c>
      <c r="U23" s="124" t="s">
        <v>324</v>
      </c>
      <c r="V23" s="124" t="s">
        <v>325</v>
      </c>
      <c r="W23" s="124" t="s">
        <v>326</v>
      </c>
      <c r="X23" s="124" t="s">
        <v>327</v>
      </c>
      <c r="Y23" s="124" t="s">
        <v>328</v>
      </c>
      <c r="Z23" s="124" t="s">
        <v>329</v>
      </c>
      <c r="AA23" s="124" t="s">
        <v>330</v>
      </c>
      <c r="AB23" s="124" t="s">
        <v>331</v>
      </c>
      <c r="AC23" s="124" t="s">
        <v>332</v>
      </c>
      <c r="AD23" s="124" t="s">
        <v>333</v>
      </c>
      <c r="AE23" s="124" t="s">
        <v>334</v>
      </c>
      <c r="AF23" s="124" t="s">
        <v>335</v>
      </c>
      <c r="AG23" s="124" t="s">
        <v>336</v>
      </c>
      <c r="AH23" s="124" t="s">
        <v>337</v>
      </c>
      <c r="AI23" s="124" t="s">
        <v>381</v>
      </c>
      <c r="AJ23" s="124" t="s">
        <v>382</v>
      </c>
      <c r="AK23" s="124" t="s">
        <v>383</v>
      </c>
      <c r="AL23" s="124" t="s">
        <v>384</v>
      </c>
      <c r="AM23" s="124" t="s">
        <v>385</v>
      </c>
      <c r="AN23" s="124" t="s">
        <v>386</v>
      </c>
      <c r="AO23" s="124" t="s">
        <v>387</v>
      </c>
      <c r="AP23" s="124" t="s">
        <v>388</v>
      </c>
      <c r="AQ23" s="124" t="s">
        <v>389</v>
      </c>
      <c r="AR23" s="124" t="s">
        <v>390</v>
      </c>
      <c r="AS23" s="124" t="s">
        <v>391</v>
      </c>
      <c r="AT23" s="124" t="s">
        <v>392</v>
      </c>
      <c r="AU23" s="124" t="s">
        <v>393</v>
      </c>
      <c r="AV23" s="124" t="s">
        <v>394</v>
      </c>
      <c r="AW23" s="124" t="s">
        <v>395</v>
      </c>
      <c r="AX23" s="124" t="s">
        <v>396</v>
      </c>
      <c r="AY23" s="124" t="s">
        <v>397</v>
      </c>
      <c r="AZ23" s="124" t="s">
        <v>398</v>
      </c>
      <c r="BA23" s="124" t="s">
        <v>399</v>
      </c>
      <c r="BB23" s="124" t="s">
        <v>400</v>
      </c>
      <c r="BC23" s="124" t="s">
        <v>416</v>
      </c>
      <c r="BD23" s="124" t="s">
        <v>417</v>
      </c>
      <c r="BE23" s="124" t="s">
        <v>418</v>
      </c>
      <c r="BF23" s="124" t="s">
        <v>419</v>
      </c>
      <c r="BG23" s="124" t="s">
        <v>420</v>
      </c>
      <c r="BH23" s="124" t="s">
        <v>421</v>
      </c>
      <c r="BI23" s="124" t="s">
        <v>422</v>
      </c>
      <c r="BJ23" s="124" t="s">
        <v>423</v>
      </c>
      <c r="BK23" s="124" t="s">
        <v>424</v>
      </c>
      <c r="BL23" s="124" t="s">
        <v>425</v>
      </c>
      <c r="BO23" s="45"/>
    </row>
    <row r="24" spans="2:67" ht="58.5" customHeight="1" x14ac:dyDescent="0.55000000000000004">
      <c r="B24" s="208" t="s">
        <v>137</v>
      </c>
      <c r="C24" s="208"/>
      <c r="D24" s="208"/>
      <c r="E24" s="279" t="s">
        <v>98</v>
      </c>
      <c r="F24" s="279" t="s">
        <v>98</v>
      </c>
      <c r="G24" s="279" t="s">
        <v>98</v>
      </c>
      <c r="H24" s="279" t="s">
        <v>108</v>
      </c>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N24" s="108"/>
      <c r="BO24" s="45"/>
    </row>
    <row r="25" spans="2:67" ht="49.5" customHeight="1" x14ac:dyDescent="0.55000000000000004">
      <c r="B25" s="209" t="s">
        <v>141</v>
      </c>
      <c r="C25" s="209"/>
      <c r="D25" s="209"/>
      <c r="E25" s="281">
        <v>50.2</v>
      </c>
      <c r="F25" s="281">
        <v>50.2</v>
      </c>
      <c r="G25" s="281">
        <v>100</v>
      </c>
      <c r="H25" s="281">
        <v>120.5</v>
      </c>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O25" s="45"/>
    </row>
    <row r="26" spans="2:67" ht="49.5" customHeight="1" x14ac:dyDescent="0.55000000000000004">
      <c r="B26" s="209" t="s">
        <v>144</v>
      </c>
      <c r="C26" s="209"/>
      <c r="D26" s="209"/>
      <c r="E26" s="281">
        <v>2.5</v>
      </c>
      <c r="F26" s="281">
        <v>2.5</v>
      </c>
      <c r="G26" s="281">
        <v>2.5</v>
      </c>
      <c r="H26" s="281">
        <v>3.2</v>
      </c>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O26" s="45"/>
    </row>
    <row r="27" spans="2:67" ht="49.5" customHeight="1" x14ac:dyDescent="0.55000000000000004">
      <c r="B27" s="209" t="s">
        <v>184</v>
      </c>
      <c r="C27" s="209"/>
      <c r="D27" s="209"/>
      <c r="E27" s="283" t="s">
        <v>140</v>
      </c>
      <c r="F27" s="283" t="s">
        <v>143</v>
      </c>
      <c r="G27" s="283"/>
      <c r="H27" s="283" t="s">
        <v>143</v>
      </c>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N27" s="108"/>
      <c r="BO27" s="45"/>
    </row>
    <row r="28" spans="2:67" ht="49.5" customHeight="1" x14ac:dyDescent="0.55000000000000004">
      <c r="B28" s="215" t="s">
        <v>339</v>
      </c>
      <c r="C28" s="209" t="s">
        <v>147</v>
      </c>
      <c r="D28" s="209"/>
      <c r="E28" s="285">
        <v>15</v>
      </c>
      <c r="F28" s="285">
        <v>10</v>
      </c>
      <c r="G28" s="285">
        <v>20</v>
      </c>
      <c r="H28" s="285">
        <v>20</v>
      </c>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O28" s="45"/>
    </row>
    <row r="29" spans="2:67" ht="49.5" customHeight="1" x14ac:dyDescent="0.55000000000000004">
      <c r="B29" s="216"/>
      <c r="C29" s="209" t="s">
        <v>179</v>
      </c>
      <c r="D29" s="209"/>
      <c r="E29" s="285">
        <v>15</v>
      </c>
      <c r="F29" s="285">
        <v>10</v>
      </c>
      <c r="G29" s="285">
        <v>20</v>
      </c>
      <c r="H29" s="285">
        <v>20</v>
      </c>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O29" s="45"/>
    </row>
    <row r="30" spans="2:67" ht="49.5" customHeight="1" x14ac:dyDescent="0.55000000000000004">
      <c r="B30" s="215" t="s">
        <v>185</v>
      </c>
      <c r="C30" s="209" t="s">
        <v>147</v>
      </c>
      <c r="D30" s="209"/>
      <c r="E30" s="285">
        <v>500</v>
      </c>
      <c r="F30" s="285">
        <v>0</v>
      </c>
      <c r="G30" s="285"/>
      <c r="H30" s="285">
        <v>0</v>
      </c>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O30" s="45"/>
    </row>
    <row r="31" spans="2:67" ht="49.5" customHeight="1" x14ac:dyDescent="0.55000000000000004">
      <c r="B31" s="216"/>
      <c r="C31" s="209" t="s">
        <v>179</v>
      </c>
      <c r="D31" s="209"/>
      <c r="E31" s="285">
        <v>1200</v>
      </c>
      <c r="F31" s="285">
        <v>600</v>
      </c>
      <c r="G31" s="285">
        <v>1000</v>
      </c>
      <c r="H31" s="285">
        <v>1000</v>
      </c>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O31" s="45"/>
    </row>
    <row r="32" spans="2:67" ht="49.5" customHeight="1" x14ac:dyDescent="0.55000000000000004">
      <c r="B32" s="215" t="s">
        <v>151</v>
      </c>
      <c r="C32" s="209" t="s">
        <v>147</v>
      </c>
      <c r="D32" s="209"/>
      <c r="E32" s="169">
        <f>IF(E40&lt;&gt;0,"",IF(E27="自然換気",0,IF(ISERROR(E30/E28),"入力確認",E30/E28)))</f>
        <v>33.333333333333336</v>
      </c>
      <c r="F32" s="169">
        <f t="shared" ref="F32:BL32" si="0">IF(F40&lt;&gt;0,"",IF(F27="自然換気",0,IF(ISERROR(F30/F28),"入力確認",F30/F28)))</f>
        <v>0</v>
      </c>
      <c r="G32" s="169" t="str">
        <f t="shared" si="0"/>
        <v/>
      </c>
      <c r="H32" s="169">
        <f t="shared" si="0"/>
        <v>0</v>
      </c>
      <c r="I32" s="169" t="str">
        <f t="shared" si="0"/>
        <v/>
      </c>
      <c r="J32" s="169" t="str">
        <f t="shared" si="0"/>
        <v/>
      </c>
      <c r="K32" s="169" t="str">
        <f t="shared" si="0"/>
        <v/>
      </c>
      <c r="L32" s="169" t="str">
        <f t="shared" si="0"/>
        <v/>
      </c>
      <c r="M32" s="169" t="str">
        <f t="shared" si="0"/>
        <v/>
      </c>
      <c r="N32" s="169" t="str">
        <f t="shared" si="0"/>
        <v/>
      </c>
      <c r="O32" s="169" t="str">
        <f t="shared" si="0"/>
        <v/>
      </c>
      <c r="P32" s="169" t="str">
        <f t="shared" si="0"/>
        <v/>
      </c>
      <c r="Q32" s="169" t="str">
        <f t="shared" si="0"/>
        <v/>
      </c>
      <c r="R32" s="169" t="str">
        <f t="shared" si="0"/>
        <v/>
      </c>
      <c r="S32" s="169" t="str">
        <f t="shared" si="0"/>
        <v/>
      </c>
      <c r="T32" s="169" t="str">
        <f t="shared" si="0"/>
        <v/>
      </c>
      <c r="U32" s="169" t="str">
        <f t="shared" si="0"/>
        <v/>
      </c>
      <c r="V32" s="169" t="str">
        <f t="shared" si="0"/>
        <v/>
      </c>
      <c r="W32" s="169" t="str">
        <f t="shared" si="0"/>
        <v/>
      </c>
      <c r="X32" s="169" t="str">
        <f t="shared" si="0"/>
        <v/>
      </c>
      <c r="Y32" s="169" t="str">
        <f t="shared" si="0"/>
        <v/>
      </c>
      <c r="Z32" s="169" t="str">
        <f t="shared" si="0"/>
        <v/>
      </c>
      <c r="AA32" s="169" t="str">
        <f t="shared" si="0"/>
        <v/>
      </c>
      <c r="AB32" s="169" t="str">
        <f t="shared" si="0"/>
        <v/>
      </c>
      <c r="AC32" s="169" t="str">
        <f t="shared" si="0"/>
        <v/>
      </c>
      <c r="AD32" s="169" t="str">
        <f t="shared" si="0"/>
        <v/>
      </c>
      <c r="AE32" s="169" t="str">
        <f t="shared" si="0"/>
        <v/>
      </c>
      <c r="AF32" s="169" t="str">
        <f t="shared" si="0"/>
        <v/>
      </c>
      <c r="AG32" s="169" t="str">
        <f t="shared" si="0"/>
        <v/>
      </c>
      <c r="AH32" s="169" t="str">
        <f t="shared" si="0"/>
        <v/>
      </c>
      <c r="AI32" s="169" t="str">
        <f t="shared" si="0"/>
        <v/>
      </c>
      <c r="AJ32" s="169" t="str">
        <f t="shared" si="0"/>
        <v/>
      </c>
      <c r="AK32" s="169" t="str">
        <f t="shared" si="0"/>
        <v/>
      </c>
      <c r="AL32" s="169" t="str">
        <f t="shared" si="0"/>
        <v/>
      </c>
      <c r="AM32" s="169" t="str">
        <f t="shared" si="0"/>
        <v/>
      </c>
      <c r="AN32" s="169" t="str">
        <f t="shared" si="0"/>
        <v/>
      </c>
      <c r="AO32" s="169" t="str">
        <f t="shared" si="0"/>
        <v/>
      </c>
      <c r="AP32" s="169" t="str">
        <f t="shared" si="0"/>
        <v/>
      </c>
      <c r="AQ32" s="169" t="str">
        <f t="shared" si="0"/>
        <v/>
      </c>
      <c r="AR32" s="169" t="str">
        <f t="shared" si="0"/>
        <v/>
      </c>
      <c r="AS32" s="169" t="str">
        <f t="shared" si="0"/>
        <v/>
      </c>
      <c r="AT32" s="169" t="str">
        <f t="shared" si="0"/>
        <v/>
      </c>
      <c r="AU32" s="169" t="str">
        <f t="shared" si="0"/>
        <v/>
      </c>
      <c r="AV32" s="169" t="str">
        <f t="shared" si="0"/>
        <v/>
      </c>
      <c r="AW32" s="169" t="str">
        <f t="shared" si="0"/>
        <v/>
      </c>
      <c r="AX32" s="169" t="str">
        <f t="shared" si="0"/>
        <v/>
      </c>
      <c r="AY32" s="169" t="str">
        <f t="shared" si="0"/>
        <v/>
      </c>
      <c r="AZ32" s="169" t="str">
        <f t="shared" si="0"/>
        <v/>
      </c>
      <c r="BA32" s="169" t="str">
        <f t="shared" si="0"/>
        <v/>
      </c>
      <c r="BB32" s="169" t="str">
        <f t="shared" si="0"/>
        <v/>
      </c>
      <c r="BC32" s="169" t="str">
        <f t="shared" si="0"/>
        <v/>
      </c>
      <c r="BD32" s="169" t="str">
        <f t="shared" si="0"/>
        <v/>
      </c>
      <c r="BE32" s="169" t="str">
        <f t="shared" si="0"/>
        <v/>
      </c>
      <c r="BF32" s="169" t="str">
        <f t="shared" si="0"/>
        <v/>
      </c>
      <c r="BG32" s="169" t="str">
        <f t="shared" si="0"/>
        <v/>
      </c>
      <c r="BH32" s="169" t="str">
        <f t="shared" si="0"/>
        <v/>
      </c>
      <c r="BI32" s="169" t="str">
        <f t="shared" si="0"/>
        <v/>
      </c>
      <c r="BJ32" s="169" t="str">
        <f t="shared" si="0"/>
        <v/>
      </c>
      <c r="BK32" s="169" t="str">
        <f t="shared" si="0"/>
        <v/>
      </c>
      <c r="BL32" s="169" t="str">
        <f t="shared" si="0"/>
        <v/>
      </c>
      <c r="BO32" s="45"/>
    </row>
    <row r="33" spans="2:67" ht="49.5" customHeight="1" x14ac:dyDescent="0.55000000000000004">
      <c r="B33" s="216"/>
      <c r="C33" s="209" t="s">
        <v>179</v>
      </c>
      <c r="D33" s="209"/>
      <c r="E33" s="169">
        <f>IF(E40&lt;&gt;0,"",IF(ISERROR(E31/E29),"入力確認",E31/E29))</f>
        <v>80</v>
      </c>
      <c r="F33" s="169">
        <f t="shared" ref="F33:BL33" si="1">IF(F40&lt;&gt;0,"",IF(ISERROR(F31/F29),"入力確認",F31/F29))</f>
        <v>60</v>
      </c>
      <c r="G33" s="169" t="str">
        <f t="shared" si="1"/>
        <v/>
      </c>
      <c r="H33" s="169">
        <f t="shared" si="1"/>
        <v>50</v>
      </c>
      <c r="I33" s="169" t="str">
        <f t="shared" si="1"/>
        <v/>
      </c>
      <c r="J33" s="169" t="str">
        <f t="shared" si="1"/>
        <v/>
      </c>
      <c r="K33" s="169" t="str">
        <f t="shared" si="1"/>
        <v/>
      </c>
      <c r="L33" s="169" t="str">
        <f t="shared" si="1"/>
        <v/>
      </c>
      <c r="M33" s="169" t="str">
        <f>IF(M40&lt;&gt;0,"",IF(ISERROR(M31/M29),"入力確認",M31/M29))</f>
        <v/>
      </c>
      <c r="N33" s="169" t="str">
        <f t="shared" si="1"/>
        <v/>
      </c>
      <c r="O33" s="169" t="str">
        <f t="shared" si="1"/>
        <v/>
      </c>
      <c r="P33" s="169" t="str">
        <f t="shared" si="1"/>
        <v/>
      </c>
      <c r="Q33" s="169" t="str">
        <f t="shared" si="1"/>
        <v/>
      </c>
      <c r="R33" s="169" t="str">
        <f t="shared" si="1"/>
        <v/>
      </c>
      <c r="S33" s="169" t="str">
        <f t="shared" si="1"/>
        <v/>
      </c>
      <c r="T33" s="169" t="str">
        <f t="shared" si="1"/>
        <v/>
      </c>
      <c r="U33" s="169" t="str">
        <f t="shared" si="1"/>
        <v/>
      </c>
      <c r="V33" s="169" t="str">
        <f t="shared" si="1"/>
        <v/>
      </c>
      <c r="W33" s="169" t="str">
        <f t="shared" si="1"/>
        <v/>
      </c>
      <c r="X33" s="169" t="str">
        <f t="shared" si="1"/>
        <v/>
      </c>
      <c r="Y33" s="169" t="str">
        <f t="shared" si="1"/>
        <v/>
      </c>
      <c r="Z33" s="169" t="str">
        <f t="shared" si="1"/>
        <v/>
      </c>
      <c r="AA33" s="169" t="str">
        <f t="shared" si="1"/>
        <v/>
      </c>
      <c r="AB33" s="169" t="str">
        <f t="shared" si="1"/>
        <v/>
      </c>
      <c r="AC33" s="169" t="str">
        <f t="shared" si="1"/>
        <v/>
      </c>
      <c r="AD33" s="169" t="str">
        <f t="shared" si="1"/>
        <v/>
      </c>
      <c r="AE33" s="169" t="str">
        <f t="shared" si="1"/>
        <v/>
      </c>
      <c r="AF33" s="169" t="str">
        <f t="shared" si="1"/>
        <v/>
      </c>
      <c r="AG33" s="169" t="str">
        <f t="shared" si="1"/>
        <v/>
      </c>
      <c r="AH33" s="169" t="str">
        <f t="shared" si="1"/>
        <v/>
      </c>
      <c r="AI33" s="169" t="str">
        <f t="shared" si="1"/>
        <v/>
      </c>
      <c r="AJ33" s="169" t="str">
        <f t="shared" si="1"/>
        <v/>
      </c>
      <c r="AK33" s="169" t="str">
        <f t="shared" si="1"/>
        <v/>
      </c>
      <c r="AL33" s="169" t="str">
        <f t="shared" si="1"/>
        <v/>
      </c>
      <c r="AM33" s="169" t="str">
        <f t="shared" si="1"/>
        <v/>
      </c>
      <c r="AN33" s="169" t="str">
        <f t="shared" si="1"/>
        <v/>
      </c>
      <c r="AO33" s="169" t="str">
        <f t="shared" si="1"/>
        <v/>
      </c>
      <c r="AP33" s="169" t="str">
        <f t="shared" si="1"/>
        <v/>
      </c>
      <c r="AQ33" s="169" t="str">
        <f t="shared" si="1"/>
        <v/>
      </c>
      <c r="AR33" s="169" t="str">
        <f t="shared" si="1"/>
        <v/>
      </c>
      <c r="AS33" s="169" t="str">
        <f t="shared" si="1"/>
        <v/>
      </c>
      <c r="AT33" s="169" t="str">
        <f t="shared" si="1"/>
        <v/>
      </c>
      <c r="AU33" s="169" t="str">
        <f t="shared" si="1"/>
        <v/>
      </c>
      <c r="AV33" s="169" t="str">
        <f t="shared" si="1"/>
        <v/>
      </c>
      <c r="AW33" s="169" t="str">
        <f t="shared" si="1"/>
        <v/>
      </c>
      <c r="AX33" s="169" t="str">
        <f t="shared" si="1"/>
        <v/>
      </c>
      <c r="AY33" s="169" t="str">
        <f t="shared" si="1"/>
        <v/>
      </c>
      <c r="AZ33" s="169" t="str">
        <f t="shared" si="1"/>
        <v/>
      </c>
      <c r="BA33" s="169" t="str">
        <f t="shared" si="1"/>
        <v/>
      </c>
      <c r="BB33" s="169" t="str">
        <f t="shared" si="1"/>
        <v/>
      </c>
      <c r="BC33" s="169" t="str">
        <f t="shared" si="1"/>
        <v/>
      </c>
      <c r="BD33" s="169" t="str">
        <f t="shared" si="1"/>
        <v/>
      </c>
      <c r="BE33" s="169" t="str">
        <f t="shared" si="1"/>
        <v/>
      </c>
      <c r="BF33" s="169" t="str">
        <f t="shared" si="1"/>
        <v/>
      </c>
      <c r="BG33" s="169" t="str">
        <f t="shared" si="1"/>
        <v/>
      </c>
      <c r="BH33" s="169" t="str">
        <f t="shared" si="1"/>
        <v/>
      </c>
      <c r="BI33" s="169" t="str">
        <f t="shared" si="1"/>
        <v/>
      </c>
      <c r="BJ33" s="169" t="str">
        <f t="shared" si="1"/>
        <v/>
      </c>
      <c r="BK33" s="169" t="str">
        <f t="shared" si="1"/>
        <v/>
      </c>
      <c r="BL33" s="169" t="str">
        <f t="shared" si="1"/>
        <v/>
      </c>
      <c r="BO33" s="45"/>
    </row>
    <row r="34" spans="2:67" ht="49.5" customHeight="1" x14ac:dyDescent="0.55000000000000004">
      <c r="B34" s="205" t="s">
        <v>221</v>
      </c>
      <c r="C34" s="206"/>
      <c r="D34" s="207"/>
      <c r="E34" s="91" t="str">
        <f>IF(E40&lt;&gt;0,"",IF((E31-E30)&lt;0,"不適合","適合"))</f>
        <v>適合</v>
      </c>
      <c r="F34" s="91" t="str">
        <f t="shared" ref="F34:BL34" si="2">IF(F40&lt;&gt;0,"",IF((F31-F30)&lt;0,"不適合","適合"))</f>
        <v>適合</v>
      </c>
      <c r="G34" s="91" t="str">
        <f t="shared" si="2"/>
        <v/>
      </c>
      <c r="H34" s="91" t="str">
        <f t="shared" si="2"/>
        <v>適合</v>
      </c>
      <c r="I34" s="91" t="str">
        <f t="shared" si="2"/>
        <v/>
      </c>
      <c r="J34" s="91" t="str">
        <f t="shared" si="2"/>
        <v/>
      </c>
      <c r="K34" s="91" t="str">
        <f t="shared" si="2"/>
        <v/>
      </c>
      <c r="L34" s="91" t="str">
        <f t="shared" si="2"/>
        <v/>
      </c>
      <c r="M34" s="91" t="str">
        <f t="shared" si="2"/>
        <v/>
      </c>
      <c r="N34" s="91" t="str">
        <f t="shared" si="2"/>
        <v/>
      </c>
      <c r="O34" s="91" t="str">
        <f t="shared" si="2"/>
        <v/>
      </c>
      <c r="P34" s="91" t="str">
        <f t="shared" si="2"/>
        <v/>
      </c>
      <c r="Q34" s="91" t="str">
        <f t="shared" si="2"/>
        <v/>
      </c>
      <c r="R34" s="91" t="str">
        <f t="shared" si="2"/>
        <v/>
      </c>
      <c r="S34" s="91" t="str">
        <f t="shared" si="2"/>
        <v/>
      </c>
      <c r="T34" s="91" t="str">
        <f t="shared" si="2"/>
        <v/>
      </c>
      <c r="U34" s="91" t="str">
        <f t="shared" si="2"/>
        <v/>
      </c>
      <c r="V34" s="91" t="str">
        <f t="shared" si="2"/>
        <v/>
      </c>
      <c r="W34" s="91" t="str">
        <f t="shared" si="2"/>
        <v/>
      </c>
      <c r="X34" s="91" t="str">
        <f t="shared" si="2"/>
        <v/>
      </c>
      <c r="Y34" s="91" t="str">
        <f t="shared" si="2"/>
        <v/>
      </c>
      <c r="Z34" s="91" t="str">
        <f t="shared" si="2"/>
        <v/>
      </c>
      <c r="AA34" s="91" t="str">
        <f t="shared" si="2"/>
        <v/>
      </c>
      <c r="AB34" s="91" t="str">
        <f t="shared" si="2"/>
        <v/>
      </c>
      <c r="AC34" s="91" t="str">
        <f t="shared" si="2"/>
        <v/>
      </c>
      <c r="AD34" s="91" t="str">
        <f t="shared" si="2"/>
        <v/>
      </c>
      <c r="AE34" s="91" t="str">
        <f t="shared" si="2"/>
        <v/>
      </c>
      <c r="AF34" s="91" t="str">
        <f t="shared" si="2"/>
        <v/>
      </c>
      <c r="AG34" s="91" t="str">
        <f t="shared" si="2"/>
        <v/>
      </c>
      <c r="AH34" s="91" t="str">
        <f t="shared" si="2"/>
        <v/>
      </c>
      <c r="AI34" s="91" t="str">
        <f t="shared" si="2"/>
        <v/>
      </c>
      <c r="AJ34" s="91" t="str">
        <f t="shared" si="2"/>
        <v/>
      </c>
      <c r="AK34" s="91" t="str">
        <f t="shared" si="2"/>
        <v/>
      </c>
      <c r="AL34" s="91" t="str">
        <f t="shared" si="2"/>
        <v/>
      </c>
      <c r="AM34" s="91" t="str">
        <f t="shared" si="2"/>
        <v/>
      </c>
      <c r="AN34" s="91" t="str">
        <f t="shared" si="2"/>
        <v/>
      </c>
      <c r="AO34" s="91" t="str">
        <f t="shared" si="2"/>
        <v/>
      </c>
      <c r="AP34" s="91" t="str">
        <f t="shared" si="2"/>
        <v/>
      </c>
      <c r="AQ34" s="91" t="str">
        <f t="shared" si="2"/>
        <v/>
      </c>
      <c r="AR34" s="91" t="str">
        <f t="shared" si="2"/>
        <v/>
      </c>
      <c r="AS34" s="91" t="str">
        <f t="shared" si="2"/>
        <v/>
      </c>
      <c r="AT34" s="91" t="str">
        <f t="shared" si="2"/>
        <v/>
      </c>
      <c r="AU34" s="91" t="str">
        <f t="shared" si="2"/>
        <v/>
      </c>
      <c r="AV34" s="91" t="str">
        <f t="shared" si="2"/>
        <v/>
      </c>
      <c r="AW34" s="91" t="str">
        <f t="shared" si="2"/>
        <v/>
      </c>
      <c r="AX34" s="91" t="str">
        <f t="shared" si="2"/>
        <v/>
      </c>
      <c r="AY34" s="91" t="str">
        <f t="shared" si="2"/>
        <v/>
      </c>
      <c r="AZ34" s="91" t="str">
        <f t="shared" si="2"/>
        <v/>
      </c>
      <c r="BA34" s="91" t="str">
        <f t="shared" si="2"/>
        <v/>
      </c>
      <c r="BB34" s="91" t="str">
        <f t="shared" si="2"/>
        <v/>
      </c>
      <c r="BC34" s="91" t="str">
        <f t="shared" si="2"/>
        <v/>
      </c>
      <c r="BD34" s="91" t="str">
        <f t="shared" si="2"/>
        <v/>
      </c>
      <c r="BE34" s="91" t="str">
        <f t="shared" si="2"/>
        <v/>
      </c>
      <c r="BF34" s="91" t="str">
        <f t="shared" si="2"/>
        <v/>
      </c>
      <c r="BG34" s="91" t="str">
        <f t="shared" si="2"/>
        <v/>
      </c>
      <c r="BH34" s="91" t="str">
        <f t="shared" si="2"/>
        <v/>
      </c>
      <c r="BI34" s="91" t="str">
        <f t="shared" si="2"/>
        <v/>
      </c>
      <c r="BJ34" s="91" t="str">
        <f t="shared" si="2"/>
        <v/>
      </c>
      <c r="BK34" s="91" t="str">
        <f t="shared" si="2"/>
        <v/>
      </c>
      <c r="BL34" s="91" t="str">
        <f t="shared" si="2"/>
        <v/>
      </c>
      <c r="BO34" s="45"/>
    </row>
    <row r="35" spans="2:67" ht="49.5" customHeight="1" x14ac:dyDescent="0.55000000000000004">
      <c r="B35" s="205" t="s">
        <v>222</v>
      </c>
      <c r="C35" s="206"/>
      <c r="D35" s="207"/>
      <c r="E35" s="91" t="str">
        <f>IF(E40&lt;&gt;0,"",IF(ISERROR(AND((E33-E32)&gt;=0,E33&gt;=30)),"不適合",IF(AND((E33-E32)&gt;=0,E33&gt;=30),"適合","不適合")))</f>
        <v>適合</v>
      </c>
      <c r="F35" s="91" t="str">
        <f t="shared" ref="F35:BL35" si="3">IF(F40&lt;&gt;0,"",IF(ISERROR(AND((F33-F32)&gt;=0,F33&gt;=30)),"不適合",IF(AND((F33-F32)&gt;=0,F33&gt;=30),"適合","不適合")))</f>
        <v>適合</v>
      </c>
      <c r="G35" s="91" t="str">
        <f t="shared" si="3"/>
        <v/>
      </c>
      <c r="H35" s="91" t="str">
        <f t="shared" si="3"/>
        <v>適合</v>
      </c>
      <c r="I35" s="91" t="str">
        <f t="shared" si="3"/>
        <v/>
      </c>
      <c r="J35" s="91" t="str">
        <f t="shared" si="3"/>
        <v/>
      </c>
      <c r="K35" s="91" t="str">
        <f t="shared" si="3"/>
        <v/>
      </c>
      <c r="L35" s="91" t="str">
        <f t="shared" si="3"/>
        <v/>
      </c>
      <c r="M35" s="91" t="str">
        <f>IF(M40&lt;&gt;0,"",IF(ISERROR(AND((M33-M32)&gt;=0,M33&gt;=30)),"不適合",IF(AND((M33-M32)&gt;=0,M33&gt;=30),"適合","不適合")))</f>
        <v/>
      </c>
      <c r="N35" s="91" t="str">
        <f t="shared" si="3"/>
        <v/>
      </c>
      <c r="O35" s="91" t="str">
        <f t="shared" si="3"/>
        <v/>
      </c>
      <c r="P35" s="91" t="str">
        <f t="shared" si="3"/>
        <v/>
      </c>
      <c r="Q35" s="91" t="str">
        <f t="shared" si="3"/>
        <v/>
      </c>
      <c r="R35" s="91" t="str">
        <f t="shared" si="3"/>
        <v/>
      </c>
      <c r="S35" s="91" t="str">
        <f t="shared" si="3"/>
        <v/>
      </c>
      <c r="T35" s="91" t="str">
        <f t="shared" si="3"/>
        <v/>
      </c>
      <c r="U35" s="91" t="str">
        <f t="shared" si="3"/>
        <v/>
      </c>
      <c r="V35" s="91" t="str">
        <f t="shared" si="3"/>
        <v/>
      </c>
      <c r="W35" s="91" t="str">
        <f t="shared" si="3"/>
        <v/>
      </c>
      <c r="X35" s="91" t="str">
        <f t="shared" si="3"/>
        <v/>
      </c>
      <c r="Y35" s="91" t="str">
        <f t="shared" si="3"/>
        <v/>
      </c>
      <c r="Z35" s="91" t="str">
        <f t="shared" si="3"/>
        <v/>
      </c>
      <c r="AA35" s="91" t="str">
        <f t="shared" si="3"/>
        <v/>
      </c>
      <c r="AB35" s="91" t="str">
        <f t="shared" si="3"/>
        <v/>
      </c>
      <c r="AC35" s="91" t="str">
        <f t="shared" si="3"/>
        <v/>
      </c>
      <c r="AD35" s="91" t="str">
        <f t="shared" si="3"/>
        <v/>
      </c>
      <c r="AE35" s="91" t="str">
        <f t="shared" si="3"/>
        <v/>
      </c>
      <c r="AF35" s="91" t="str">
        <f t="shared" si="3"/>
        <v/>
      </c>
      <c r="AG35" s="91" t="str">
        <f t="shared" si="3"/>
        <v/>
      </c>
      <c r="AH35" s="91" t="str">
        <f t="shared" si="3"/>
        <v/>
      </c>
      <c r="AI35" s="91" t="str">
        <f t="shared" si="3"/>
        <v/>
      </c>
      <c r="AJ35" s="91" t="str">
        <f t="shared" si="3"/>
        <v/>
      </c>
      <c r="AK35" s="91" t="str">
        <f t="shared" si="3"/>
        <v/>
      </c>
      <c r="AL35" s="91" t="str">
        <f t="shared" si="3"/>
        <v/>
      </c>
      <c r="AM35" s="91" t="str">
        <f t="shared" si="3"/>
        <v/>
      </c>
      <c r="AN35" s="91" t="str">
        <f t="shared" si="3"/>
        <v/>
      </c>
      <c r="AO35" s="91" t="str">
        <f t="shared" si="3"/>
        <v/>
      </c>
      <c r="AP35" s="91" t="str">
        <f t="shared" si="3"/>
        <v/>
      </c>
      <c r="AQ35" s="91" t="str">
        <f t="shared" si="3"/>
        <v/>
      </c>
      <c r="AR35" s="91" t="str">
        <f t="shared" si="3"/>
        <v/>
      </c>
      <c r="AS35" s="91" t="str">
        <f t="shared" si="3"/>
        <v/>
      </c>
      <c r="AT35" s="91" t="str">
        <f t="shared" si="3"/>
        <v/>
      </c>
      <c r="AU35" s="91" t="str">
        <f t="shared" si="3"/>
        <v/>
      </c>
      <c r="AV35" s="91" t="str">
        <f t="shared" si="3"/>
        <v/>
      </c>
      <c r="AW35" s="91" t="str">
        <f t="shared" si="3"/>
        <v/>
      </c>
      <c r="AX35" s="91" t="str">
        <f t="shared" si="3"/>
        <v/>
      </c>
      <c r="AY35" s="91" t="str">
        <f t="shared" si="3"/>
        <v/>
      </c>
      <c r="AZ35" s="91" t="str">
        <f t="shared" si="3"/>
        <v/>
      </c>
      <c r="BA35" s="91" t="str">
        <f t="shared" si="3"/>
        <v/>
      </c>
      <c r="BB35" s="91" t="str">
        <f t="shared" si="3"/>
        <v/>
      </c>
      <c r="BC35" s="91" t="str">
        <f t="shared" si="3"/>
        <v/>
      </c>
      <c r="BD35" s="91" t="str">
        <f t="shared" si="3"/>
        <v/>
      </c>
      <c r="BE35" s="91" t="str">
        <f t="shared" si="3"/>
        <v/>
      </c>
      <c r="BF35" s="91" t="str">
        <f t="shared" si="3"/>
        <v/>
      </c>
      <c r="BG35" s="91" t="str">
        <f t="shared" si="3"/>
        <v/>
      </c>
      <c r="BH35" s="91" t="str">
        <f t="shared" si="3"/>
        <v/>
      </c>
      <c r="BI35" s="91" t="str">
        <f t="shared" si="3"/>
        <v/>
      </c>
      <c r="BJ35" s="91" t="str">
        <f t="shared" si="3"/>
        <v/>
      </c>
      <c r="BK35" s="91" t="str">
        <f t="shared" si="3"/>
        <v/>
      </c>
      <c r="BL35" s="91" t="str">
        <f t="shared" si="3"/>
        <v/>
      </c>
      <c r="BO35" s="45"/>
    </row>
    <row r="36" spans="2:67" ht="24.75" hidden="1" customHeight="1" x14ac:dyDescent="0.55000000000000004">
      <c r="B36" s="203" t="s">
        <v>471</v>
      </c>
      <c r="C36" s="203"/>
      <c r="D36" s="203"/>
      <c r="E36" s="167">
        <f t="shared" ref="E36:BL36" si="4">IF(E24="",0,1)</f>
        <v>1</v>
      </c>
      <c r="F36" s="167">
        <f t="shared" si="4"/>
        <v>1</v>
      </c>
      <c r="G36" s="167">
        <f t="shared" si="4"/>
        <v>1</v>
      </c>
      <c r="H36" s="167">
        <f t="shared" si="4"/>
        <v>1</v>
      </c>
      <c r="I36" s="167">
        <f t="shared" si="4"/>
        <v>0</v>
      </c>
      <c r="J36" s="167">
        <f t="shared" si="4"/>
        <v>0</v>
      </c>
      <c r="K36" s="167">
        <f t="shared" si="4"/>
        <v>0</v>
      </c>
      <c r="L36" s="167">
        <f t="shared" si="4"/>
        <v>0</v>
      </c>
      <c r="M36" s="167">
        <f t="shared" si="4"/>
        <v>0</v>
      </c>
      <c r="N36" s="167">
        <f t="shared" si="4"/>
        <v>0</v>
      </c>
      <c r="O36" s="167">
        <f t="shared" si="4"/>
        <v>0</v>
      </c>
      <c r="P36" s="167">
        <f t="shared" si="4"/>
        <v>0</v>
      </c>
      <c r="Q36" s="167">
        <f t="shared" si="4"/>
        <v>0</v>
      </c>
      <c r="R36" s="167">
        <f t="shared" si="4"/>
        <v>0</v>
      </c>
      <c r="S36" s="167">
        <f t="shared" si="4"/>
        <v>0</v>
      </c>
      <c r="T36" s="167">
        <f t="shared" si="4"/>
        <v>0</v>
      </c>
      <c r="U36" s="167">
        <f t="shared" si="4"/>
        <v>0</v>
      </c>
      <c r="V36" s="167">
        <f t="shared" si="4"/>
        <v>0</v>
      </c>
      <c r="W36" s="167">
        <f t="shared" si="4"/>
        <v>0</v>
      </c>
      <c r="X36" s="167">
        <f t="shared" si="4"/>
        <v>0</v>
      </c>
      <c r="Y36" s="167">
        <f t="shared" si="4"/>
        <v>0</v>
      </c>
      <c r="Z36" s="167">
        <f t="shared" si="4"/>
        <v>0</v>
      </c>
      <c r="AA36" s="167">
        <f t="shared" si="4"/>
        <v>0</v>
      </c>
      <c r="AB36" s="167">
        <f t="shared" si="4"/>
        <v>0</v>
      </c>
      <c r="AC36" s="167">
        <f t="shared" si="4"/>
        <v>0</v>
      </c>
      <c r="AD36" s="167">
        <f t="shared" si="4"/>
        <v>0</v>
      </c>
      <c r="AE36" s="167">
        <f t="shared" si="4"/>
        <v>0</v>
      </c>
      <c r="AF36" s="167">
        <f t="shared" si="4"/>
        <v>0</v>
      </c>
      <c r="AG36" s="167">
        <f t="shared" si="4"/>
        <v>0</v>
      </c>
      <c r="AH36" s="167">
        <f t="shared" si="4"/>
        <v>0</v>
      </c>
      <c r="AI36" s="167">
        <f t="shared" si="4"/>
        <v>0</v>
      </c>
      <c r="AJ36" s="167">
        <f t="shared" si="4"/>
        <v>0</v>
      </c>
      <c r="AK36" s="167">
        <f t="shared" si="4"/>
        <v>0</v>
      </c>
      <c r="AL36" s="167">
        <f t="shared" si="4"/>
        <v>0</v>
      </c>
      <c r="AM36" s="167">
        <f t="shared" si="4"/>
        <v>0</v>
      </c>
      <c r="AN36" s="167">
        <f t="shared" si="4"/>
        <v>0</v>
      </c>
      <c r="AO36" s="167">
        <f t="shared" si="4"/>
        <v>0</v>
      </c>
      <c r="AP36" s="167">
        <f t="shared" si="4"/>
        <v>0</v>
      </c>
      <c r="AQ36" s="167">
        <f t="shared" si="4"/>
        <v>0</v>
      </c>
      <c r="AR36" s="167">
        <f t="shared" si="4"/>
        <v>0</v>
      </c>
      <c r="AS36" s="167">
        <f t="shared" si="4"/>
        <v>0</v>
      </c>
      <c r="AT36" s="167">
        <f t="shared" si="4"/>
        <v>0</v>
      </c>
      <c r="AU36" s="167">
        <f t="shared" si="4"/>
        <v>0</v>
      </c>
      <c r="AV36" s="167">
        <f t="shared" si="4"/>
        <v>0</v>
      </c>
      <c r="AW36" s="167">
        <f t="shared" si="4"/>
        <v>0</v>
      </c>
      <c r="AX36" s="167">
        <f t="shared" si="4"/>
        <v>0</v>
      </c>
      <c r="AY36" s="167">
        <f t="shared" si="4"/>
        <v>0</v>
      </c>
      <c r="AZ36" s="167">
        <f t="shared" si="4"/>
        <v>0</v>
      </c>
      <c r="BA36" s="167">
        <f t="shared" si="4"/>
        <v>0</v>
      </c>
      <c r="BB36" s="167">
        <f t="shared" si="4"/>
        <v>0</v>
      </c>
      <c r="BC36" s="167">
        <f t="shared" si="4"/>
        <v>0</v>
      </c>
      <c r="BD36" s="167">
        <f t="shared" si="4"/>
        <v>0</v>
      </c>
      <c r="BE36" s="167">
        <f t="shared" si="4"/>
        <v>0</v>
      </c>
      <c r="BF36" s="167">
        <f t="shared" si="4"/>
        <v>0</v>
      </c>
      <c r="BG36" s="167">
        <f t="shared" si="4"/>
        <v>0</v>
      </c>
      <c r="BH36" s="167">
        <f t="shared" si="4"/>
        <v>0</v>
      </c>
      <c r="BI36" s="167">
        <f t="shared" si="4"/>
        <v>0</v>
      </c>
      <c r="BJ36" s="167">
        <f t="shared" si="4"/>
        <v>0</v>
      </c>
      <c r="BK36" s="167">
        <f t="shared" si="4"/>
        <v>0</v>
      </c>
      <c r="BL36" s="167">
        <f t="shared" si="4"/>
        <v>0</v>
      </c>
      <c r="BO36" s="45"/>
    </row>
    <row r="37" spans="2:67" ht="24.75" hidden="1" customHeight="1" x14ac:dyDescent="0.55000000000000004">
      <c r="B37" s="201" t="s">
        <v>476</v>
      </c>
      <c r="C37" s="201"/>
      <c r="D37" s="201"/>
      <c r="E37" s="167">
        <f>IF(OR(AND(E27="機械換気",E30&gt;0),AND(E27="自然換気",E30=0)),0,1)</f>
        <v>0</v>
      </c>
      <c r="F37" s="167">
        <f t="shared" ref="F37:BL37" si="5">IF(OR(AND(F27="機械換気",F30&gt;0),AND(F27="自然換気",F30=0)),0,1)</f>
        <v>0</v>
      </c>
      <c r="G37" s="167">
        <f t="shared" si="5"/>
        <v>1</v>
      </c>
      <c r="H37" s="167">
        <f t="shared" si="5"/>
        <v>0</v>
      </c>
      <c r="I37" s="167">
        <f t="shared" si="5"/>
        <v>1</v>
      </c>
      <c r="J37" s="167">
        <f t="shared" si="5"/>
        <v>1</v>
      </c>
      <c r="K37" s="167">
        <f t="shared" si="5"/>
        <v>1</v>
      </c>
      <c r="L37" s="167">
        <f t="shared" si="5"/>
        <v>1</v>
      </c>
      <c r="M37" s="167">
        <f t="shared" si="5"/>
        <v>1</v>
      </c>
      <c r="N37" s="167">
        <f t="shared" si="5"/>
        <v>1</v>
      </c>
      <c r="O37" s="167">
        <f t="shared" si="5"/>
        <v>1</v>
      </c>
      <c r="P37" s="167">
        <f t="shared" si="5"/>
        <v>1</v>
      </c>
      <c r="Q37" s="167">
        <f t="shared" si="5"/>
        <v>1</v>
      </c>
      <c r="R37" s="167">
        <f t="shared" si="5"/>
        <v>1</v>
      </c>
      <c r="S37" s="167">
        <f t="shared" si="5"/>
        <v>1</v>
      </c>
      <c r="T37" s="167">
        <f t="shared" si="5"/>
        <v>1</v>
      </c>
      <c r="U37" s="167">
        <f t="shared" si="5"/>
        <v>1</v>
      </c>
      <c r="V37" s="167">
        <f t="shared" si="5"/>
        <v>1</v>
      </c>
      <c r="W37" s="167">
        <f t="shared" si="5"/>
        <v>1</v>
      </c>
      <c r="X37" s="167">
        <f t="shared" si="5"/>
        <v>1</v>
      </c>
      <c r="Y37" s="167">
        <f t="shared" si="5"/>
        <v>1</v>
      </c>
      <c r="Z37" s="167">
        <f t="shared" si="5"/>
        <v>1</v>
      </c>
      <c r="AA37" s="167">
        <f t="shared" si="5"/>
        <v>1</v>
      </c>
      <c r="AB37" s="167">
        <f t="shared" si="5"/>
        <v>1</v>
      </c>
      <c r="AC37" s="167">
        <f t="shared" si="5"/>
        <v>1</v>
      </c>
      <c r="AD37" s="167">
        <f t="shared" si="5"/>
        <v>1</v>
      </c>
      <c r="AE37" s="167">
        <f t="shared" si="5"/>
        <v>1</v>
      </c>
      <c r="AF37" s="167">
        <f t="shared" si="5"/>
        <v>1</v>
      </c>
      <c r="AG37" s="167">
        <f t="shared" si="5"/>
        <v>1</v>
      </c>
      <c r="AH37" s="167">
        <f t="shared" si="5"/>
        <v>1</v>
      </c>
      <c r="AI37" s="167">
        <f t="shared" si="5"/>
        <v>1</v>
      </c>
      <c r="AJ37" s="167">
        <f t="shared" si="5"/>
        <v>1</v>
      </c>
      <c r="AK37" s="167">
        <f t="shared" si="5"/>
        <v>1</v>
      </c>
      <c r="AL37" s="167">
        <f t="shared" si="5"/>
        <v>1</v>
      </c>
      <c r="AM37" s="167">
        <f t="shared" si="5"/>
        <v>1</v>
      </c>
      <c r="AN37" s="167">
        <f t="shared" si="5"/>
        <v>1</v>
      </c>
      <c r="AO37" s="167">
        <f t="shared" si="5"/>
        <v>1</v>
      </c>
      <c r="AP37" s="167">
        <f t="shared" si="5"/>
        <v>1</v>
      </c>
      <c r="AQ37" s="167">
        <f t="shared" si="5"/>
        <v>1</v>
      </c>
      <c r="AR37" s="167">
        <f t="shared" si="5"/>
        <v>1</v>
      </c>
      <c r="AS37" s="167">
        <f t="shared" si="5"/>
        <v>1</v>
      </c>
      <c r="AT37" s="167">
        <f t="shared" si="5"/>
        <v>1</v>
      </c>
      <c r="AU37" s="167">
        <f t="shared" si="5"/>
        <v>1</v>
      </c>
      <c r="AV37" s="167">
        <f t="shared" si="5"/>
        <v>1</v>
      </c>
      <c r="AW37" s="167">
        <f t="shared" si="5"/>
        <v>1</v>
      </c>
      <c r="AX37" s="167">
        <f t="shared" si="5"/>
        <v>1</v>
      </c>
      <c r="AY37" s="167">
        <f t="shared" si="5"/>
        <v>1</v>
      </c>
      <c r="AZ37" s="167">
        <f t="shared" si="5"/>
        <v>1</v>
      </c>
      <c r="BA37" s="167">
        <f t="shared" si="5"/>
        <v>1</v>
      </c>
      <c r="BB37" s="167">
        <f t="shared" si="5"/>
        <v>1</v>
      </c>
      <c r="BC37" s="167">
        <f t="shared" si="5"/>
        <v>1</v>
      </c>
      <c r="BD37" s="167">
        <f t="shared" si="5"/>
        <v>1</v>
      </c>
      <c r="BE37" s="167">
        <f t="shared" si="5"/>
        <v>1</v>
      </c>
      <c r="BF37" s="167">
        <f t="shared" si="5"/>
        <v>1</v>
      </c>
      <c r="BG37" s="167">
        <f t="shared" si="5"/>
        <v>1</v>
      </c>
      <c r="BH37" s="167">
        <f t="shared" si="5"/>
        <v>1</v>
      </c>
      <c r="BI37" s="167">
        <f t="shared" si="5"/>
        <v>1</v>
      </c>
      <c r="BJ37" s="167">
        <f t="shared" si="5"/>
        <v>1</v>
      </c>
      <c r="BK37" s="167">
        <f t="shared" si="5"/>
        <v>1</v>
      </c>
      <c r="BL37" s="167">
        <f t="shared" si="5"/>
        <v>1</v>
      </c>
      <c r="BO37" s="45"/>
    </row>
    <row r="38" spans="2:67" s="108" customFormat="1" ht="24.75" hidden="1" customHeight="1" x14ac:dyDescent="0.55000000000000004">
      <c r="B38" s="202" t="s">
        <v>470</v>
      </c>
      <c r="C38" s="202"/>
      <c r="D38" s="202"/>
      <c r="E38" s="170">
        <f>IF(E34="適合",0,1)</f>
        <v>0</v>
      </c>
      <c r="F38" s="170">
        <f t="shared" ref="F38:BL39" si="6">IF(F34="適合",0,1)</f>
        <v>0</v>
      </c>
      <c r="G38" s="170">
        <f t="shared" si="6"/>
        <v>1</v>
      </c>
      <c r="H38" s="170">
        <f t="shared" si="6"/>
        <v>0</v>
      </c>
      <c r="I38" s="170">
        <f t="shared" si="6"/>
        <v>1</v>
      </c>
      <c r="J38" s="170">
        <f t="shared" si="6"/>
        <v>1</v>
      </c>
      <c r="K38" s="170">
        <f t="shared" si="6"/>
        <v>1</v>
      </c>
      <c r="L38" s="170">
        <f t="shared" si="6"/>
        <v>1</v>
      </c>
      <c r="M38" s="170">
        <f t="shared" si="6"/>
        <v>1</v>
      </c>
      <c r="N38" s="170">
        <f t="shared" si="6"/>
        <v>1</v>
      </c>
      <c r="O38" s="170">
        <f t="shared" si="6"/>
        <v>1</v>
      </c>
      <c r="P38" s="170">
        <f t="shared" si="6"/>
        <v>1</v>
      </c>
      <c r="Q38" s="170">
        <f t="shared" si="6"/>
        <v>1</v>
      </c>
      <c r="R38" s="170">
        <f t="shared" si="6"/>
        <v>1</v>
      </c>
      <c r="S38" s="170">
        <f t="shared" si="6"/>
        <v>1</v>
      </c>
      <c r="T38" s="170">
        <f t="shared" si="6"/>
        <v>1</v>
      </c>
      <c r="U38" s="170">
        <f t="shared" si="6"/>
        <v>1</v>
      </c>
      <c r="V38" s="170">
        <f t="shared" si="6"/>
        <v>1</v>
      </c>
      <c r="W38" s="170">
        <f t="shared" si="6"/>
        <v>1</v>
      </c>
      <c r="X38" s="170">
        <f t="shared" si="6"/>
        <v>1</v>
      </c>
      <c r="Y38" s="170">
        <f t="shared" si="6"/>
        <v>1</v>
      </c>
      <c r="Z38" s="170">
        <f t="shared" si="6"/>
        <v>1</v>
      </c>
      <c r="AA38" s="170">
        <f t="shared" si="6"/>
        <v>1</v>
      </c>
      <c r="AB38" s="170">
        <f t="shared" si="6"/>
        <v>1</v>
      </c>
      <c r="AC38" s="170">
        <f t="shared" si="6"/>
        <v>1</v>
      </c>
      <c r="AD38" s="170">
        <f t="shared" si="6"/>
        <v>1</v>
      </c>
      <c r="AE38" s="170">
        <f t="shared" si="6"/>
        <v>1</v>
      </c>
      <c r="AF38" s="170">
        <f t="shared" si="6"/>
        <v>1</v>
      </c>
      <c r="AG38" s="170">
        <f t="shared" si="6"/>
        <v>1</v>
      </c>
      <c r="AH38" s="170">
        <f t="shared" si="6"/>
        <v>1</v>
      </c>
      <c r="AI38" s="170">
        <f t="shared" si="6"/>
        <v>1</v>
      </c>
      <c r="AJ38" s="170">
        <f t="shared" si="6"/>
        <v>1</v>
      </c>
      <c r="AK38" s="170">
        <f t="shared" si="6"/>
        <v>1</v>
      </c>
      <c r="AL38" s="170">
        <f t="shared" si="6"/>
        <v>1</v>
      </c>
      <c r="AM38" s="170">
        <f t="shared" si="6"/>
        <v>1</v>
      </c>
      <c r="AN38" s="170">
        <f t="shared" si="6"/>
        <v>1</v>
      </c>
      <c r="AO38" s="170">
        <f t="shared" si="6"/>
        <v>1</v>
      </c>
      <c r="AP38" s="170">
        <f t="shared" si="6"/>
        <v>1</v>
      </c>
      <c r="AQ38" s="170">
        <f t="shared" si="6"/>
        <v>1</v>
      </c>
      <c r="AR38" s="170">
        <f t="shared" si="6"/>
        <v>1</v>
      </c>
      <c r="AS38" s="170">
        <f t="shared" si="6"/>
        <v>1</v>
      </c>
      <c r="AT38" s="170">
        <f t="shared" si="6"/>
        <v>1</v>
      </c>
      <c r="AU38" s="170">
        <f t="shared" si="6"/>
        <v>1</v>
      </c>
      <c r="AV38" s="170">
        <f t="shared" si="6"/>
        <v>1</v>
      </c>
      <c r="AW38" s="170">
        <f t="shared" si="6"/>
        <v>1</v>
      </c>
      <c r="AX38" s="170">
        <f t="shared" si="6"/>
        <v>1</v>
      </c>
      <c r="AY38" s="170">
        <f t="shared" si="6"/>
        <v>1</v>
      </c>
      <c r="AZ38" s="170">
        <f t="shared" si="6"/>
        <v>1</v>
      </c>
      <c r="BA38" s="170">
        <f t="shared" si="6"/>
        <v>1</v>
      </c>
      <c r="BB38" s="170">
        <f t="shared" si="6"/>
        <v>1</v>
      </c>
      <c r="BC38" s="170">
        <f t="shared" si="6"/>
        <v>1</v>
      </c>
      <c r="BD38" s="170">
        <f t="shared" si="6"/>
        <v>1</v>
      </c>
      <c r="BE38" s="170">
        <f t="shared" si="6"/>
        <v>1</v>
      </c>
      <c r="BF38" s="170">
        <f t="shared" si="6"/>
        <v>1</v>
      </c>
      <c r="BG38" s="170">
        <f t="shared" si="6"/>
        <v>1</v>
      </c>
      <c r="BH38" s="170">
        <f t="shared" si="6"/>
        <v>1</v>
      </c>
      <c r="BI38" s="170">
        <f t="shared" si="6"/>
        <v>1</v>
      </c>
      <c r="BJ38" s="170">
        <f t="shared" si="6"/>
        <v>1</v>
      </c>
      <c r="BK38" s="170">
        <f t="shared" si="6"/>
        <v>1</v>
      </c>
      <c r="BL38" s="170">
        <f t="shared" si="6"/>
        <v>1</v>
      </c>
      <c r="BO38" s="135"/>
    </row>
    <row r="39" spans="2:67" ht="24.75" hidden="1" customHeight="1" x14ac:dyDescent="0.55000000000000004">
      <c r="B39" s="201" t="s">
        <v>469</v>
      </c>
      <c r="C39" s="201"/>
      <c r="D39" s="201"/>
      <c r="E39" s="167">
        <f>IF(E35="適合",0,1)</f>
        <v>0</v>
      </c>
      <c r="F39" s="167">
        <f t="shared" si="6"/>
        <v>0</v>
      </c>
      <c r="G39" s="167">
        <f t="shared" si="6"/>
        <v>1</v>
      </c>
      <c r="H39" s="167">
        <f t="shared" si="6"/>
        <v>0</v>
      </c>
      <c r="I39" s="167">
        <f t="shared" si="6"/>
        <v>1</v>
      </c>
      <c r="J39" s="167">
        <f t="shared" si="6"/>
        <v>1</v>
      </c>
      <c r="K39" s="167">
        <f t="shared" si="6"/>
        <v>1</v>
      </c>
      <c r="L39" s="167">
        <f t="shared" si="6"/>
        <v>1</v>
      </c>
      <c r="M39" s="167">
        <f t="shared" si="6"/>
        <v>1</v>
      </c>
      <c r="N39" s="167">
        <f t="shared" si="6"/>
        <v>1</v>
      </c>
      <c r="O39" s="167">
        <f t="shared" si="6"/>
        <v>1</v>
      </c>
      <c r="P39" s="167">
        <f t="shared" si="6"/>
        <v>1</v>
      </c>
      <c r="Q39" s="167">
        <f t="shared" si="6"/>
        <v>1</v>
      </c>
      <c r="R39" s="167">
        <f t="shared" si="6"/>
        <v>1</v>
      </c>
      <c r="S39" s="167">
        <f t="shared" si="6"/>
        <v>1</v>
      </c>
      <c r="T39" s="167">
        <f t="shared" si="6"/>
        <v>1</v>
      </c>
      <c r="U39" s="167">
        <f t="shared" si="6"/>
        <v>1</v>
      </c>
      <c r="V39" s="167">
        <f t="shared" si="6"/>
        <v>1</v>
      </c>
      <c r="W39" s="167">
        <f t="shared" si="6"/>
        <v>1</v>
      </c>
      <c r="X39" s="167">
        <f t="shared" si="6"/>
        <v>1</v>
      </c>
      <c r="Y39" s="167">
        <f t="shared" si="6"/>
        <v>1</v>
      </c>
      <c r="Z39" s="167">
        <f t="shared" si="6"/>
        <v>1</v>
      </c>
      <c r="AA39" s="167">
        <f t="shared" si="6"/>
        <v>1</v>
      </c>
      <c r="AB39" s="167">
        <f t="shared" si="6"/>
        <v>1</v>
      </c>
      <c r="AC39" s="167">
        <f t="shared" si="6"/>
        <v>1</v>
      </c>
      <c r="AD39" s="167">
        <f t="shared" si="6"/>
        <v>1</v>
      </c>
      <c r="AE39" s="167">
        <f t="shared" si="6"/>
        <v>1</v>
      </c>
      <c r="AF39" s="167">
        <f t="shared" si="6"/>
        <v>1</v>
      </c>
      <c r="AG39" s="167">
        <f t="shared" si="6"/>
        <v>1</v>
      </c>
      <c r="AH39" s="167">
        <f t="shared" si="6"/>
        <v>1</v>
      </c>
      <c r="AI39" s="167">
        <f t="shared" si="6"/>
        <v>1</v>
      </c>
      <c r="AJ39" s="167">
        <f t="shared" si="6"/>
        <v>1</v>
      </c>
      <c r="AK39" s="167">
        <f t="shared" si="6"/>
        <v>1</v>
      </c>
      <c r="AL39" s="167">
        <f t="shared" si="6"/>
        <v>1</v>
      </c>
      <c r="AM39" s="167">
        <f t="shared" si="6"/>
        <v>1</v>
      </c>
      <c r="AN39" s="167">
        <f t="shared" si="6"/>
        <v>1</v>
      </c>
      <c r="AO39" s="167">
        <f t="shared" si="6"/>
        <v>1</v>
      </c>
      <c r="AP39" s="167">
        <f t="shared" si="6"/>
        <v>1</v>
      </c>
      <c r="AQ39" s="167">
        <f t="shared" si="6"/>
        <v>1</v>
      </c>
      <c r="AR39" s="167">
        <f t="shared" si="6"/>
        <v>1</v>
      </c>
      <c r="AS39" s="167">
        <f t="shared" si="6"/>
        <v>1</v>
      </c>
      <c r="AT39" s="167">
        <f t="shared" si="6"/>
        <v>1</v>
      </c>
      <c r="AU39" s="167">
        <f t="shared" si="6"/>
        <v>1</v>
      </c>
      <c r="AV39" s="167">
        <f t="shared" si="6"/>
        <v>1</v>
      </c>
      <c r="AW39" s="167">
        <f t="shared" si="6"/>
        <v>1</v>
      </c>
      <c r="AX39" s="167">
        <f t="shared" si="6"/>
        <v>1</v>
      </c>
      <c r="AY39" s="167">
        <f t="shared" si="6"/>
        <v>1</v>
      </c>
      <c r="AZ39" s="167">
        <f t="shared" si="6"/>
        <v>1</v>
      </c>
      <c r="BA39" s="167">
        <f t="shared" si="6"/>
        <v>1</v>
      </c>
      <c r="BB39" s="167">
        <f t="shared" si="6"/>
        <v>1</v>
      </c>
      <c r="BC39" s="167">
        <f t="shared" si="6"/>
        <v>1</v>
      </c>
      <c r="BD39" s="167">
        <f t="shared" si="6"/>
        <v>1</v>
      </c>
      <c r="BE39" s="167">
        <f t="shared" si="6"/>
        <v>1</v>
      </c>
      <c r="BF39" s="167">
        <f t="shared" si="6"/>
        <v>1</v>
      </c>
      <c r="BG39" s="167">
        <f t="shared" si="6"/>
        <v>1</v>
      </c>
      <c r="BH39" s="167">
        <f t="shared" si="6"/>
        <v>1</v>
      </c>
      <c r="BI39" s="167">
        <f t="shared" si="6"/>
        <v>1</v>
      </c>
      <c r="BJ39" s="167">
        <f t="shared" si="6"/>
        <v>1</v>
      </c>
      <c r="BK39" s="167">
        <f t="shared" si="6"/>
        <v>1</v>
      </c>
      <c r="BL39" s="167">
        <f t="shared" si="6"/>
        <v>1</v>
      </c>
      <c r="BO39" s="45"/>
    </row>
    <row r="40" spans="2:67" ht="24.75" hidden="1" customHeight="1" x14ac:dyDescent="0.55000000000000004">
      <c r="B40" s="202" t="s">
        <v>472</v>
      </c>
      <c r="C40" s="202"/>
      <c r="D40" s="202"/>
      <c r="E40" s="167">
        <f>IF(AND(E24="",E25="",E26="",E27="",E28="",E29="",E30="",E31=""),2,IF(AND(E24&lt;&gt;"",E25&lt;&gt;"",E26&lt;&gt;"",E27&lt;&gt;"",E28&lt;&gt;"",E29&lt;&gt;"",E30&lt;&gt;"",E31&lt;&gt;"",E37=0),0,1))</f>
        <v>0</v>
      </c>
      <c r="F40" s="167">
        <f t="shared" ref="F40:BL40" si="7">IF(AND(F24="",F25="",F26="",F27="",F28="",F29="",F30="",F31=""),2,IF(AND(F24&lt;&gt;"",F25&lt;&gt;"",F26&lt;&gt;"",F27&lt;&gt;"",F28&lt;&gt;"",F29&lt;&gt;"",F30&lt;&gt;"",F31&lt;&gt;"",F37=0),0,1))</f>
        <v>0</v>
      </c>
      <c r="G40" s="167">
        <f t="shared" si="7"/>
        <v>1</v>
      </c>
      <c r="H40" s="167">
        <f t="shared" si="7"/>
        <v>0</v>
      </c>
      <c r="I40" s="167">
        <f t="shared" si="7"/>
        <v>2</v>
      </c>
      <c r="J40" s="167">
        <f t="shared" si="7"/>
        <v>2</v>
      </c>
      <c r="K40" s="167">
        <f t="shared" si="7"/>
        <v>2</v>
      </c>
      <c r="L40" s="167">
        <f t="shared" si="7"/>
        <v>2</v>
      </c>
      <c r="M40" s="167">
        <f t="shared" si="7"/>
        <v>2</v>
      </c>
      <c r="N40" s="167">
        <f t="shared" si="7"/>
        <v>2</v>
      </c>
      <c r="O40" s="167">
        <f t="shared" si="7"/>
        <v>2</v>
      </c>
      <c r="P40" s="167">
        <f t="shared" si="7"/>
        <v>2</v>
      </c>
      <c r="Q40" s="167">
        <f t="shared" si="7"/>
        <v>2</v>
      </c>
      <c r="R40" s="167">
        <f t="shared" si="7"/>
        <v>2</v>
      </c>
      <c r="S40" s="167">
        <f t="shared" si="7"/>
        <v>2</v>
      </c>
      <c r="T40" s="167">
        <f t="shared" si="7"/>
        <v>2</v>
      </c>
      <c r="U40" s="167">
        <f t="shared" si="7"/>
        <v>2</v>
      </c>
      <c r="V40" s="167">
        <f t="shared" si="7"/>
        <v>2</v>
      </c>
      <c r="W40" s="167">
        <f t="shared" si="7"/>
        <v>2</v>
      </c>
      <c r="X40" s="167">
        <f t="shared" si="7"/>
        <v>2</v>
      </c>
      <c r="Y40" s="167">
        <f t="shared" si="7"/>
        <v>2</v>
      </c>
      <c r="Z40" s="167">
        <f t="shared" si="7"/>
        <v>2</v>
      </c>
      <c r="AA40" s="167">
        <f t="shared" si="7"/>
        <v>2</v>
      </c>
      <c r="AB40" s="167">
        <f t="shared" si="7"/>
        <v>2</v>
      </c>
      <c r="AC40" s="167">
        <f t="shared" si="7"/>
        <v>2</v>
      </c>
      <c r="AD40" s="167">
        <f t="shared" si="7"/>
        <v>2</v>
      </c>
      <c r="AE40" s="167">
        <f t="shared" si="7"/>
        <v>2</v>
      </c>
      <c r="AF40" s="167">
        <f t="shared" si="7"/>
        <v>2</v>
      </c>
      <c r="AG40" s="167">
        <f t="shared" si="7"/>
        <v>2</v>
      </c>
      <c r="AH40" s="167">
        <f t="shared" si="7"/>
        <v>2</v>
      </c>
      <c r="AI40" s="167">
        <f t="shared" si="7"/>
        <v>2</v>
      </c>
      <c r="AJ40" s="167">
        <f t="shared" si="7"/>
        <v>2</v>
      </c>
      <c r="AK40" s="167">
        <f t="shared" si="7"/>
        <v>2</v>
      </c>
      <c r="AL40" s="167">
        <f t="shared" si="7"/>
        <v>2</v>
      </c>
      <c r="AM40" s="167">
        <f t="shared" si="7"/>
        <v>2</v>
      </c>
      <c r="AN40" s="167">
        <f t="shared" si="7"/>
        <v>2</v>
      </c>
      <c r="AO40" s="167">
        <f t="shared" si="7"/>
        <v>2</v>
      </c>
      <c r="AP40" s="167">
        <f t="shared" si="7"/>
        <v>2</v>
      </c>
      <c r="AQ40" s="167">
        <f t="shared" si="7"/>
        <v>2</v>
      </c>
      <c r="AR40" s="167">
        <f t="shared" si="7"/>
        <v>2</v>
      </c>
      <c r="AS40" s="167">
        <f t="shared" si="7"/>
        <v>2</v>
      </c>
      <c r="AT40" s="167">
        <f t="shared" si="7"/>
        <v>2</v>
      </c>
      <c r="AU40" s="167">
        <f t="shared" si="7"/>
        <v>2</v>
      </c>
      <c r="AV40" s="167">
        <f t="shared" si="7"/>
        <v>2</v>
      </c>
      <c r="AW40" s="167">
        <f t="shared" si="7"/>
        <v>2</v>
      </c>
      <c r="AX40" s="167">
        <f t="shared" si="7"/>
        <v>2</v>
      </c>
      <c r="AY40" s="167">
        <f t="shared" si="7"/>
        <v>2</v>
      </c>
      <c r="AZ40" s="167">
        <f t="shared" si="7"/>
        <v>2</v>
      </c>
      <c r="BA40" s="167">
        <f t="shared" si="7"/>
        <v>2</v>
      </c>
      <c r="BB40" s="167">
        <f t="shared" si="7"/>
        <v>2</v>
      </c>
      <c r="BC40" s="167">
        <f t="shared" si="7"/>
        <v>2</v>
      </c>
      <c r="BD40" s="167">
        <f t="shared" si="7"/>
        <v>2</v>
      </c>
      <c r="BE40" s="167">
        <f t="shared" si="7"/>
        <v>2</v>
      </c>
      <c r="BF40" s="167">
        <f t="shared" si="7"/>
        <v>2</v>
      </c>
      <c r="BG40" s="167">
        <f t="shared" si="7"/>
        <v>2</v>
      </c>
      <c r="BH40" s="167">
        <f t="shared" si="7"/>
        <v>2</v>
      </c>
      <c r="BI40" s="167">
        <f t="shared" si="7"/>
        <v>2</v>
      </c>
      <c r="BJ40" s="167">
        <f t="shared" si="7"/>
        <v>2</v>
      </c>
      <c r="BK40" s="167">
        <f t="shared" si="7"/>
        <v>2</v>
      </c>
      <c r="BL40" s="167">
        <f t="shared" si="7"/>
        <v>2</v>
      </c>
    </row>
    <row r="41" spans="2:67" ht="24.75" hidden="1" customHeight="1" x14ac:dyDescent="0.55000000000000004">
      <c r="B41" s="201" t="s">
        <v>474</v>
      </c>
      <c r="C41" s="201"/>
      <c r="D41" s="201"/>
      <c r="E41" s="167">
        <f>IF(AND(E38=0,E39=0,E40=0),0,IF(E40=2,0,1))</f>
        <v>0</v>
      </c>
      <c r="F41" s="167">
        <f t="shared" ref="F41:BL41" si="8">IF(AND(F38=0,F39=0,F40=0),0,IF(F40=2,0,1))</f>
        <v>0</v>
      </c>
      <c r="G41" s="167">
        <f t="shared" si="8"/>
        <v>1</v>
      </c>
      <c r="H41" s="167">
        <f t="shared" si="8"/>
        <v>0</v>
      </c>
      <c r="I41" s="167">
        <f t="shared" si="8"/>
        <v>0</v>
      </c>
      <c r="J41" s="167">
        <f t="shared" si="8"/>
        <v>0</v>
      </c>
      <c r="K41" s="167">
        <f t="shared" si="8"/>
        <v>0</v>
      </c>
      <c r="L41" s="167">
        <f t="shared" si="8"/>
        <v>0</v>
      </c>
      <c r="M41" s="167">
        <f t="shared" si="8"/>
        <v>0</v>
      </c>
      <c r="N41" s="167">
        <f t="shared" si="8"/>
        <v>0</v>
      </c>
      <c r="O41" s="167">
        <f t="shared" si="8"/>
        <v>0</v>
      </c>
      <c r="P41" s="167">
        <f t="shared" si="8"/>
        <v>0</v>
      </c>
      <c r="Q41" s="167">
        <f t="shared" si="8"/>
        <v>0</v>
      </c>
      <c r="R41" s="167">
        <f t="shared" si="8"/>
        <v>0</v>
      </c>
      <c r="S41" s="167">
        <f t="shared" si="8"/>
        <v>0</v>
      </c>
      <c r="T41" s="167">
        <f t="shared" si="8"/>
        <v>0</v>
      </c>
      <c r="U41" s="167">
        <f t="shared" si="8"/>
        <v>0</v>
      </c>
      <c r="V41" s="167">
        <f t="shared" si="8"/>
        <v>0</v>
      </c>
      <c r="W41" s="167">
        <f t="shared" si="8"/>
        <v>0</v>
      </c>
      <c r="X41" s="167">
        <f t="shared" si="8"/>
        <v>0</v>
      </c>
      <c r="Y41" s="167">
        <f t="shared" si="8"/>
        <v>0</v>
      </c>
      <c r="Z41" s="167">
        <f t="shared" si="8"/>
        <v>0</v>
      </c>
      <c r="AA41" s="167">
        <f t="shared" si="8"/>
        <v>0</v>
      </c>
      <c r="AB41" s="167">
        <f t="shared" si="8"/>
        <v>0</v>
      </c>
      <c r="AC41" s="167">
        <f t="shared" si="8"/>
        <v>0</v>
      </c>
      <c r="AD41" s="167">
        <f t="shared" si="8"/>
        <v>0</v>
      </c>
      <c r="AE41" s="167">
        <f t="shared" si="8"/>
        <v>0</v>
      </c>
      <c r="AF41" s="167">
        <f t="shared" si="8"/>
        <v>0</v>
      </c>
      <c r="AG41" s="167">
        <f t="shared" si="8"/>
        <v>0</v>
      </c>
      <c r="AH41" s="167">
        <f t="shared" si="8"/>
        <v>0</v>
      </c>
      <c r="AI41" s="167">
        <f t="shared" si="8"/>
        <v>0</v>
      </c>
      <c r="AJ41" s="167">
        <f t="shared" si="8"/>
        <v>0</v>
      </c>
      <c r="AK41" s="167">
        <f t="shared" si="8"/>
        <v>0</v>
      </c>
      <c r="AL41" s="167">
        <f t="shared" si="8"/>
        <v>0</v>
      </c>
      <c r="AM41" s="167">
        <f t="shared" si="8"/>
        <v>0</v>
      </c>
      <c r="AN41" s="167">
        <f t="shared" si="8"/>
        <v>0</v>
      </c>
      <c r="AO41" s="167">
        <f t="shared" si="8"/>
        <v>0</v>
      </c>
      <c r="AP41" s="167">
        <f t="shared" si="8"/>
        <v>0</v>
      </c>
      <c r="AQ41" s="167">
        <f t="shared" si="8"/>
        <v>0</v>
      </c>
      <c r="AR41" s="167">
        <f t="shared" si="8"/>
        <v>0</v>
      </c>
      <c r="AS41" s="167">
        <f t="shared" si="8"/>
        <v>0</v>
      </c>
      <c r="AT41" s="167">
        <f t="shared" si="8"/>
        <v>0</v>
      </c>
      <c r="AU41" s="167">
        <f t="shared" si="8"/>
        <v>0</v>
      </c>
      <c r="AV41" s="167">
        <f t="shared" si="8"/>
        <v>0</v>
      </c>
      <c r="AW41" s="167">
        <f t="shared" si="8"/>
        <v>0</v>
      </c>
      <c r="AX41" s="167">
        <f t="shared" si="8"/>
        <v>0</v>
      </c>
      <c r="AY41" s="167">
        <f t="shared" si="8"/>
        <v>0</v>
      </c>
      <c r="AZ41" s="167">
        <f t="shared" si="8"/>
        <v>0</v>
      </c>
      <c r="BA41" s="167">
        <f t="shared" si="8"/>
        <v>0</v>
      </c>
      <c r="BB41" s="167">
        <f t="shared" si="8"/>
        <v>0</v>
      </c>
      <c r="BC41" s="167">
        <f t="shared" si="8"/>
        <v>0</v>
      </c>
      <c r="BD41" s="167">
        <f t="shared" si="8"/>
        <v>0</v>
      </c>
      <c r="BE41" s="167">
        <f t="shared" si="8"/>
        <v>0</v>
      </c>
      <c r="BF41" s="167">
        <f t="shared" si="8"/>
        <v>0</v>
      </c>
      <c r="BG41" s="167">
        <f t="shared" si="8"/>
        <v>0</v>
      </c>
      <c r="BH41" s="167">
        <f t="shared" si="8"/>
        <v>0</v>
      </c>
      <c r="BI41" s="167">
        <f t="shared" si="8"/>
        <v>0</v>
      </c>
      <c r="BJ41" s="167">
        <f t="shared" si="8"/>
        <v>0</v>
      </c>
      <c r="BK41" s="167">
        <f t="shared" si="8"/>
        <v>0</v>
      </c>
      <c r="BL41" s="167">
        <f t="shared" si="8"/>
        <v>0</v>
      </c>
    </row>
    <row r="42" spans="2:67" ht="24.75" hidden="1" customHeight="1" x14ac:dyDescent="0.55000000000000004">
      <c r="B42" s="204" t="s">
        <v>473</v>
      </c>
      <c r="C42" s="204"/>
      <c r="D42" s="204"/>
      <c r="E42" s="167">
        <f>COUNTIF($E40:$BL40,0)</f>
        <v>3</v>
      </c>
      <c r="F42" s="167">
        <f>COUNTIF($E40:$BL40,1)</f>
        <v>1</v>
      </c>
      <c r="G42" s="167">
        <f>COUNTIF($E40:$BL40,2)</f>
        <v>56</v>
      </c>
      <c r="H42" s="167">
        <f>60-COUNTIF($E$24:$BL$24,"")</f>
        <v>4</v>
      </c>
      <c r="I42" s="168" t="str">
        <f>IF(F42&lt;&gt;0,"入力確認",IF(H42=E42,"入力済","未入力"))</f>
        <v>入力確認</v>
      </c>
      <c r="AK42" s="39"/>
    </row>
    <row r="44" spans="2:67" ht="19.5" customHeight="1" x14ac:dyDescent="0.55000000000000004">
      <c r="B44" s="86"/>
      <c r="C44" s="86"/>
      <c r="D44" s="86"/>
      <c r="AK44" s="39"/>
    </row>
    <row r="45" spans="2:67" ht="19.5" customHeight="1" x14ac:dyDescent="0.55000000000000004">
      <c r="AK45" s="39"/>
    </row>
    <row r="46" spans="2:67" ht="19.5" customHeight="1" x14ac:dyDescent="0.55000000000000004">
      <c r="AK46" s="39"/>
    </row>
    <row r="47" spans="2:67" ht="19.5" customHeight="1" x14ac:dyDescent="0.55000000000000004">
      <c r="AK47" s="39"/>
    </row>
    <row r="51" spans="37:37" x14ac:dyDescent="0.55000000000000004">
      <c r="AK51" s="39"/>
    </row>
    <row r="54" spans="37:37" x14ac:dyDescent="0.55000000000000004">
      <c r="AK54" s="39"/>
    </row>
  </sheetData>
  <sheetProtection algorithmName="SHA-512" hashValue="/7EFANO2XOnzha3sa5XrInO9nwsOmtQIX9EBDjIiyMS0kkdNBoKWnkNwbdxlDAwfEZBF00gZQPeVqlqCvPPd+A==" saltValue="t0zjpSr6co2lGQfBB/SKVw==" spinCount="100000" sheet="1" objects="1" scenarios="1" selectLockedCells="1" selectUnlockedCells="1"/>
  <mergeCells count="25">
    <mergeCell ref="B26:D26"/>
    <mergeCell ref="G21:H21"/>
    <mergeCell ref="I21:Q21"/>
    <mergeCell ref="B23:D23"/>
    <mergeCell ref="B24:D24"/>
    <mergeCell ref="B25:D25"/>
    <mergeCell ref="B27:D27"/>
    <mergeCell ref="B28:B29"/>
    <mergeCell ref="C28:D28"/>
    <mergeCell ref="C29:D29"/>
    <mergeCell ref="B30:B31"/>
    <mergeCell ref="C30:D30"/>
    <mergeCell ref="C31:D31"/>
    <mergeCell ref="B42:D42"/>
    <mergeCell ref="B32:B33"/>
    <mergeCell ref="C32:D32"/>
    <mergeCell ref="C33:D33"/>
    <mergeCell ref="B34:D34"/>
    <mergeCell ref="B35:D35"/>
    <mergeCell ref="B36:D36"/>
    <mergeCell ref="B37:D37"/>
    <mergeCell ref="B38:D38"/>
    <mergeCell ref="B39:D39"/>
    <mergeCell ref="B40:D40"/>
    <mergeCell ref="B41:D41"/>
  </mergeCells>
  <phoneticPr fontId="2"/>
  <conditionalFormatting sqref="I31:BL31 I29:BL29 E35:BL35 E33:BL33">
    <cfRule type="expression" dxfId="286" priority="15">
      <formula>E$35="不適合"</formula>
    </cfRule>
  </conditionalFormatting>
  <conditionalFormatting sqref="E33:BL33">
    <cfRule type="cellIs" dxfId="285" priority="17" operator="lessThan">
      <formula>30</formula>
    </cfRule>
    <cfRule type="expression" dxfId="284" priority="18">
      <formula>E33="入力確認"</formula>
    </cfRule>
  </conditionalFormatting>
  <conditionalFormatting sqref="I31:BL31 E34:BL34">
    <cfRule type="expression" dxfId="283" priority="14">
      <formula>E$31-E$30&lt;0</formula>
    </cfRule>
  </conditionalFormatting>
  <conditionalFormatting sqref="I21">
    <cfRule type="expression" dxfId="282" priority="21">
      <formula>$I$21="必要換気量に係る要件を満たしていないため、申請できません。"</formula>
    </cfRule>
    <cfRule type="expression" dxfId="281" priority="22">
      <formula>$I$21="「換気設備導入前後の比較表」の入力をご確認ください。"</formula>
    </cfRule>
  </conditionalFormatting>
  <conditionalFormatting sqref="E32:BL32">
    <cfRule type="expression" dxfId="280" priority="16">
      <formula>E32="入力確認"</formula>
    </cfRule>
  </conditionalFormatting>
  <conditionalFormatting sqref="E34:BL34">
    <cfRule type="expression" dxfId="279" priority="19">
      <formula>E34="不適合"</formula>
    </cfRule>
  </conditionalFormatting>
  <conditionalFormatting sqref="I29:BL29">
    <cfRule type="expression" dxfId="278" priority="13">
      <formula>AND(I29&lt;=0,I40=0)</formula>
    </cfRule>
  </conditionalFormatting>
  <conditionalFormatting sqref="I27:BL28">
    <cfRule type="expression" dxfId="277" priority="12">
      <formula>AND(I$27="機械換気",I$28=0)</formula>
    </cfRule>
  </conditionalFormatting>
  <conditionalFormatting sqref="I27:BL27 I30:BL30">
    <cfRule type="expression" dxfId="276" priority="11">
      <formula>AND(I$27="自然換気",I$30&gt;0)</formula>
    </cfRule>
  </conditionalFormatting>
  <conditionalFormatting sqref="I21:Q21">
    <cfRule type="expression" dxfId="275" priority="20">
      <formula>$I$21="「換気設備導入前後の比較表」を入力してください"</formula>
    </cfRule>
  </conditionalFormatting>
  <conditionalFormatting sqref="E31:H31 E29:H29">
    <cfRule type="expression" dxfId="274" priority="5">
      <formula>E$35="不適合"</formula>
    </cfRule>
  </conditionalFormatting>
  <conditionalFormatting sqref="E31:H31">
    <cfRule type="expression" dxfId="273" priority="2">
      <formula>E$31-E$30&lt;0</formula>
    </cfRule>
  </conditionalFormatting>
  <conditionalFormatting sqref="E29:H29">
    <cfRule type="expression" dxfId="272" priority="4">
      <formula>AND(E29&lt;=0,E40=0)</formula>
    </cfRule>
  </conditionalFormatting>
  <conditionalFormatting sqref="E27:H28">
    <cfRule type="expression" dxfId="271" priority="3">
      <formula>AND(E$27="機械換気",E$28=0)</formula>
    </cfRule>
  </conditionalFormatting>
  <conditionalFormatting sqref="E27:H27 E30:H30">
    <cfRule type="expression" dxfId="270" priority="1">
      <formula>AND(E$27="自然換気",E$30&gt;0)</formula>
    </cfRule>
  </conditionalFormatting>
  <dataValidations count="4">
    <dataValidation type="whole" operator="greaterThanOrEqual" allowBlank="1" showInputMessage="1" showErrorMessage="1" prompt="自然換気は、”0”を入力。_x000a_機械換気は、”0”以上の整数を入力してください。" sqref="I30:BL30">
      <formula1>0</formula1>
    </dataValidation>
    <dataValidation type="whole" operator="greaterThanOrEqual" allowBlank="1" showInputMessage="1" showErrorMessage="1" prompt="”0”以上の整数を入力してください。" sqref="I31:BL31 E30:H31">
      <formula1>0</formula1>
    </dataValidation>
    <dataValidation type="whole" operator="greaterThanOrEqual" allowBlank="1" showInputMessage="1" showErrorMessage="1" prompt="利用人数を整数で入力してください" sqref="E28:BL29">
      <formula1>0</formula1>
    </dataValidation>
    <dataValidation allowBlank="1" sqref="C15:C16"/>
  </dataValidations>
  <pageMargins left="0.6692913385826772" right="0.31496062992125984" top="0.55118110236220474" bottom="0.3543307086614173" header="0.23622047244094488" footer="0.15748031496062992"/>
  <pageSetup paperSize="9" scale="46" fitToWidth="0" orientation="landscape" r:id="rId1"/>
  <headerFooter>
    <oddHeader>&amp;C&amp;20換気量・省エネ計算シート</oddHeader>
  </headerFooter>
  <colBreaks count="3" manualBreakCount="3">
    <brk id="24" max="34" man="1"/>
    <brk id="34" max="34" man="1"/>
    <brk id="49" max="34"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計算!$Z$4:$Z$14</xm:f>
          </x14:formula1>
          <xm:sqref>I24:BL24</xm:sqref>
        </x14:dataValidation>
        <x14:dataValidation type="list" allowBlank="1" showInputMessage="1" showErrorMessage="1">
          <x14:formula1>
            <xm:f>計算!$T$17:$T$18</xm:f>
          </x14:formula1>
          <xm:sqref>I27:BL27</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E27:H27</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E24:H24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outlinePr summaryBelow="0" summaryRight="0"/>
    <pageSetUpPr fitToPage="1"/>
  </sheetPr>
  <dimension ref="B1:BO54"/>
  <sheetViews>
    <sheetView view="pageBreakPreview" zoomScale="70" zoomScaleNormal="80" zoomScaleSheetLayoutView="70" workbookViewId="0">
      <selection sqref="A1:XFD1048576"/>
    </sheetView>
  </sheetViews>
  <sheetFormatPr defaultColWidth="7.1640625" defaultRowHeight="19.2" x14ac:dyDescent="0.55000000000000004"/>
  <cols>
    <col min="1" max="1" width="2.1640625" style="39" customWidth="1"/>
    <col min="2" max="2" width="14.9140625" style="39" customWidth="1"/>
    <col min="3" max="3" width="4.83203125" style="39" customWidth="1"/>
    <col min="4" max="4" width="4" style="39" customWidth="1"/>
    <col min="5" max="13" width="9.83203125" style="39" customWidth="1"/>
    <col min="14" max="14" width="9.83203125" style="39" customWidth="1" collapsed="1"/>
    <col min="15" max="28" width="9.83203125" style="39" customWidth="1"/>
    <col min="29" max="29" width="9.83203125" style="39" customWidth="1" collapsed="1"/>
    <col min="30" max="36" width="9.83203125" style="39" customWidth="1"/>
    <col min="37" max="37" width="9.83203125" style="45" customWidth="1"/>
    <col min="38" max="54" width="9.83203125" style="39" customWidth="1"/>
    <col min="55" max="65" width="9.9140625" style="39" customWidth="1"/>
    <col min="66" max="16384" width="7.1640625" style="39"/>
  </cols>
  <sheetData>
    <row r="1" spans="2:34" s="59" customFormat="1" ht="17.399999999999999" x14ac:dyDescent="0.55000000000000004"/>
    <row r="2" spans="2:34" s="18" customFormat="1" x14ac:dyDescent="0.55000000000000004">
      <c r="B2" s="50" t="s">
        <v>230</v>
      </c>
      <c r="C2" s="5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2:34" s="59" customFormat="1" x14ac:dyDescent="0.55000000000000004">
      <c r="B3" s="74" t="s">
        <v>231</v>
      </c>
      <c r="C3" s="39"/>
      <c r="D3" s="39"/>
      <c r="E3" s="39"/>
      <c r="F3" s="39"/>
      <c r="G3" s="39"/>
      <c r="H3" s="39"/>
      <c r="I3" s="39"/>
      <c r="J3" s="39"/>
      <c r="K3" s="51"/>
      <c r="L3" s="39"/>
      <c r="M3" s="39"/>
      <c r="N3" s="39"/>
      <c r="O3" s="39"/>
      <c r="P3" s="39"/>
      <c r="Q3" s="39"/>
      <c r="R3" s="39"/>
      <c r="S3" s="39"/>
      <c r="T3" s="39"/>
      <c r="U3" s="39"/>
      <c r="V3" s="39"/>
      <c r="W3" s="39"/>
      <c r="X3" s="39"/>
      <c r="Y3" s="39"/>
      <c r="Z3" s="39"/>
      <c r="AA3" s="39"/>
      <c r="AB3" s="39"/>
      <c r="AC3" s="39"/>
      <c r="AD3" s="39"/>
      <c r="AE3" s="39"/>
      <c r="AF3" s="39"/>
      <c r="AG3" s="39"/>
      <c r="AH3" s="39"/>
    </row>
    <row r="4" spans="2:34" s="59" customFormat="1" x14ac:dyDescent="0.55000000000000004">
      <c r="B4" s="74"/>
      <c r="C4" s="39"/>
      <c r="D4" s="39"/>
      <c r="E4" s="39"/>
      <c r="F4" s="39"/>
      <c r="G4" s="39"/>
      <c r="H4" s="39"/>
      <c r="I4" s="39"/>
      <c r="J4" s="39"/>
      <c r="K4" s="51"/>
      <c r="L4" s="39"/>
      <c r="M4" s="39"/>
      <c r="N4" s="39"/>
      <c r="O4" s="39"/>
      <c r="P4" s="39"/>
      <c r="Q4" s="39"/>
      <c r="R4" s="39"/>
      <c r="S4" s="39"/>
      <c r="T4" s="39"/>
      <c r="U4" s="39"/>
      <c r="V4" s="39"/>
      <c r="W4" s="39"/>
      <c r="X4" s="39"/>
      <c r="Y4" s="39"/>
      <c r="Z4" s="39"/>
      <c r="AA4" s="39"/>
      <c r="AB4" s="39"/>
      <c r="AC4" s="39"/>
      <c r="AD4" s="39"/>
      <c r="AE4" s="39"/>
      <c r="AF4" s="39"/>
      <c r="AG4" s="39"/>
      <c r="AH4" s="39"/>
    </row>
    <row r="5" spans="2:34" s="18" customFormat="1" x14ac:dyDescent="0.55000000000000004">
      <c r="B5" s="50" t="s">
        <v>177</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2:34" s="59" customFormat="1" x14ac:dyDescent="0.55000000000000004">
      <c r="B6" s="108" t="s">
        <v>406</v>
      </c>
      <c r="C6" s="39"/>
      <c r="D6" s="39"/>
      <c r="E6" s="39"/>
      <c r="F6" s="39"/>
      <c r="G6" s="39"/>
      <c r="H6" s="39"/>
      <c r="I6" s="39"/>
      <c r="J6" s="39"/>
      <c r="K6" s="51"/>
      <c r="L6" s="39"/>
      <c r="M6" s="39"/>
      <c r="N6" s="39"/>
      <c r="O6" s="39"/>
      <c r="P6" s="39"/>
      <c r="Q6" s="39"/>
      <c r="R6" s="39"/>
      <c r="S6" s="39"/>
      <c r="T6" s="39"/>
      <c r="U6" s="39"/>
      <c r="V6" s="39"/>
      <c r="W6" s="39"/>
      <c r="X6" s="39"/>
      <c r="Y6" s="39"/>
      <c r="Z6" s="39"/>
      <c r="AA6" s="39"/>
      <c r="AB6" s="39"/>
      <c r="AC6" s="39"/>
      <c r="AD6" s="39"/>
      <c r="AE6" s="39"/>
      <c r="AF6" s="39"/>
      <c r="AG6" s="39"/>
      <c r="AH6" s="39"/>
    </row>
    <row r="7" spans="2:34" s="59" customFormat="1" x14ac:dyDescent="0.55000000000000004">
      <c r="B7" s="108" t="s">
        <v>402</v>
      </c>
      <c r="C7" s="39"/>
      <c r="D7" s="39"/>
      <c r="E7" s="39"/>
      <c r="F7" s="39"/>
      <c r="G7" s="39"/>
      <c r="H7" s="39"/>
      <c r="I7" s="39"/>
      <c r="J7" s="39"/>
      <c r="K7" s="51"/>
      <c r="L7" s="39"/>
      <c r="M7" s="39"/>
      <c r="N7" s="39"/>
      <c r="O7" s="39"/>
      <c r="P7" s="39"/>
      <c r="Q7" s="39"/>
      <c r="R7" s="39"/>
      <c r="S7" s="39"/>
      <c r="T7" s="39"/>
      <c r="U7" s="39"/>
      <c r="V7" s="39"/>
      <c r="W7" s="39"/>
      <c r="X7" s="39"/>
      <c r="Y7" s="39"/>
      <c r="Z7" s="39"/>
      <c r="AA7" s="39"/>
      <c r="AB7" s="39"/>
      <c r="AC7" s="39"/>
      <c r="AD7" s="39"/>
      <c r="AE7" s="39"/>
      <c r="AF7" s="39"/>
      <c r="AG7" s="39"/>
      <c r="AH7" s="39"/>
    </row>
    <row r="8" spans="2:34" s="59" customFormat="1" x14ac:dyDescent="0.55000000000000004">
      <c r="B8" s="108" t="s">
        <v>405</v>
      </c>
      <c r="C8" s="39"/>
      <c r="D8" s="39"/>
      <c r="E8" s="39"/>
      <c r="F8" s="39"/>
      <c r="G8" s="39"/>
      <c r="H8" s="39"/>
      <c r="I8" s="39"/>
      <c r="J8" s="39"/>
      <c r="K8" s="51"/>
      <c r="L8" s="39"/>
      <c r="M8" s="39"/>
      <c r="N8" s="39"/>
      <c r="O8" s="39"/>
      <c r="P8" s="39"/>
      <c r="Q8" s="39"/>
      <c r="R8" s="39"/>
      <c r="S8" s="39"/>
      <c r="T8" s="39"/>
      <c r="U8" s="39"/>
      <c r="V8" s="39"/>
      <c r="W8" s="39"/>
      <c r="X8" s="39"/>
      <c r="Y8" s="39"/>
      <c r="Z8" s="39"/>
      <c r="AA8" s="39"/>
      <c r="AB8" s="39"/>
      <c r="AC8" s="39"/>
      <c r="AD8" s="39"/>
      <c r="AE8" s="39"/>
      <c r="AF8" s="39"/>
      <c r="AG8" s="39"/>
      <c r="AH8" s="39"/>
    </row>
    <row r="9" spans="2:34" s="59" customFormat="1" x14ac:dyDescent="0.55000000000000004">
      <c r="B9" s="108" t="s">
        <v>467</v>
      </c>
      <c r="C9" s="39"/>
      <c r="D9" s="86"/>
      <c r="E9" s="86"/>
      <c r="F9" s="86"/>
      <c r="G9" s="39"/>
      <c r="H9" s="39"/>
      <c r="I9" s="39"/>
      <c r="J9" s="39"/>
      <c r="K9" s="51"/>
      <c r="L9" s="39"/>
      <c r="M9" s="39"/>
      <c r="N9" s="39"/>
      <c r="O9" s="39"/>
      <c r="P9" s="39"/>
      <c r="Q9" s="39"/>
      <c r="R9" s="39"/>
      <c r="S9" s="39"/>
      <c r="T9" s="39"/>
      <c r="U9" s="39"/>
      <c r="V9" s="39"/>
      <c r="W9" s="39"/>
      <c r="X9" s="39"/>
      <c r="Y9" s="39"/>
      <c r="Z9" s="39"/>
      <c r="AA9" s="39"/>
      <c r="AB9" s="39"/>
      <c r="AC9" s="39"/>
      <c r="AD9" s="39"/>
      <c r="AE9" s="39"/>
      <c r="AF9" s="39"/>
      <c r="AG9" s="39"/>
      <c r="AH9" s="39"/>
    </row>
    <row r="10" spans="2:34" s="59" customFormat="1" x14ac:dyDescent="0.55000000000000004">
      <c r="B10" s="108" t="s">
        <v>468</v>
      </c>
      <c r="C10" s="39"/>
      <c r="D10" s="39"/>
      <c r="E10" s="39"/>
      <c r="F10" s="39"/>
      <c r="G10" s="39"/>
      <c r="H10" s="39"/>
      <c r="I10" s="39"/>
      <c r="J10" s="39"/>
      <c r="K10" s="51"/>
      <c r="L10" s="39"/>
      <c r="M10" s="39"/>
      <c r="N10" s="39"/>
      <c r="O10" s="39"/>
      <c r="P10" s="39"/>
      <c r="Q10" s="39"/>
      <c r="R10" s="39"/>
      <c r="S10" s="39"/>
      <c r="T10" s="39"/>
      <c r="U10" s="39"/>
      <c r="V10" s="39"/>
      <c r="W10" s="39"/>
      <c r="X10" s="39"/>
      <c r="Y10" s="39"/>
      <c r="Z10" s="39"/>
      <c r="AA10" s="39"/>
      <c r="AB10" s="39"/>
      <c r="AC10" s="39"/>
      <c r="AD10" s="39"/>
      <c r="AE10" s="39"/>
      <c r="AF10" s="39"/>
      <c r="AG10" s="39"/>
      <c r="AH10" s="39"/>
    </row>
    <row r="11" spans="2:34" s="59" customFormat="1" x14ac:dyDescent="0.55000000000000004">
      <c r="B11" s="108" t="s">
        <v>404</v>
      </c>
      <c r="C11" s="39"/>
      <c r="D11" s="39"/>
      <c r="E11" s="39"/>
      <c r="F11" s="39"/>
      <c r="G11" s="39"/>
      <c r="H11" s="39"/>
      <c r="I11" s="39"/>
      <c r="J11" s="39"/>
      <c r="K11" s="51"/>
      <c r="L11" s="39"/>
      <c r="M11" s="39"/>
      <c r="N11" s="39"/>
      <c r="O11" s="39"/>
      <c r="P11" s="39"/>
      <c r="Q11" s="39"/>
      <c r="R11" s="39"/>
      <c r="S11" s="39"/>
      <c r="T11" s="39"/>
      <c r="U11" s="39"/>
      <c r="V11" s="39"/>
      <c r="W11" s="39"/>
      <c r="X11" s="39"/>
      <c r="Y11" s="39"/>
      <c r="Z11" s="39"/>
      <c r="AA11" s="39"/>
      <c r="AB11" s="39"/>
      <c r="AC11" s="39"/>
      <c r="AD11" s="39"/>
      <c r="AE11" s="39"/>
      <c r="AF11" s="39"/>
      <c r="AG11" s="39"/>
      <c r="AH11" s="39"/>
    </row>
    <row r="12" spans="2:34" s="59" customFormat="1" x14ac:dyDescent="0.55000000000000004">
      <c r="B12" s="108" t="s">
        <v>403</v>
      </c>
      <c r="C12" s="39"/>
      <c r="D12" s="39"/>
      <c r="E12" s="39"/>
      <c r="F12" s="39"/>
      <c r="G12" s="39"/>
      <c r="H12" s="39"/>
      <c r="I12" s="39"/>
      <c r="J12" s="39"/>
      <c r="K12" s="51"/>
      <c r="L12" s="39"/>
      <c r="M12" s="39"/>
      <c r="N12" s="39"/>
      <c r="O12" s="39"/>
      <c r="P12" s="39"/>
      <c r="Q12" s="39"/>
      <c r="R12" s="39"/>
      <c r="S12" s="39"/>
      <c r="T12" s="39"/>
      <c r="U12" s="39"/>
      <c r="V12" s="39"/>
      <c r="W12" s="39"/>
      <c r="X12" s="39"/>
      <c r="Y12" s="39"/>
      <c r="Z12" s="39"/>
      <c r="AA12" s="39"/>
      <c r="AB12" s="39"/>
      <c r="AC12" s="39"/>
      <c r="AD12" s="39"/>
      <c r="AE12" s="39"/>
      <c r="AF12" s="39"/>
      <c r="AG12" s="39"/>
      <c r="AH12" s="39"/>
    </row>
    <row r="13" spans="2:34" s="59" customFormat="1" x14ac:dyDescent="0.55000000000000004">
      <c r="B13" s="126" t="s">
        <v>401</v>
      </c>
      <c r="C13" s="39"/>
      <c r="D13" s="39"/>
      <c r="E13" s="39"/>
      <c r="F13" s="39"/>
      <c r="G13" s="39"/>
      <c r="H13" s="39"/>
      <c r="I13" s="39"/>
      <c r="J13" s="39"/>
      <c r="K13" s="51"/>
      <c r="L13" s="39"/>
      <c r="M13" s="39"/>
      <c r="N13" s="39"/>
      <c r="O13" s="39"/>
      <c r="P13" s="39"/>
      <c r="Q13" s="39"/>
      <c r="R13" s="39"/>
      <c r="S13" s="39"/>
      <c r="T13" s="39"/>
      <c r="U13" s="39"/>
      <c r="V13" s="39"/>
      <c r="W13" s="39"/>
      <c r="X13" s="39"/>
      <c r="Y13" s="39"/>
      <c r="Z13" s="39"/>
      <c r="AA13" s="39"/>
      <c r="AB13" s="39"/>
      <c r="AC13" s="39"/>
      <c r="AD13" s="39"/>
      <c r="AE13" s="39"/>
      <c r="AF13" s="39"/>
      <c r="AG13" s="39"/>
      <c r="AH13" s="39"/>
    </row>
    <row r="14" spans="2:34" s="18" customFormat="1" x14ac:dyDescent="0.55000000000000004">
      <c r="B14" s="50"/>
      <c r="C14" s="50"/>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2:34" s="18" customFormat="1" x14ac:dyDescent="0.55000000000000004">
      <c r="B15" s="88" t="s">
        <v>178</v>
      </c>
      <c r="C15" s="52"/>
      <c r="D15" s="51" t="s">
        <v>228</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row>
    <row r="16" spans="2:34" s="18" customFormat="1" x14ac:dyDescent="0.55000000000000004">
      <c r="B16" s="53"/>
      <c r="C16" s="54"/>
      <c r="D16" s="51" t="s">
        <v>134</v>
      </c>
      <c r="F16" s="51"/>
      <c r="G16" s="51"/>
      <c r="H16" s="51"/>
      <c r="I16" s="51"/>
      <c r="J16" s="51"/>
      <c r="K16" s="55"/>
      <c r="L16" s="51"/>
      <c r="M16" s="51"/>
      <c r="N16" s="55"/>
      <c r="O16" s="55"/>
      <c r="P16" s="55"/>
      <c r="Q16" s="55"/>
      <c r="R16" s="55"/>
      <c r="S16" s="55"/>
      <c r="T16" s="55"/>
      <c r="U16" s="55"/>
      <c r="V16" s="55"/>
      <c r="W16" s="55"/>
      <c r="X16" s="55"/>
      <c r="Y16" s="55"/>
      <c r="Z16" s="55"/>
      <c r="AA16" s="55"/>
      <c r="AB16" s="55"/>
      <c r="AC16" s="55"/>
      <c r="AD16" s="55"/>
      <c r="AE16" s="55"/>
      <c r="AF16" s="55"/>
      <c r="AG16" s="55"/>
      <c r="AH16" s="55"/>
    </row>
    <row r="17" spans="2:67" s="18" customFormat="1" x14ac:dyDescent="0.55000000000000004">
      <c r="B17" s="53"/>
      <c r="C17" s="56"/>
      <c r="D17" s="51" t="s">
        <v>338</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2:67" s="18" customFormat="1" x14ac:dyDescent="0.55000000000000004">
      <c r="B18" s="53"/>
      <c r="C18" s="53"/>
      <c r="D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2:67" s="18" customFormat="1" x14ac:dyDescent="0.55000000000000004">
      <c r="C19" s="53"/>
      <c r="F19" s="51"/>
      <c r="G19" s="51"/>
      <c r="H19" s="51"/>
      <c r="I19" s="51"/>
      <c r="J19" s="51"/>
      <c r="K19" s="51"/>
      <c r="L19" s="51"/>
      <c r="M19" s="51"/>
      <c r="N19" s="51"/>
      <c r="O19" s="51"/>
      <c r="P19" s="51"/>
      <c r="Q19" s="51"/>
      <c r="R19" s="51"/>
      <c r="S19" s="51"/>
      <c r="T19" s="51"/>
      <c r="U19" s="51"/>
      <c r="V19" s="51"/>
      <c r="W19" s="51"/>
      <c r="X19" s="51"/>
      <c r="Y19" s="53"/>
      <c r="Z19" s="51"/>
      <c r="AA19" s="51"/>
      <c r="AB19" s="51"/>
      <c r="AC19" s="51"/>
      <c r="AD19" s="51"/>
      <c r="AE19" s="51"/>
      <c r="AF19" s="51"/>
      <c r="AG19" s="51"/>
      <c r="AH19" s="51"/>
    </row>
    <row r="20" spans="2:67" ht="24.75" customHeight="1" x14ac:dyDescent="0.55000000000000004">
      <c r="AI20" s="105"/>
    </row>
    <row r="21" spans="2:67" ht="49.5" customHeight="1" x14ac:dyDescent="0.55000000000000004">
      <c r="B21" s="90" t="s">
        <v>204</v>
      </c>
      <c r="C21" s="90"/>
      <c r="D21" s="90"/>
      <c r="E21" s="90"/>
      <c r="F21" s="90"/>
      <c r="G21" s="213" t="s">
        <v>251</v>
      </c>
      <c r="H21" s="214"/>
      <c r="I21" s="210"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必要換気量に係る要件を満たしていないため、申請できません。</v>
      </c>
      <c r="J21" s="211"/>
      <c r="K21" s="211"/>
      <c r="L21" s="211"/>
      <c r="M21" s="211"/>
      <c r="N21" s="211"/>
      <c r="O21" s="211"/>
      <c r="P21" s="211"/>
      <c r="Q21" s="212"/>
    </row>
    <row r="22" spans="2:67" ht="24.75" customHeight="1" x14ac:dyDescent="0.6">
      <c r="B22" s="89"/>
      <c r="C22" s="89"/>
      <c r="D22" s="89"/>
      <c r="E22" s="89"/>
      <c r="F22" s="89"/>
      <c r="G22" s="89"/>
      <c r="H22" s="89"/>
      <c r="I22" s="89"/>
      <c r="J22" s="89"/>
      <c r="K22" s="89"/>
      <c r="L22" s="89"/>
      <c r="M22" s="89"/>
      <c r="N22" s="102"/>
      <c r="O22" s="125"/>
      <c r="P22" s="125"/>
      <c r="Q22" s="125"/>
      <c r="R22" s="125"/>
      <c r="S22" s="125"/>
      <c r="T22" s="125"/>
      <c r="U22" s="125"/>
      <c r="V22" s="125"/>
      <c r="W22" s="125"/>
      <c r="X22" s="125"/>
      <c r="Y22" s="125"/>
      <c r="Z22" s="125"/>
      <c r="AA22" s="125"/>
      <c r="AB22" s="125"/>
      <c r="AC22" s="125"/>
      <c r="AD22" s="125"/>
      <c r="AE22" s="125"/>
      <c r="AF22" s="125"/>
      <c r="AG22" s="125"/>
      <c r="AH22" s="125"/>
    </row>
    <row r="23" spans="2:67" ht="42" customHeight="1" x14ac:dyDescent="0.55000000000000004">
      <c r="B23" s="208" t="s">
        <v>136</v>
      </c>
      <c r="C23" s="208"/>
      <c r="D23" s="208"/>
      <c r="E23" s="124" t="s">
        <v>308</v>
      </c>
      <c r="F23" s="124" t="s">
        <v>309</v>
      </c>
      <c r="G23" s="124" t="s">
        <v>310</v>
      </c>
      <c r="H23" s="124" t="s">
        <v>311</v>
      </c>
      <c r="I23" s="124" t="s">
        <v>312</v>
      </c>
      <c r="J23" s="124" t="s">
        <v>313</v>
      </c>
      <c r="K23" s="124" t="s">
        <v>314</v>
      </c>
      <c r="L23" s="124" t="s">
        <v>315</v>
      </c>
      <c r="M23" s="124" t="s">
        <v>316</v>
      </c>
      <c r="N23" s="124" t="s">
        <v>317</v>
      </c>
      <c r="O23" s="124" t="s">
        <v>318</v>
      </c>
      <c r="P23" s="124" t="s">
        <v>319</v>
      </c>
      <c r="Q23" s="124" t="s">
        <v>320</v>
      </c>
      <c r="R23" s="124" t="s">
        <v>321</v>
      </c>
      <c r="S23" s="124" t="s">
        <v>322</v>
      </c>
      <c r="T23" s="124" t="s">
        <v>323</v>
      </c>
      <c r="U23" s="124" t="s">
        <v>324</v>
      </c>
      <c r="V23" s="124" t="s">
        <v>325</v>
      </c>
      <c r="W23" s="124" t="s">
        <v>326</v>
      </c>
      <c r="X23" s="124" t="s">
        <v>327</v>
      </c>
      <c r="Y23" s="124" t="s">
        <v>328</v>
      </c>
      <c r="Z23" s="124" t="s">
        <v>329</v>
      </c>
      <c r="AA23" s="124" t="s">
        <v>330</v>
      </c>
      <c r="AB23" s="124" t="s">
        <v>331</v>
      </c>
      <c r="AC23" s="124" t="s">
        <v>332</v>
      </c>
      <c r="AD23" s="124" t="s">
        <v>333</v>
      </c>
      <c r="AE23" s="124" t="s">
        <v>334</v>
      </c>
      <c r="AF23" s="124" t="s">
        <v>335</v>
      </c>
      <c r="AG23" s="124" t="s">
        <v>336</v>
      </c>
      <c r="AH23" s="124" t="s">
        <v>337</v>
      </c>
      <c r="AI23" s="124" t="s">
        <v>381</v>
      </c>
      <c r="AJ23" s="124" t="s">
        <v>382</v>
      </c>
      <c r="AK23" s="124" t="s">
        <v>383</v>
      </c>
      <c r="AL23" s="124" t="s">
        <v>384</v>
      </c>
      <c r="AM23" s="124" t="s">
        <v>385</v>
      </c>
      <c r="AN23" s="124" t="s">
        <v>386</v>
      </c>
      <c r="AO23" s="124" t="s">
        <v>387</v>
      </c>
      <c r="AP23" s="124" t="s">
        <v>388</v>
      </c>
      <c r="AQ23" s="124" t="s">
        <v>389</v>
      </c>
      <c r="AR23" s="124" t="s">
        <v>390</v>
      </c>
      <c r="AS23" s="124" t="s">
        <v>391</v>
      </c>
      <c r="AT23" s="124" t="s">
        <v>392</v>
      </c>
      <c r="AU23" s="124" t="s">
        <v>393</v>
      </c>
      <c r="AV23" s="124" t="s">
        <v>394</v>
      </c>
      <c r="AW23" s="124" t="s">
        <v>395</v>
      </c>
      <c r="AX23" s="124" t="s">
        <v>396</v>
      </c>
      <c r="AY23" s="124" t="s">
        <v>397</v>
      </c>
      <c r="AZ23" s="124" t="s">
        <v>398</v>
      </c>
      <c r="BA23" s="124" t="s">
        <v>399</v>
      </c>
      <c r="BB23" s="124" t="s">
        <v>400</v>
      </c>
      <c r="BC23" s="124" t="s">
        <v>416</v>
      </c>
      <c r="BD23" s="124" t="s">
        <v>417</v>
      </c>
      <c r="BE23" s="124" t="s">
        <v>418</v>
      </c>
      <c r="BF23" s="124" t="s">
        <v>419</v>
      </c>
      <c r="BG23" s="124" t="s">
        <v>420</v>
      </c>
      <c r="BH23" s="124" t="s">
        <v>421</v>
      </c>
      <c r="BI23" s="124" t="s">
        <v>422</v>
      </c>
      <c r="BJ23" s="124" t="s">
        <v>423</v>
      </c>
      <c r="BK23" s="124" t="s">
        <v>424</v>
      </c>
      <c r="BL23" s="124" t="s">
        <v>425</v>
      </c>
      <c r="BO23" s="45"/>
    </row>
    <row r="24" spans="2:67" ht="58.5" customHeight="1" x14ac:dyDescent="0.55000000000000004">
      <c r="B24" s="208" t="s">
        <v>137</v>
      </c>
      <c r="C24" s="208"/>
      <c r="D24" s="208"/>
      <c r="E24" s="279" t="s">
        <v>98</v>
      </c>
      <c r="F24" s="279" t="s">
        <v>98</v>
      </c>
      <c r="G24" s="279" t="s">
        <v>98</v>
      </c>
      <c r="H24" s="279" t="s">
        <v>108</v>
      </c>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N24" s="108"/>
      <c r="BO24" s="45"/>
    </row>
    <row r="25" spans="2:67" ht="49.5" customHeight="1" x14ac:dyDescent="0.55000000000000004">
      <c r="B25" s="209" t="s">
        <v>141</v>
      </c>
      <c r="C25" s="209"/>
      <c r="D25" s="209"/>
      <c r="E25" s="281">
        <v>50.2</v>
      </c>
      <c r="F25" s="281">
        <v>50.2</v>
      </c>
      <c r="G25" s="281">
        <v>100</v>
      </c>
      <c r="H25" s="281">
        <v>120.5</v>
      </c>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O25" s="45"/>
    </row>
    <row r="26" spans="2:67" ht="49.5" customHeight="1" x14ac:dyDescent="0.55000000000000004">
      <c r="B26" s="209" t="s">
        <v>144</v>
      </c>
      <c r="C26" s="209"/>
      <c r="D26" s="209"/>
      <c r="E26" s="281">
        <v>2.5</v>
      </c>
      <c r="F26" s="281">
        <v>2.5</v>
      </c>
      <c r="G26" s="281">
        <v>2.5</v>
      </c>
      <c r="H26" s="281">
        <v>3.2</v>
      </c>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O26" s="45"/>
    </row>
    <row r="27" spans="2:67" ht="49.5" customHeight="1" x14ac:dyDescent="0.55000000000000004">
      <c r="B27" s="209" t="s">
        <v>184</v>
      </c>
      <c r="C27" s="209"/>
      <c r="D27" s="209"/>
      <c r="E27" s="283" t="s">
        <v>140</v>
      </c>
      <c r="F27" s="283" t="s">
        <v>143</v>
      </c>
      <c r="G27" s="283" t="s">
        <v>140</v>
      </c>
      <c r="H27" s="283" t="s">
        <v>143</v>
      </c>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N27" s="108"/>
      <c r="BO27" s="45"/>
    </row>
    <row r="28" spans="2:67" ht="49.5" customHeight="1" x14ac:dyDescent="0.55000000000000004">
      <c r="B28" s="215" t="s">
        <v>339</v>
      </c>
      <c r="C28" s="209" t="s">
        <v>147</v>
      </c>
      <c r="D28" s="209"/>
      <c r="E28" s="285">
        <v>15</v>
      </c>
      <c r="F28" s="285">
        <v>10</v>
      </c>
      <c r="G28" s="285">
        <v>20</v>
      </c>
      <c r="H28" s="285">
        <v>20</v>
      </c>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O28" s="45"/>
    </row>
    <row r="29" spans="2:67" ht="49.5" customHeight="1" x14ac:dyDescent="0.55000000000000004">
      <c r="B29" s="216"/>
      <c r="C29" s="209" t="s">
        <v>179</v>
      </c>
      <c r="D29" s="209"/>
      <c r="E29" s="285">
        <v>15</v>
      </c>
      <c r="F29" s="285">
        <v>10</v>
      </c>
      <c r="G29" s="285">
        <v>20</v>
      </c>
      <c r="H29" s="285">
        <v>20</v>
      </c>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O29" s="45"/>
    </row>
    <row r="30" spans="2:67" ht="49.5" customHeight="1" x14ac:dyDescent="0.55000000000000004">
      <c r="B30" s="215" t="s">
        <v>185</v>
      </c>
      <c r="C30" s="209" t="s">
        <v>147</v>
      </c>
      <c r="D30" s="209"/>
      <c r="E30" s="285">
        <v>500</v>
      </c>
      <c r="F30" s="285">
        <v>0</v>
      </c>
      <c r="G30" s="285">
        <v>1200</v>
      </c>
      <c r="H30" s="285">
        <v>0</v>
      </c>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O30" s="45"/>
    </row>
    <row r="31" spans="2:67" ht="49.5" customHeight="1" x14ac:dyDescent="0.55000000000000004">
      <c r="B31" s="216"/>
      <c r="C31" s="209" t="s">
        <v>179</v>
      </c>
      <c r="D31" s="209"/>
      <c r="E31" s="285">
        <v>1200</v>
      </c>
      <c r="F31" s="285">
        <v>600</v>
      </c>
      <c r="G31" s="285">
        <v>1000</v>
      </c>
      <c r="H31" s="285">
        <v>1000</v>
      </c>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O31" s="45"/>
    </row>
    <row r="32" spans="2:67" ht="49.5" customHeight="1" x14ac:dyDescent="0.55000000000000004">
      <c r="B32" s="215" t="s">
        <v>151</v>
      </c>
      <c r="C32" s="209" t="s">
        <v>147</v>
      </c>
      <c r="D32" s="209"/>
      <c r="E32" s="169">
        <f>IF(E40&lt;&gt;0,"",IF(E27="自然換気",0,IF(ISERROR(E30/E28),"入力確認",E30/E28)))</f>
        <v>33.333333333333336</v>
      </c>
      <c r="F32" s="169">
        <f t="shared" ref="F32:BL32" si="0">IF(F40&lt;&gt;0,"",IF(F27="自然換気",0,IF(ISERROR(F30/F28),"入力確認",F30/F28)))</f>
        <v>0</v>
      </c>
      <c r="G32" s="169">
        <f t="shared" si="0"/>
        <v>60</v>
      </c>
      <c r="H32" s="169">
        <f t="shared" si="0"/>
        <v>0</v>
      </c>
      <c r="I32" s="169" t="str">
        <f t="shared" si="0"/>
        <v/>
      </c>
      <c r="J32" s="169" t="str">
        <f t="shared" si="0"/>
        <v/>
      </c>
      <c r="K32" s="169" t="str">
        <f t="shared" si="0"/>
        <v/>
      </c>
      <c r="L32" s="169" t="str">
        <f t="shared" si="0"/>
        <v/>
      </c>
      <c r="M32" s="169" t="str">
        <f t="shared" si="0"/>
        <v/>
      </c>
      <c r="N32" s="169" t="str">
        <f t="shared" si="0"/>
        <v/>
      </c>
      <c r="O32" s="169" t="str">
        <f t="shared" si="0"/>
        <v/>
      </c>
      <c r="P32" s="169" t="str">
        <f t="shared" si="0"/>
        <v/>
      </c>
      <c r="Q32" s="169" t="str">
        <f t="shared" si="0"/>
        <v/>
      </c>
      <c r="R32" s="169" t="str">
        <f t="shared" si="0"/>
        <v/>
      </c>
      <c r="S32" s="169" t="str">
        <f t="shared" si="0"/>
        <v/>
      </c>
      <c r="T32" s="169" t="str">
        <f t="shared" si="0"/>
        <v/>
      </c>
      <c r="U32" s="169" t="str">
        <f t="shared" si="0"/>
        <v/>
      </c>
      <c r="V32" s="169" t="str">
        <f t="shared" si="0"/>
        <v/>
      </c>
      <c r="W32" s="169" t="str">
        <f t="shared" si="0"/>
        <v/>
      </c>
      <c r="X32" s="169" t="str">
        <f t="shared" si="0"/>
        <v/>
      </c>
      <c r="Y32" s="169" t="str">
        <f t="shared" si="0"/>
        <v/>
      </c>
      <c r="Z32" s="169" t="str">
        <f t="shared" si="0"/>
        <v/>
      </c>
      <c r="AA32" s="169" t="str">
        <f t="shared" si="0"/>
        <v/>
      </c>
      <c r="AB32" s="169" t="str">
        <f t="shared" si="0"/>
        <v/>
      </c>
      <c r="AC32" s="169" t="str">
        <f t="shared" si="0"/>
        <v/>
      </c>
      <c r="AD32" s="169" t="str">
        <f t="shared" si="0"/>
        <v/>
      </c>
      <c r="AE32" s="169" t="str">
        <f t="shared" si="0"/>
        <v/>
      </c>
      <c r="AF32" s="169" t="str">
        <f t="shared" si="0"/>
        <v/>
      </c>
      <c r="AG32" s="169" t="str">
        <f t="shared" si="0"/>
        <v/>
      </c>
      <c r="AH32" s="169" t="str">
        <f t="shared" si="0"/>
        <v/>
      </c>
      <c r="AI32" s="169" t="str">
        <f t="shared" si="0"/>
        <v/>
      </c>
      <c r="AJ32" s="169" t="str">
        <f t="shared" si="0"/>
        <v/>
      </c>
      <c r="AK32" s="169" t="str">
        <f t="shared" si="0"/>
        <v/>
      </c>
      <c r="AL32" s="169" t="str">
        <f t="shared" si="0"/>
        <v/>
      </c>
      <c r="AM32" s="169" t="str">
        <f t="shared" si="0"/>
        <v/>
      </c>
      <c r="AN32" s="169" t="str">
        <f t="shared" si="0"/>
        <v/>
      </c>
      <c r="AO32" s="169" t="str">
        <f t="shared" si="0"/>
        <v/>
      </c>
      <c r="AP32" s="169" t="str">
        <f t="shared" si="0"/>
        <v/>
      </c>
      <c r="AQ32" s="169" t="str">
        <f t="shared" si="0"/>
        <v/>
      </c>
      <c r="AR32" s="169" t="str">
        <f t="shared" si="0"/>
        <v/>
      </c>
      <c r="AS32" s="169" t="str">
        <f t="shared" si="0"/>
        <v/>
      </c>
      <c r="AT32" s="169" t="str">
        <f t="shared" si="0"/>
        <v/>
      </c>
      <c r="AU32" s="169" t="str">
        <f t="shared" si="0"/>
        <v/>
      </c>
      <c r="AV32" s="169" t="str">
        <f t="shared" si="0"/>
        <v/>
      </c>
      <c r="AW32" s="169" t="str">
        <f t="shared" si="0"/>
        <v/>
      </c>
      <c r="AX32" s="169" t="str">
        <f t="shared" si="0"/>
        <v/>
      </c>
      <c r="AY32" s="169" t="str">
        <f t="shared" si="0"/>
        <v/>
      </c>
      <c r="AZ32" s="169" t="str">
        <f t="shared" si="0"/>
        <v/>
      </c>
      <c r="BA32" s="169" t="str">
        <f t="shared" si="0"/>
        <v/>
      </c>
      <c r="BB32" s="169" t="str">
        <f t="shared" si="0"/>
        <v/>
      </c>
      <c r="BC32" s="169" t="str">
        <f t="shared" si="0"/>
        <v/>
      </c>
      <c r="BD32" s="169" t="str">
        <f t="shared" si="0"/>
        <v/>
      </c>
      <c r="BE32" s="169" t="str">
        <f t="shared" si="0"/>
        <v/>
      </c>
      <c r="BF32" s="169" t="str">
        <f t="shared" si="0"/>
        <v/>
      </c>
      <c r="BG32" s="169" t="str">
        <f t="shared" si="0"/>
        <v/>
      </c>
      <c r="BH32" s="169" t="str">
        <f t="shared" si="0"/>
        <v/>
      </c>
      <c r="BI32" s="169" t="str">
        <f t="shared" si="0"/>
        <v/>
      </c>
      <c r="BJ32" s="169" t="str">
        <f t="shared" si="0"/>
        <v/>
      </c>
      <c r="BK32" s="169" t="str">
        <f t="shared" si="0"/>
        <v/>
      </c>
      <c r="BL32" s="169" t="str">
        <f t="shared" si="0"/>
        <v/>
      </c>
      <c r="BO32" s="45"/>
    </row>
    <row r="33" spans="2:67" ht="49.5" customHeight="1" x14ac:dyDescent="0.55000000000000004">
      <c r="B33" s="216"/>
      <c r="C33" s="209" t="s">
        <v>179</v>
      </c>
      <c r="D33" s="209"/>
      <c r="E33" s="169">
        <f>IF(E40&lt;&gt;0,"",IF(ISERROR(E31/E29),"入力確認",E31/E29))</f>
        <v>80</v>
      </c>
      <c r="F33" s="169">
        <f t="shared" ref="F33:BL33" si="1">IF(F40&lt;&gt;0,"",IF(ISERROR(F31/F29),"入力確認",F31/F29))</f>
        <v>60</v>
      </c>
      <c r="G33" s="169">
        <f t="shared" si="1"/>
        <v>50</v>
      </c>
      <c r="H33" s="169">
        <f t="shared" si="1"/>
        <v>50</v>
      </c>
      <c r="I33" s="169" t="str">
        <f t="shared" si="1"/>
        <v/>
      </c>
      <c r="J33" s="169" t="str">
        <f t="shared" si="1"/>
        <v/>
      </c>
      <c r="K33" s="169" t="str">
        <f t="shared" si="1"/>
        <v/>
      </c>
      <c r="L33" s="169" t="str">
        <f t="shared" si="1"/>
        <v/>
      </c>
      <c r="M33" s="169" t="str">
        <f>IF(M40&lt;&gt;0,"",IF(ISERROR(M31/M29),"入力確認",M31/M29))</f>
        <v/>
      </c>
      <c r="N33" s="169" t="str">
        <f t="shared" si="1"/>
        <v/>
      </c>
      <c r="O33" s="169" t="str">
        <f t="shared" si="1"/>
        <v/>
      </c>
      <c r="P33" s="169" t="str">
        <f t="shared" si="1"/>
        <v/>
      </c>
      <c r="Q33" s="169" t="str">
        <f t="shared" si="1"/>
        <v/>
      </c>
      <c r="R33" s="169" t="str">
        <f t="shared" si="1"/>
        <v/>
      </c>
      <c r="S33" s="169" t="str">
        <f t="shared" si="1"/>
        <v/>
      </c>
      <c r="T33" s="169" t="str">
        <f t="shared" si="1"/>
        <v/>
      </c>
      <c r="U33" s="169" t="str">
        <f t="shared" si="1"/>
        <v/>
      </c>
      <c r="V33" s="169" t="str">
        <f t="shared" si="1"/>
        <v/>
      </c>
      <c r="W33" s="169" t="str">
        <f t="shared" si="1"/>
        <v/>
      </c>
      <c r="X33" s="169" t="str">
        <f t="shared" si="1"/>
        <v/>
      </c>
      <c r="Y33" s="169" t="str">
        <f t="shared" si="1"/>
        <v/>
      </c>
      <c r="Z33" s="169" t="str">
        <f t="shared" si="1"/>
        <v/>
      </c>
      <c r="AA33" s="169" t="str">
        <f t="shared" si="1"/>
        <v/>
      </c>
      <c r="AB33" s="169" t="str">
        <f t="shared" si="1"/>
        <v/>
      </c>
      <c r="AC33" s="169" t="str">
        <f t="shared" si="1"/>
        <v/>
      </c>
      <c r="AD33" s="169" t="str">
        <f t="shared" si="1"/>
        <v/>
      </c>
      <c r="AE33" s="169" t="str">
        <f t="shared" si="1"/>
        <v/>
      </c>
      <c r="AF33" s="169" t="str">
        <f t="shared" si="1"/>
        <v/>
      </c>
      <c r="AG33" s="169" t="str">
        <f t="shared" si="1"/>
        <v/>
      </c>
      <c r="AH33" s="169" t="str">
        <f t="shared" si="1"/>
        <v/>
      </c>
      <c r="AI33" s="169" t="str">
        <f t="shared" si="1"/>
        <v/>
      </c>
      <c r="AJ33" s="169" t="str">
        <f t="shared" si="1"/>
        <v/>
      </c>
      <c r="AK33" s="169" t="str">
        <f t="shared" si="1"/>
        <v/>
      </c>
      <c r="AL33" s="169" t="str">
        <f t="shared" si="1"/>
        <v/>
      </c>
      <c r="AM33" s="169" t="str">
        <f t="shared" si="1"/>
        <v/>
      </c>
      <c r="AN33" s="169" t="str">
        <f t="shared" si="1"/>
        <v/>
      </c>
      <c r="AO33" s="169" t="str">
        <f t="shared" si="1"/>
        <v/>
      </c>
      <c r="AP33" s="169" t="str">
        <f t="shared" si="1"/>
        <v/>
      </c>
      <c r="AQ33" s="169" t="str">
        <f t="shared" si="1"/>
        <v/>
      </c>
      <c r="AR33" s="169" t="str">
        <f t="shared" si="1"/>
        <v/>
      </c>
      <c r="AS33" s="169" t="str">
        <f t="shared" si="1"/>
        <v/>
      </c>
      <c r="AT33" s="169" t="str">
        <f t="shared" si="1"/>
        <v/>
      </c>
      <c r="AU33" s="169" t="str">
        <f t="shared" si="1"/>
        <v/>
      </c>
      <c r="AV33" s="169" t="str">
        <f t="shared" si="1"/>
        <v/>
      </c>
      <c r="AW33" s="169" t="str">
        <f t="shared" si="1"/>
        <v/>
      </c>
      <c r="AX33" s="169" t="str">
        <f t="shared" si="1"/>
        <v/>
      </c>
      <c r="AY33" s="169" t="str">
        <f t="shared" si="1"/>
        <v/>
      </c>
      <c r="AZ33" s="169" t="str">
        <f t="shared" si="1"/>
        <v/>
      </c>
      <c r="BA33" s="169" t="str">
        <f t="shared" si="1"/>
        <v/>
      </c>
      <c r="BB33" s="169" t="str">
        <f t="shared" si="1"/>
        <v/>
      </c>
      <c r="BC33" s="169" t="str">
        <f t="shared" si="1"/>
        <v/>
      </c>
      <c r="BD33" s="169" t="str">
        <f t="shared" si="1"/>
        <v/>
      </c>
      <c r="BE33" s="169" t="str">
        <f t="shared" si="1"/>
        <v/>
      </c>
      <c r="BF33" s="169" t="str">
        <f t="shared" si="1"/>
        <v/>
      </c>
      <c r="BG33" s="169" t="str">
        <f t="shared" si="1"/>
        <v/>
      </c>
      <c r="BH33" s="169" t="str">
        <f t="shared" si="1"/>
        <v/>
      </c>
      <c r="BI33" s="169" t="str">
        <f t="shared" si="1"/>
        <v/>
      </c>
      <c r="BJ33" s="169" t="str">
        <f t="shared" si="1"/>
        <v/>
      </c>
      <c r="BK33" s="169" t="str">
        <f t="shared" si="1"/>
        <v/>
      </c>
      <c r="BL33" s="169" t="str">
        <f t="shared" si="1"/>
        <v/>
      </c>
      <c r="BO33" s="45"/>
    </row>
    <row r="34" spans="2:67" ht="49.5" customHeight="1" x14ac:dyDescent="0.55000000000000004">
      <c r="B34" s="205" t="s">
        <v>221</v>
      </c>
      <c r="C34" s="206"/>
      <c r="D34" s="207"/>
      <c r="E34" s="91" t="str">
        <f>IF(E40&lt;&gt;0,"",IF((E31-E30)&lt;0,"不適合","適合"))</f>
        <v>適合</v>
      </c>
      <c r="F34" s="91" t="str">
        <f t="shared" ref="F34:BL34" si="2">IF(F40&lt;&gt;0,"",IF((F31-F30)&lt;0,"不適合","適合"))</f>
        <v>適合</v>
      </c>
      <c r="G34" s="91" t="str">
        <f t="shared" si="2"/>
        <v>不適合</v>
      </c>
      <c r="H34" s="91" t="str">
        <f t="shared" si="2"/>
        <v>適合</v>
      </c>
      <c r="I34" s="91" t="str">
        <f t="shared" si="2"/>
        <v/>
      </c>
      <c r="J34" s="91" t="str">
        <f t="shared" si="2"/>
        <v/>
      </c>
      <c r="K34" s="91" t="str">
        <f t="shared" si="2"/>
        <v/>
      </c>
      <c r="L34" s="91" t="str">
        <f t="shared" si="2"/>
        <v/>
      </c>
      <c r="M34" s="91" t="str">
        <f t="shared" si="2"/>
        <v/>
      </c>
      <c r="N34" s="91" t="str">
        <f t="shared" si="2"/>
        <v/>
      </c>
      <c r="O34" s="91" t="str">
        <f t="shared" si="2"/>
        <v/>
      </c>
      <c r="P34" s="91" t="str">
        <f t="shared" si="2"/>
        <v/>
      </c>
      <c r="Q34" s="91" t="str">
        <f t="shared" si="2"/>
        <v/>
      </c>
      <c r="R34" s="91" t="str">
        <f t="shared" si="2"/>
        <v/>
      </c>
      <c r="S34" s="91" t="str">
        <f t="shared" si="2"/>
        <v/>
      </c>
      <c r="T34" s="91" t="str">
        <f t="shared" si="2"/>
        <v/>
      </c>
      <c r="U34" s="91" t="str">
        <f t="shared" si="2"/>
        <v/>
      </c>
      <c r="V34" s="91" t="str">
        <f t="shared" si="2"/>
        <v/>
      </c>
      <c r="W34" s="91" t="str">
        <f t="shared" si="2"/>
        <v/>
      </c>
      <c r="X34" s="91" t="str">
        <f t="shared" si="2"/>
        <v/>
      </c>
      <c r="Y34" s="91" t="str">
        <f t="shared" si="2"/>
        <v/>
      </c>
      <c r="Z34" s="91" t="str">
        <f t="shared" si="2"/>
        <v/>
      </c>
      <c r="AA34" s="91" t="str">
        <f t="shared" si="2"/>
        <v/>
      </c>
      <c r="AB34" s="91" t="str">
        <f t="shared" si="2"/>
        <v/>
      </c>
      <c r="AC34" s="91" t="str">
        <f t="shared" si="2"/>
        <v/>
      </c>
      <c r="AD34" s="91" t="str">
        <f t="shared" si="2"/>
        <v/>
      </c>
      <c r="AE34" s="91" t="str">
        <f t="shared" si="2"/>
        <v/>
      </c>
      <c r="AF34" s="91" t="str">
        <f t="shared" si="2"/>
        <v/>
      </c>
      <c r="AG34" s="91" t="str">
        <f t="shared" si="2"/>
        <v/>
      </c>
      <c r="AH34" s="91" t="str">
        <f t="shared" si="2"/>
        <v/>
      </c>
      <c r="AI34" s="91" t="str">
        <f t="shared" si="2"/>
        <v/>
      </c>
      <c r="AJ34" s="91" t="str">
        <f t="shared" si="2"/>
        <v/>
      </c>
      <c r="AK34" s="91" t="str">
        <f t="shared" si="2"/>
        <v/>
      </c>
      <c r="AL34" s="91" t="str">
        <f t="shared" si="2"/>
        <v/>
      </c>
      <c r="AM34" s="91" t="str">
        <f t="shared" si="2"/>
        <v/>
      </c>
      <c r="AN34" s="91" t="str">
        <f t="shared" si="2"/>
        <v/>
      </c>
      <c r="AO34" s="91" t="str">
        <f t="shared" si="2"/>
        <v/>
      </c>
      <c r="AP34" s="91" t="str">
        <f t="shared" si="2"/>
        <v/>
      </c>
      <c r="AQ34" s="91" t="str">
        <f t="shared" si="2"/>
        <v/>
      </c>
      <c r="AR34" s="91" t="str">
        <f t="shared" si="2"/>
        <v/>
      </c>
      <c r="AS34" s="91" t="str">
        <f t="shared" si="2"/>
        <v/>
      </c>
      <c r="AT34" s="91" t="str">
        <f t="shared" si="2"/>
        <v/>
      </c>
      <c r="AU34" s="91" t="str">
        <f t="shared" si="2"/>
        <v/>
      </c>
      <c r="AV34" s="91" t="str">
        <f t="shared" si="2"/>
        <v/>
      </c>
      <c r="AW34" s="91" t="str">
        <f t="shared" si="2"/>
        <v/>
      </c>
      <c r="AX34" s="91" t="str">
        <f t="shared" si="2"/>
        <v/>
      </c>
      <c r="AY34" s="91" t="str">
        <f t="shared" si="2"/>
        <v/>
      </c>
      <c r="AZ34" s="91" t="str">
        <f t="shared" si="2"/>
        <v/>
      </c>
      <c r="BA34" s="91" t="str">
        <f t="shared" si="2"/>
        <v/>
      </c>
      <c r="BB34" s="91" t="str">
        <f t="shared" si="2"/>
        <v/>
      </c>
      <c r="BC34" s="91" t="str">
        <f t="shared" si="2"/>
        <v/>
      </c>
      <c r="BD34" s="91" t="str">
        <f t="shared" si="2"/>
        <v/>
      </c>
      <c r="BE34" s="91" t="str">
        <f t="shared" si="2"/>
        <v/>
      </c>
      <c r="BF34" s="91" t="str">
        <f t="shared" si="2"/>
        <v/>
      </c>
      <c r="BG34" s="91" t="str">
        <f t="shared" si="2"/>
        <v/>
      </c>
      <c r="BH34" s="91" t="str">
        <f t="shared" si="2"/>
        <v/>
      </c>
      <c r="BI34" s="91" t="str">
        <f t="shared" si="2"/>
        <v/>
      </c>
      <c r="BJ34" s="91" t="str">
        <f t="shared" si="2"/>
        <v/>
      </c>
      <c r="BK34" s="91" t="str">
        <f t="shared" si="2"/>
        <v/>
      </c>
      <c r="BL34" s="91" t="str">
        <f t="shared" si="2"/>
        <v/>
      </c>
      <c r="BO34" s="45"/>
    </row>
    <row r="35" spans="2:67" ht="49.5" customHeight="1" x14ac:dyDescent="0.55000000000000004">
      <c r="B35" s="205" t="s">
        <v>222</v>
      </c>
      <c r="C35" s="206"/>
      <c r="D35" s="207"/>
      <c r="E35" s="91" t="str">
        <f>IF(E40&lt;&gt;0,"",IF(ISERROR(AND((E33-E32)&gt;=0,E33&gt;=30)),"不適合",IF(AND((E33-E32)&gt;=0,E33&gt;=30),"適合","不適合")))</f>
        <v>適合</v>
      </c>
      <c r="F35" s="91" t="str">
        <f t="shared" ref="F35:BL35" si="3">IF(F40&lt;&gt;0,"",IF(ISERROR(AND((F33-F32)&gt;=0,F33&gt;=30)),"不適合",IF(AND((F33-F32)&gt;=0,F33&gt;=30),"適合","不適合")))</f>
        <v>適合</v>
      </c>
      <c r="G35" s="91" t="str">
        <f t="shared" si="3"/>
        <v>不適合</v>
      </c>
      <c r="H35" s="91" t="str">
        <f t="shared" si="3"/>
        <v>適合</v>
      </c>
      <c r="I35" s="91" t="str">
        <f t="shared" si="3"/>
        <v/>
      </c>
      <c r="J35" s="91" t="str">
        <f t="shared" si="3"/>
        <v/>
      </c>
      <c r="K35" s="91" t="str">
        <f t="shared" si="3"/>
        <v/>
      </c>
      <c r="L35" s="91" t="str">
        <f t="shared" si="3"/>
        <v/>
      </c>
      <c r="M35" s="91" t="str">
        <f>IF(M40&lt;&gt;0,"",IF(ISERROR(AND((M33-M32)&gt;=0,M33&gt;=30)),"不適合",IF(AND((M33-M32)&gt;=0,M33&gt;=30),"適合","不適合")))</f>
        <v/>
      </c>
      <c r="N35" s="91" t="str">
        <f t="shared" si="3"/>
        <v/>
      </c>
      <c r="O35" s="91" t="str">
        <f t="shared" si="3"/>
        <v/>
      </c>
      <c r="P35" s="91" t="str">
        <f t="shared" si="3"/>
        <v/>
      </c>
      <c r="Q35" s="91" t="str">
        <f t="shared" si="3"/>
        <v/>
      </c>
      <c r="R35" s="91" t="str">
        <f t="shared" si="3"/>
        <v/>
      </c>
      <c r="S35" s="91" t="str">
        <f t="shared" si="3"/>
        <v/>
      </c>
      <c r="T35" s="91" t="str">
        <f t="shared" si="3"/>
        <v/>
      </c>
      <c r="U35" s="91" t="str">
        <f t="shared" si="3"/>
        <v/>
      </c>
      <c r="V35" s="91" t="str">
        <f t="shared" si="3"/>
        <v/>
      </c>
      <c r="W35" s="91" t="str">
        <f t="shared" si="3"/>
        <v/>
      </c>
      <c r="X35" s="91" t="str">
        <f t="shared" si="3"/>
        <v/>
      </c>
      <c r="Y35" s="91" t="str">
        <f t="shared" si="3"/>
        <v/>
      </c>
      <c r="Z35" s="91" t="str">
        <f t="shared" si="3"/>
        <v/>
      </c>
      <c r="AA35" s="91" t="str">
        <f t="shared" si="3"/>
        <v/>
      </c>
      <c r="AB35" s="91" t="str">
        <f t="shared" si="3"/>
        <v/>
      </c>
      <c r="AC35" s="91" t="str">
        <f t="shared" si="3"/>
        <v/>
      </c>
      <c r="AD35" s="91" t="str">
        <f t="shared" si="3"/>
        <v/>
      </c>
      <c r="AE35" s="91" t="str">
        <f t="shared" si="3"/>
        <v/>
      </c>
      <c r="AF35" s="91" t="str">
        <f t="shared" si="3"/>
        <v/>
      </c>
      <c r="AG35" s="91" t="str">
        <f t="shared" si="3"/>
        <v/>
      </c>
      <c r="AH35" s="91" t="str">
        <f t="shared" si="3"/>
        <v/>
      </c>
      <c r="AI35" s="91" t="str">
        <f t="shared" si="3"/>
        <v/>
      </c>
      <c r="AJ35" s="91" t="str">
        <f t="shared" si="3"/>
        <v/>
      </c>
      <c r="AK35" s="91" t="str">
        <f t="shared" si="3"/>
        <v/>
      </c>
      <c r="AL35" s="91" t="str">
        <f t="shared" si="3"/>
        <v/>
      </c>
      <c r="AM35" s="91" t="str">
        <f t="shared" si="3"/>
        <v/>
      </c>
      <c r="AN35" s="91" t="str">
        <f t="shared" si="3"/>
        <v/>
      </c>
      <c r="AO35" s="91" t="str">
        <f t="shared" si="3"/>
        <v/>
      </c>
      <c r="AP35" s="91" t="str">
        <f t="shared" si="3"/>
        <v/>
      </c>
      <c r="AQ35" s="91" t="str">
        <f t="shared" si="3"/>
        <v/>
      </c>
      <c r="AR35" s="91" t="str">
        <f t="shared" si="3"/>
        <v/>
      </c>
      <c r="AS35" s="91" t="str">
        <f t="shared" si="3"/>
        <v/>
      </c>
      <c r="AT35" s="91" t="str">
        <f t="shared" si="3"/>
        <v/>
      </c>
      <c r="AU35" s="91" t="str">
        <f t="shared" si="3"/>
        <v/>
      </c>
      <c r="AV35" s="91" t="str">
        <f t="shared" si="3"/>
        <v/>
      </c>
      <c r="AW35" s="91" t="str">
        <f t="shared" si="3"/>
        <v/>
      </c>
      <c r="AX35" s="91" t="str">
        <f t="shared" si="3"/>
        <v/>
      </c>
      <c r="AY35" s="91" t="str">
        <f t="shared" si="3"/>
        <v/>
      </c>
      <c r="AZ35" s="91" t="str">
        <f t="shared" si="3"/>
        <v/>
      </c>
      <c r="BA35" s="91" t="str">
        <f t="shared" si="3"/>
        <v/>
      </c>
      <c r="BB35" s="91" t="str">
        <f t="shared" si="3"/>
        <v/>
      </c>
      <c r="BC35" s="91" t="str">
        <f t="shared" si="3"/>
        <v/>
      </c>
      <c r="BD35" s="91" t="str">
        <f t="shared" si="3"/>
        <v/>
      </c>
      <c r="BE35" s="91" t="str">
        <f t="shared" si="3"/>
        <v/>
      </c>
      <c r="BF35" s="91" t="str">
        <f t="shared" si="3"/>
        <v/>
      </c>
      <c r="BG35" s="91" t="str">
        <f t="shared" si="3"/>
        <v/>
      </c>
      <c r="BH35" s="91" t="str">
        <f t="shared" si="3"/>
        <v/>
      </c>
      <c r="BI35" s="91" t="str">
        <f t="shared" si="3"/>
        <v/>
      </c>
      <c r="BJ35" s="91" t="str">
        <f t="shared" si="3"/>
        <v/>
      </c>
      <c r="BK35" s="91" t="str">
        <f t="shared" si="3"/>
        <v/>
      </c>
      <c r="BL35" s="91" t="str">
        <f t="shared" si="3"/>
        <v/>
      </c>
      <c r="BO35" s="45"/>
    </row>
    <row r="36" spans="2:67" ht="24.75" hidden="1" customHeight="1" x14ac:dyDescent="0.55000000000000004">
      <c r="B36" s="203" t="s">
        <v>471</v>
      </c>
      <c r="C36" s="203"/>
      <c r="D36" s="203"/>
      <c r="E36" s="167">
        <f t="shared" ref="E36:BL36" si="4">IF(E24="",0,1)</f>
        <v>1</v>
      </c>
      <c r="F36" s="167">
        <f t="shared" si="4"/>
        <v>1</v>
      </c>
      <c r="G36" s="167">
        <f t="shared" si="4"/>
        <v>1</v>
      </c>
      <c r="H36" s="167">
        <f t="shared" si="4"/>
        <v>1</v>
      </c>
      <c r="I36" s="167">
        <f t="shared" si="4"/>
        <v>0</v>
      </c>
      <c r="J36" s="167">
        <f t="shared" si="4"/>
        <v>0</v>
      </c>
      <c r="K36" s="167">
        <f t="shared" si="4"/>
        <v>0</v>
      </c>
      <c r="L36" s="167">
        <f t="shared" si="4"/>
        <v>0</v>
      </c>
      <c r="M36" s="167">
        <f t="shared" si="4"/>
        <v>0</v>
      </c>
      <c r="N36" s="167">
        <f t="shared" si="4"/>
        <v>0</v>
      </c>
      <c r="O36" s="167">
        <f t="shared" si="4"/>
        <v>0</v>
      </c>
      <c r="P36" s="167">
        <f t="shared" si="4"/>
        <v>0</v>
      </c>
      <c r="Q36" s="167">
        <f t="shared" si="4"/>
        <v>0</v>
      </c>
      <c r="R36" s="167">
        <f t="shared" si="4"/>
        <v>0</v>
      </c>
      <c r="S36" s="167">
        <f t="shared" si="4"/>
        <v>0</v>
      </c>
      <c r="T36" s="167">
        <f t="shared" si="4"/>
        <v>0</v>
      </c>
      <c r="U36" s="167">
        <f t="shared" si="4"/>
        <v>0</v>
      </c>
      <c r="V36" s="167">
        <f t="shared" si="4"/>
        <v>0</v>
      </c>
      <c r="W36" s="167">
        <f t="shared" si="4"/>
        <v>0</v>
      </c>
      <c r="X36" s="167">
        <f t="shared" si="4"/>
        <v>0</v>
      </c>
      <c r="Y36" s="167">
        <f t="shared" si="4"/>
        <v>0</v>
      </c>
      <c r="Z36" s="167">
        <f t="shared" si="4"/>
        <v>0</v>
      </c>
      <c r="AA36" s="167">
        <f t="shared" si="4"/>
        <v>0</v>
      </c>
      <c r="AB36" s="167">
        <f t="shared" si="4"/>
        <v>0</v>
      </c>
      <c r="AC36" s="167">
        <f t="shared" si="4"/>
        <v>0</v>
      </c>
      <c r="AD36" s="167">
        <f t="shared" si="4"/>
        <v>0</v>
      </c>
      <c r="AE36" s="167">
        <f t="shared" si="4"/>
        <v>0</v>
      </c>
      <c r="AF36" s="167">
        <f t="shared" si="4"/>
        <v>0</v>
      </c>
      <c r="AG36" s="167">
        <f t="shared" si="4"/>
        <v>0</v>
      </c>
      <c r="AH36" s="167">
        <f t="shared" si="4"/>
        <v>0</v>
      </c>
      <c r="AI36" s="167">
        <f t="shared" si="4"/>
        <v>0</v>
      </c>
      <c r="AJ36" s="167">
        <f t="shared" si="4"/>
        <v>0</v>
      </c>
      <c r="AK36" s="167">
        <f t="shared" si="4"/>
        <v>0</v>
      </c>
      <c r="AL36" s="167">
        <f t="shared" si="4"/>
        <v>0</v>
      </c>
      <c r="AM36" s="167">
        <f t="shared" si="4"/>
        <v>0</v>
      </c>
      <c r="AN36" s="167">
        <f t="shared" si="4"/>
        <v>0</v>
      </c>
      <c r="AO36" s="167">
        <f t="shared" si="4"/>
        <v>0</v>
      </c>
      <c r="AP36" s="167">
        <f t="shared" si="4"/>
        <v>0</v>
      </c>
      <c r="AQ36" s="167">
        <f t="shared" si="4"/>
        <v>0</v>
      </c>
      <c r="AR36" s="167">
        <f t="shared" si="4"/>
        <v>0</v>
      </c>
      <c r="AS36" s="167">
        <f t="shared" si="4"/>
        <v>0</v>
      </c>
      <c r="AT36" s="167">
        <f t="shared" si="4"/>
        <v>0</v>
      </c>
      <c r="AU36" s="167">
        <f t="shared" si="4"/>
        <v>0</v>
      </c>
      <c r="AV36" s="167">
        <f t="shared" si="4"/>
        <v>0</v>
      </c>
      <c r="AW36" s="167">
        <f t="shared" si="4"/>
        <v>0</v>
      </c>
      <c r="AX36" s="167">
        <f t="shared" si="4"/>
        <v>0</v>
      </c>
      <c r="AY36" s="167">
        <f t="shared" si="4"/>
        <v>0</v>
      </c>
      <c r="AZ36" s="167">
        <f t="shared" si="4"/>
        <v>0</v>
      </c>
      <c r="BA36" s="167">
        <f t="shared" si="4"/>
        <v>0</v>
      </c>
      <c r="BB36" s="167">
        <f t="shared" si="4"/>
        <v>0</v>
      </c>
      <c r="BC36" s="167">
        <f t="shared" si="4"/>
        <v>0</v>
      </c>
      <c r="BD36" s="167">
        <f t="shared" si="4"/>
        <v>0</v>
      </c>
      <c r="BE36" s="167">
        <f t="shared" si="4"/>
        <v>0</v>
      </c>
      <c r="BF36" s="167">
        <f t="shared" si="4"/>
        <v>0</v>
      </c>
      <c r="BG36" s="167">
        <f t="shared" si="4"/>
        <v>0</v>
      </c>
      <c r="BH36" s="167">
        <f t="shared" si="4"/>
        <v>0</v>
      </c>
      <c r="BI36" s="167">
        <f t="shared" si="4"/>
        <v>0</v>
      </c>
      <c r="BJ36" s="167">
        <f t="shared" si="4"/>
        <v>0</v>
      </c>
      <c r="BK36" s="167">
        <f t="shared" si="4"/>
        <v>0</v>
      </c>
      <c r="BL36" s="167">
        <f t="shared" si="4"/>
        <v>0</v>
      </c>
      <c r="BO36" s="45"/>
    </row>
    <row r="37" spans="2:67" ht="24.75" hidden="1" customHeight="1" x14ac:dyDescent="0.55000000000000004">
      <c r="B37" s="201" t="s">
        <v>476</v>
      </c>
      <c r="C37" s="201"/>
      <c r="D37" s="201"/>
      <c r="E37" s="167">
        <f>IF(OR(AND(E27="機械換気",E30&gt;0),AND(E27="自然換気",E30=0)),0,1)</f>
        <v>0</v>
      </c>
      <c r="F37" s="167">
        <f t="shared" ref="F37:BL37" si="5">IF(OR(AND(F27="機械換気",F30&gt;0),AND(F27="自然換気",F30=0)),0,1)</f>
        <v>0</v>
      </c>
      <c r="G37" s="167">
        <f t="shared" si="5"/>
        <v>0</v>
      </c>
      <c r="H37" s="167">
        <f t="shared" si="5"/>
        <v>0</v>
      </c>
      <c r="I37" s="167">
        <f t="shared" si="5"/>
        <v>1</v>
      </c>
      <c r="J37" s="167">
        <f t="shared" si="5"/>
        <v>1</v>
      </c>
      <c r="K37" s="167">
        <f t="shared" si="5"/>
        <v>1</v>
      </c>
      <c r="L37" s="167">
        <f t="shared" si="5"/>
        <v>1</v>
      </c>
      <c r="M37" s="167">
        <f t="shared" si="5"/>
        <v>1</v>
      </c>
      <c r="N37" s="167">
        <f t="shared" si="5"/>
        <v>1</v>
      </c>
      <c r="O37" s="167">
        <f t="shared" si="5"/>
        <v>1</v>
      </c>
      <c r="P37" s="167">
        <f t="shared" si="5"/>
        <v>1</v>
      </c>
      <c r="Q37" s="167">
        <f t="shared" si="5"/>
        <v>1</v>
      </c>
      <c r="R37" s="167">
        <f t="shared" si="5"/>
        <v>1</v>
      </c>
      <c r="S37" s="167">
        <f t="shared" si="5"/>
        <v>1</v>
      </c>
      <c r="T37" s="167">
        <f t="shared" si="5"/>
        <v>1</v>
      </c>
      <c r="U37" s="167">
        <f t="shared" si="5"/>
        <v>1</v>
      </c>
      <c r="V37" s="167">
        <f t="shared" si="5"/>
        <v>1</v>
      </c>
      <c r="W37" s="167">
        <f t="shared" si="5"/>
        <v>1</v>
      </c>
      <c r="X37" s="167">
        <f t="shared" si="5"/>
        <v>1</v>
      </c>
      <c r="Y37" s="167">
        <f t="shared" si="5"/>
        <v>1</v>
      </c>
      <c r="Z37" s="167">
        <f t="shared" si="5"/>
        <v>1</v>
      </c>
      <c r="AA37" s="167">
        <f t="shared" si="5"/>
        <v>1</v>
      </c>
      <c r="AB37" s="167">
        <f t="shared" si="5"/>
        <v>1</v>
      </c>
      <c r="AC37" s="167">
        <f t="shared" si="5"/>
        <v>1</v>
      </c>
      <c r="AD37" s="167">
        <f t="shared" si="5"/>
        <v>1</v>
      </c>
      <c r="AE37" s="167">
        <f t="shared" si="5"/>
        <v>1</v>
      </c>
      <c r="AF37" s="167">
        <f t="shared" si="5"/>
        <v>1</v>
      </c>
      <c r="AG37" s="167">
        <f t="shared" si="5"/>
        <v>1</v>
      </c>
      <c r="AH37" s="167">
        <f t="shared" si="5"/>
        <v>1</v>
      </c>
      <c r="AI37" s="167">
        <f t="shared" si="5"/>
        <v>1</v>
      </c>
      <c r="AJ37" s="167">
        <f t="shared" si="5"/>
        <v>1</v>
      </c>
      <c r="AK37" s="167">
        <f t="shared" si="5"/>
        <v>1</v>
      </c>
      <c r="AL37" s="167">
        <f t="shared" si="5"/>
        <v>1</v>
      </c>
      <c r="AM37" s="167">
        <f t="shared" si="5"/>
        <v>1</v>
      </c>
      <c r="AN37" s="167">
        <f t="shared" si="5"/>
        <v>1</v>
      </c>
      <c r="AO37" s="167">
        <f t="shared" si="5"/>
        <v>1</v>
      </c>
      <c r="AP37" s="167">
        <f t="shared" si="5"/>
        <v>1</v>
      </c>
      <c r="AQ37" s="167">
        <f t="shared" si="5"/>
        <v>1</v>
      </c>
      <c r="AR37" s="167">
        <f t="shared" si="5"/>
        <v>1</v>
      </c>
      <c r="AS37" s="167">
        <f t="shared" si="5"/>
        <v>1</v>
      </c>
      <c r="AT37" s="167">
        <f t="shared" si="5"/>
        <v>1</v>
      </c>
      <c r="AU37" s="167">
        <f t="shared" si="5"/>
        <v>1</v>
      </c>
      <c r="AV37" s="167">
        <f t="shared" si="5"/>
        <v>1</v>
      </c>
      <c r="AW37" s="167">
        <f t="shared" si="5"/>
        <v>1</v>
      </c>
      <c r="AX37" s="167">
        <f t="shared" si="5"/>
        <v>1</v>
      </c>
      <c r="AY37" s="167">
        <f t="shared" si="5"/>
        <v>1</v>
      </c>
      <c r="AZ37" s="167">
        <f t="shared" si="5"/>
        <v>1</v>
      </c>
      <c r="BA37" s="167">
        <f t="shared" si="5"/>
        <v>1</v>
      </c>
      <c r="BB37" s="167">
        <f t="shared" si="5"/>
        <v>1</v>
      </c>
      <c r="BC37" s="167">
        <f t="shared" si="5"/>
        <v>1</v>
      </c>
      <c r="BD37" s="167">
        <f t="shared" si="5"/>
        <v>1</v>
      </c>
      <c r="BE37" s="167">
        <f t="shared" si="5"/>
        <v>1</v>
      </c>
      <c r="BF37" s="167">
        <f t="shared" si="5"/>
        <v>1</v>
      </c>
      <c r="BG37" s="167">
        <f t="shared" si="5"/>
        <v>1</v>
      </c>
      <c r="BH37" s="167">
        <f t="shared" si="5"/>
        <v>1</v>
      </c>
      <c r="BI37" s="167">
        <f t="shared" si="5"/>
        <v>1</v>
      </c>
      <c r="BJ37" s="167">
        <f t="shared" si="5"/>
        <v>1</v>
      </c>
      <c r="BK37" s="167">
        <f t="shared" si="5"/>
        <v>1</v>
      </c>
      <c r="BL37" s="167">
        <f t="shared" si="5"/>
        <v>1</v>
      </c>
      <c r="BO37" s="45"/>
    </row>
    <row r="38" spans="2:67" s="108" customFormat="1" ht="24.75" hidden="1" customHeight="1" x14ac:dyDescent="0.55000000000000004">
      <c r="B38" s="202" t="s">
        <v>470</v>
      </c>
      <c r="C38" s="202"/>
      <c r="D38" s="202"/>
      <c r="E38" s="170">
        <f>IF(E34="適合",0,1)</f>
        <v>0</v>
      </c>
      <c r="F38" s="170">
        <f t="shared" ref="F38:BL39" si="6">IF(F34="適合",0,1)</f>
        <v>0</v>
      </c>
      <c r="G38" s="170">
        <f t="shared" si="6"/>
        <v>1</v>
      </c>
      <c r="H38" s="170">
        <f t="shared" si="6"/>
        <v>0</v>
      </c>
      <c r="I38" s="170">
        <f t="shared" si="6"/>
        <v>1</v>
      </c>
      <c r="J38" s="170">
        <f t="shared" si="6"/>
        <v>1</v>
      </c>
      <c r="K38" s="170">
        <f t="shared" si="6"/>
        <v>1</v>
      </c>
      <c r="L38" s="170">
        <f t="shared" si="6"/>
        <v>1</v>
      </c>
      <c r="M38" s="170">
        <f t="shared" si="6"/>
        <v>1</v>
      </c>
      <c r="N38" s="170">
        <f t="shared" si="6"/>
        <v>1</v>
      </c>
      <c r="O38" s="170">
        <f t="shared" si="6"/>
        <v>1</v>
      </c>
      <c r="P38" s="170">
        <f t="shared" si="6"/>
        <v>1</v>
      </c>
      <c r="Q38" s="170">
        <f t="shared" si="6"/>
        <v>1</v>
      </c>
      <c r="R38" s="170">
        <f t="shared" si="6"/>
        <v>1</v>
      </c>
      <c r="S38" s="170">
        <f t="shared" si="6"/>
        <v>1</v>
      </c>
      <c r="T38" s="170">
        <f t="shared" si="6"/>
        <v>1</v>
      </c>
      <c r="U38" s="170">
        <f t="shared" si="6"/>
        <v>1</v>
      </c>
      <c r="V38" s="170">
        <f t="shared" si="6"/>
        <v>1</v>
      </c>
      <c r="W38" s="170">
        <f t="shared" si="6"/>
        <v>1</v>
      </c>
      <c r="X38" s="170">
        <f t="shared" si="6"/>
        <v>1</v>
      </c>
      <c r="Y38" s="170">
        <f t="shared" si="6"/>
        <v>1</v>
      </c>
      <c r="Z38" s="170">
        <f t="shared" si="6"/>
        <v>1</v>
      </c>
      <c r="AA38" s="170">
        <f t="shared" si="6"/>
        <v>1</v>
      </c>
      <c r="AB38" s="170">
        <f t="shared" si="6"/>
        <v>1</v>
      </c>
      <c r="AC38" s="170">
        <f t="shared" si="6"/>
        <v>1</v>
      </c>
      <c r="AD38" s="170">
        <f t="shared" si="6"/>
        <v>1</v>
      </c>
      <c r="AE38" s="170">
        <f t="shared" si="6"/>
        <v>1</v>
      </c>
      <c r="AF38" s="170">
        <f t="shared" si="6"/>
        <v>1</v>
      </c>
      <c r="AG38" s="170">
        <f t="shared" si="6"/>
        <v>1</v>
      </c>
      <c r="AH38" s="170">
        <f t="shared" si="6"/>
        <v>1</v>
      </c>
      <c r="AI38" s="170">
        <f t="shared" si="6"/>
        <v>1</v>
      </c>
      <c r="AJ38" s="170">
        <f t="shared" si="6"/>
        <v>1</v>
      </c>
      <c r="AK38" s="170">
        <f t="shared" si="6"/>
        <v>1</v>
      </c>
      <c r="AL38" s="170">
        <f t="shared" si="6"/>
        <v>1</v>
      </c>
      <c r="AM38" s="170">
        <f t="shared" si="6"/>
        <v>1</v>
      </c>
      <c r="AN38" s="170">
        <f t="shared" si="6"/>
        <v>1</v>
      </c>
      <c r="AO38" s="170">
        <f t="shared" si="6"/>
        <v>1</v>
      </c>
      <c r="AP38" s="170">
        <f t="shared" si="6"/>
        <v>1</v>
      </c>
      <c r="AQ38" s="170">
        <f t="shared" si="6"/>
        <v>1</v>
      </c>
      <c r="AR38" s="170">
        <f t="shared" si="6"/>
        <v>1</v>
      </c>
      <c r="AS38" s="170">
        <f t="shared" si="6"/>
        <v>1</v>
      </c>
      <c r="AT38" s="170">
        <f t="shared" si="6"/>
        <v>1</v>
      </c>
      <c r="AU38" s="170">
        <f t="shared" si="6"/>
        <v>1</v>
      </c>
      <c r="AV38" s="170">
        <f t="shared" si="6"/>
        <v>1</v>
      </c>
      <c r="AW38" s="170">
        <f t="shared" si="6"/>
        <v>1</v>
      </c>
      <c r="AX38" s="170">
        <f t="shared" si="6"/>
        <v>1</v>
      </c>
      <c r="AY38" s="170">
        <f t="shared" si="6"/>
        <v>1</v>
      </c>
      <c r="AZ38" s="170">
        <f t="shared" si="6"/>
        <v>1</v>
      </c>
      <c r="BA38" s="170">
        <f t="shared" si="6"/>
        <v>1</v>
      </c>
      <c r="BB38" s="170">
        <f t="shared" si="6"/>
        <v>1</v>
      </c>
      <c r="BC38" s="170">
        <f t="shared" si="6"/>
        <v>1</v>
      </c>
      <c r="BD38" s="170">
        <f t="shared" si="6"/>
        <v>1</v>
      </c>
      <c r="BE38" s="170">
        <f t="shared" si="6"/>
        <v>1</v>
      </c>
      <c r="BF38" s="170">
        <f t="shared" si="6"/>
        <v>1</v>
      </c>
      <c r="BG38" s="170">
        <f t="shared" si="6"/>
        <v>1</v>
      </c>
      <c r="BH38" s="170">
        <f t="shared" si="6"/>
        <v>1</v>
      </c>
      <c r="BI38" s="170">
        <f t="shared" si="6"/>
        <v>1</v>
      </c>
      <c r="BJ38" s="170">
        <f t="shared" si="6"/>
        <v>1</v>
      </c>
      <c r="BK38" s="170">
        <f t="shared" si="6"/>
        <v>1</v>
      </c>
      <c r="BL38" s="170">
        <f t="shared" si="6"/>
        <v>1</v>
      </c>
      <c r="BO38" s="135"/>
    </row>
    <row r="39" spans="2:67" ht="24.75" hidden="1" customHeight="1" x14ac:dyDescent="0.55000000000000004">
      <c r="B39" s="201" t="s">
        <v>469</v>
      </c>
      <c r="C39" s="201"/>
      <c r="D39" s="201"/>
      <c r="E39" s="167">
        <f>IF(E35="適合",0,1)</f>
        <v>0</v>
      </c>
      <c r="F39" s="167">
        <f t="shared" si="6"/>
        <v>0</v>
      </c>
      <c r="G39" s="167">
        <f t="shared" si="6"/>
        <v>1</v>
      </c>
      <c r="H39" s="167">
        <f t="shared" si="6"/>
        <v>0</v>
      </c>
      <c r="I39" s="167">
        <f t="shared" si="6"/>
        <v>1</v>
      </c>
      <c r="J39" s="167">
        <f t="shared" si="6"/>
        <v>1</v>
      </c>
      <c r="K39" s="167">
        <f t="shared" si="6"/>
        <v>1</v>
      </c>
      <c r="L39" s="167">
        <f t="shared" si="6"/>
        <v>1</v>
      </c>
      <c r="M39" s="167">
        <f t="shared" si="6"/>
        <v>1</v>
      </c>
      <c r="N39" s="167">
        <f t="shared" si="6"/>
        <v>1</v>
      </c>
      <c r="O39" s="167">
        <f t="shared" si="6"/>
        <v>1</v>
      </c>
      <c r="P39" s="167">
        <f t="shared" si="6"/>
        <v>1</v>
      </c>
      <c r="Q39" s="167">
        <f t="shared" si="6"/>
        <v>1</v>
      </c>
      <c r="R39" s="167">
        <f t="shared" si="6"/>
        <v>1</v>
      </c>
      <c r="S39" s="167">
        <f t="shared" si="6"/>
        <v>1</v>
      </c>
      <c r="T39" s="167">
        <f t="shared" si="6"/>
        <v>1</v>
      </c>
      <c r="U39" s="167">
        <f t="shared" si="6"/>
        <v>1</v>
      </c>
      <c r="V39" s="167">
        <f t="shared" si="6"/>
        <v>1</v>
      </c>
      <c r="W39" s="167">
        <f t="shared" si="6"/>
        <v>1</v>
      </c>
      <c r="X39" s="167">
        <f t="shared" si="6"/>
        <v>1</v>
      </c>
      <c r="Y39" s="167">
        <f t="shared" si="6"/>
        <v>1</v>
      </c>
      <c r="Z39" s="167">
        <f t="shared" si="6"/>
        <v>1</v>
      </c>
      <c r="AA39" s="167">
        <f t="shared" si="6"/>
        <v>1</v>
      </c>
      <c r="AB39" s="167">
        <f t="shared" si="6"/>
        <v>1</v>
      </c>
      <c r="AC39" s="167">
        <f t="shared" si="6"/>
        <v>1</v>
      </c>
      <c r="AD39" s="167">
        <f t="shared" si="6"/>
        <v>1</v>
      </c>
      <c r="AE39" s="167">
        <f t="shared" si="6"/>
        <v>1</v>
      </c>
      <c r="AF39" s="167">
        <f t="shared" si="6"/>
        <v>1</v>
      </c>
      <c r="AG39" s="167">
        <f t="shared" si="6"/>
        <v>1</v>
      </c>
      <c r="AH39" s="167">
        <f t="shared" si="6"/>
        <v>1</v>
      </c>
      <c r="AI39" s="167">
        <f t="shared" si="6"/>
        <v>1</v>
      </c>
      <c r="AJ39" s="167">
        <f t="shared" si="6"/>
        <v>1</v>
      </c>
      <c r="AK39" s="167">
        <f t="shared" si="6"/>
        <v>1</v>
      </c>
      <c r="AL39" s="167">
        <f t="shared" si="6"/>
        <v>1</v>
      </c>
      <c r="AM39" s="167">
        <f t="shared" si="6"/>
        <v>1</v>
      </c>
      <c r="AN39" s="167">
        <f t="shared" si="6"/>
        <v>1</v>
      </c>
      <c r="AO39" s="167">
        <f t="shared" si="6"/>
        <v>1</v>
      </c>
      <c r="AP39" s="167">
        <f t="shared" si="6"/>
        <v>1</v>
      </c>
      <c r="AQ39" s="167">
        <f t="shared" si="6"/>
        <v>1</v>
      </c>
      <c r="AR39" s="167">
        <f t="shared" si="6"/>
        <v>1</v>
      </c>
      <c r="AS39" s="167">
        <f t="shared" si="6"/>
        <v>1</v>
      </c>
      <c r="AT39" s="167">
        <f t="shared" si="6"/>
        <v>1</v>
      </c>
      <c r="AU39" s="167">
        <f t="shared" si="6"/>
        <v>1</v>
      </c>
      <c r="AV39" s="167">
        <f t="shared" si="6"/>
        <v>1</v>
      </c>
      <c r="AW39" s="167">
        <f t="shared" si="6"/>
        <v>1</v>
      </c>
      <c r="AX39" s="167">
        <f t="shared" si="6"/>
        <v>1</v>
      </c>
      <c r="AY39" s="167">
        <f t="shared" si="6"/>
        <v>1</v>
      </c>
      <c r="AZ39" s="167">
        <f t="shared" si="6"/>
        <v>1</v>
      </c>
      <c r="BA39" s="167">
        <f t="shared" si="6"/>
        <v>1</v>
      </c>
      <c r="BB39" s="167">
        <f t="shared" si="6"/>
        <v>1</v>
      </c>
      <c r="BC39" s="167">
        <f t="shared" si="6"/>
        <v>1</v>
      </c>
      <c r="BD39" s="167">
        <f t="shared" si="6"/>
        <v>1</v>
      </c>
      <c r="BE39" s="167">
        <f t="shared" si="6"/>
        <v>1</v>
      </c>
      <c r="BF39" s="167">
        <f t="shared" si="6"/>
        <v>1</v>
      </c>
      <c r="BG39" s="167">
        <f t="shared" si="6"/>
        <v>1</v>
      </c>
      <c r="BH39" s="167">
        <f t="shared" si="6"/>
        <v>1</v>
      </c>
      <c r="BI39" s="167">
        <f t="shared" si="6"/>
        <v>1</v>
      </c>
      <c r="BJ39" s="167">
        <f t="shared" si="6"/>
        <v>1</v>
      </c>
      <c r="BK39" s="167">
        <f t="shared" si="6"/>
        <v>1</v>
      </c>
      <c r="BL39" s="167">
        <f t="shared" si="6"/>
        <v>1</v>
      </c>
      <c r="BO39" s="45"/>
    </row>
    <row r="40" spans="2:67" ht="24.75" hidden="1" customHeight="1" x14ac:dyDescent="0.55000000000000004">
      <c r="B40" s="202" t="s">
        <v>472</v>
      </c>
      <c r="C40" s="202"/>
      <c r="D40" s="202"/>
      <c r="E40" s="167">
        <f>IF(AND(E24="",E25="",E26="",E27="",E28="",E29="",E30="",E31=""),2,IF(AND(E24&lt;&gt;"",E25&lt;&gt;"",E26&lt;&gt;"",E27&lt;&gt;"",E28&lt;&gt;"",E29&lt;&gt;"",E30&lt;&gt;"",E31&lt;&gt;"",E37=0),0,1))</f>
        <v>0</v>
      </c>
      <c r="F40" s="167">
        <f t="shared" ref="F40:BL40" si="7">IF(AND(F24="",F25="",F26="",F27="",F28="",F29="",F30="",F31=""),2,IF(AND(F24&lt;&gt;"",F25&lt;&gt;"",F26&lt;&gt;"",F27&lt;&gt;"",F28&lt;&gt;"",F29&lt;&gt;"",F30&lt;&gt;"",F31&lt;&gt;"",F37=0),0,1))</f>
        <v>0</v>
      </c>
      <c r="G40" s="167">
        <f t="shared" si="7"/>
        <v>0</v>
      </c>
      <c r="H40" s="167">
        <f t="shared" si="7"/>
        <v>0</v>
      </c>
      <c r="I40" s="167">
        <f t="shared" si="7"/>
        <v>2</v>
      </c>
      <c r="J40" s="167">
        <f t="shared" si="7"/>
        <v>2</v>
      </c>
      <c r="K40" s="167">
        <f t="shared" si="7"/>
        <v>2</v>
      </c>
      <c r="L40" s="167">
        <f t="shared" si="7"/>
        <v>2</v>
      </c>
      <c r="M40" s="167">
        <f t="shared" si="7"/>
        <v>2</v>
      </c>
      <c r="N40" s="167">
        <f t="shared" si="7"/>
        <v>2</v>
      </c>
      <c r="O40" s="167">
        <f t="shared" si="7"/>
        <v>2</v>
      </c>
      <c r="P40" s="167">
        <f t="shared" si="7"/>
        <v>2</v>
      </c>
      <c r="Q40" s="167">
        <f t="shared" si="7"/>
        <v>2</v>
      </c>
      <c r="R40" s="167">
        <f t="shared" si="7"/>
        <v>2</v>
      </c>
      <c r="S40" s="167">
        <f t="shared" si="7"/>
        <v>2</v>
      </c>
      <c r="T40" s="167">
        <f t="shared" si="7"/>
        <v>2</v>
      </c>
      <c r="U40" s="167">
        <f t="shared" si="7"/>
        <v>2</v>
      </c>
      <c r="V40" s="167">
        <f t="shared" si="7"/>
        <v>2</v>
      </c>
      <c r="W40" s="167">
        <f t="shared" si="7"/>
        <v>2</v>
      </c>
      <c r="X40" s="167">
        <f t="shared" si="7"/>
        <v>2</v>
      </c>
      <c r="Y40" s="167">
        <f t="shared" si="7"/>
        <v>2</v>
      </c>
      <c r="Z40" s="167">
        <f t="shared" si="7"/>
        <v>2</v>
      </c>
      <c r="AA40" s="167">
        <f t="shared" si="7"/>
        <v>2</v>
      </c>
      <c r="AB40" s="167">
        <f t="shared" si="7"/>
        <v>2</v>
      </c>
      <c r="AC40" s="167">
        <f t="shared" si="7"/>
        <v>2</v>
      </c>
      <c r="AD40" s="167">
        <f t="shared" si="7"/>
        <v>2</v>
      </c>
      <c r="AE40" s="167">
        <f t="shared" si="7"/>
        <v>2</v>
      </c>
      <c r="AF40" s="167">
        <f t="shared" si="7"/>
        <v>2</v>
      </c>
      <c r="AG40" s="167">
        <f t="shared" si="7"/>
        <v>2</v>
      </c>
      <c r="AH40" s="167">
        <f t="shared" si="7"/>
        <v>2</v>
      </c>
      <c r="AI40" s="167">
        <f t="shared" si="7"/>
        <v>2</v>
      </c>
      <c r="AJ40" s="167">
        <f t="shared" si="7"/>
        <v>2</v>
      </c>
      <c r="AK40" s="167">
        <f t="shared" si="7"/>
        <v>2</v>
      </c>
      <c r="AL40" s="167">
        <f t="shared" si="7"/>
        <v>2</v>
      </c>
      <c r="AM40" s="167">
        <f t="shared" si="7"/>
        <v>2</v>
      </c>
      <c r="AN40" s="167">
        <f t="shared" si="7"/>
        <v>2</v>
      </c>
      <c r="AO40" s="167">
        <f t="shared" si="7"/>
        <v>2</v>
      </c>
      <c r="AP40" s="167">
        <f t="shared" si="7"/>
        <v>2</v>
      </c>
      <c r="AQ40" s="167">
        <f t="shared" si="7"/>
        <v>2</v>
      </c>
      <c r="AR40" s="167">
        <f t="shared" si="7"/>
        <v>2</v>
      </c>
      <c r="AS40" s="167">
        <f t="shared" si="7"/>
        <v>2</v>
      </c>
      <c r="AT40" s="167">
        <f t="shared" si="7"/>
        <v>2</v>
      </c>
      <c r="AU40" s="167">
        <f t="shared" si="7"/>
        <v>2</v>
      </c>
      <c r="AV40" s="167">
        <f t="shared" si="7"/>
        <v>2</v>
      </c>
      <c r="AW40" s="167">
        <f t="shared" si="7"/>
        <v>2</v>
      </c>
      <c r="AX40" s="167">
        <f t="shared" si="7"/>
        <v>2</v>
      </c>
      <c r="AY40" s="167">
        <f t="shared" si="7"/>
        <v>2</v>
      </c>
      <c r="AZ40" s="167">
        <f t="shared" si="7"/>
        <v>2</v>
      </c>
      <c r="BA40" s="167">
        <f t="shared" si="7"/>
        <v>2</v>
      </c>
      <c r="BB40" s="167">
        <f t="shared" si="7"/>
        <v>2</v>
      </c>
      <c r="BC40" s="167">
        <f t="shared" si="7"/>
        <v>2</v>
      </c>
      <c r="BD40" s="167">
        <f t="shared" si="7"/>
        <v>2</v>
      </c>
      <c r="BE40" s="167">
        <f t="shared" si="7"/>
        <v>2</v>
      </c>
      <c r="BF40" s="167">
        <f t="shared" si="7"/>
        <v>2</v>
      </c>
      <c r="BG40" s="167">
        <f t="shared" si="7"/>
        <v>2</v>
      </c>
      <c r="BH40" s="167">
        <f t="shared" si="7"/>
        <v>2</v>
      </c>
      <c r="BI40" s="167">
        <f t="shared" si="7"/>
        <v>2</v>
      </c>
      <c r="BJ40" s="167">
        <f t="shared" si="7"/>
        <v>2</v>
      </c>
      <c r="BK40" s="167">
        <f t="shared" si="7"/>
        <v>2</v>
      </c>
      <c r="BL40" s="167">
        <f t="shared" si="7"/>
        <v>2</v>
      </c>
    </row>
    <row r="41" spans="2:67" ht="24.75" hidden="1" customHeight="1" x14ac:dyDescent="0.55000000000000004">
      <c r="B41" s="201" t="s">
        <v>474</v>
      </c>
      <c r="C41" s="201"/>
      <c r="D41" s="201"/>
      <c r="E41" s="167">
        <f>IF(AND(E38=0,E39=0,E40=0),0,IF(E40=2,0,1))</f>
        <v>0</v>
      </c>
      <c r="F41" s="167">
        <f t="shared" ref="F41:BL41" si="8">IF(AND(F38=0,F39=0,F40=0),0,IF(F40=2,0,1))</f>
        <v>0</v>
      </c>
      <c r="G41" s="167">
        <f t="shared" si="8"/>
        <v>1</v>
      </c>
      <c r="H41" s="167">
        <f t="shared" si="8"/>
        <v>0</v>
      </c>
      <c r="I41" s="167">
        <f t="shared" si="8"/>
        <v>0</v>
      </c>
      <c r="J41" s="167">
        <f t="shared" si="8"/>
        <v>0</v>
      </c>
      <c r="K41" s="167">
        <f t="shared" si="8"/>
        <v>0</v>
      </c>
      <c r="L41" s="167">
        <f t="shared" si="8"/>
        <v>0</v>
      </c>
      <c r="M41" s="167">
        <f t="shared" si="8"/>
        <v>0</v>
      </c>
      <c r="N41" s="167">
        <f t="shared" si="8"/>
        <v>0</v>
      </c>
      <c r="O41" s="167">
        <f t="shared" si="8"/>
        <v>0</v>
      </c>
      <c r="P41" s="167">
        <f t="shared" si="8"/>
        <v>0</v>
      </c>
      <c r="Q41" s="167">
        <f t="shared" si="8"/>
        <v>0</v>
      </c>
      <c r="R41" s="167">
        <f t="shared" si="8"/>
        <v>0</v>
      </c>
      <c r="S41" s="167">
        <f t="shared" si="8"/>
        <v>0</v>
      </c>
      <c r="T41" s="167">
        <f t="shared" si="8"/>
        <v>0</v>
      </c>
      <c r="U41" s="167">
        <f t="shared" si="8"/>
        <v>0</v>
      </c>
      <c r="V41" s="167">
        <f t="shared" si="8"/>
        <v>0</v>
      </c>
      <c r="W41" s="167">
        <f t="shared" si="8"/>
        <v>0</v>
      </c>
      <c r="X41" s="167">
        <f t="shared" si="8"/>
        <v>0</v>
      </c>
      <c r="Y41" s="167">
        <f t="shared" si="8"/>
        <v>0</v>
      </c>
      <c r="Z41" s="167">
        <f t="shared" si="8"/>
        <v>0</v>
      </c>
      <c r="AA41" s="167">
        <f t="shared" si="8"/>
        <v>0</v>
      </c>
      <c r="AB41" s="167">
        <f t="shared" si="8"/>
        <v>0</v>
      </c>
      <c r="AC41" s="167">
        <f t="shared" si="8"/>
        <v>0</v>
      </c>
      <c r="AD41" s="167">
        <f t="shared" si="8"/>
        <v>0</v>
      </c>
      <c r="AE41" s="167">
        <f t="shared" si="8"/>
        <v>0</v>
      </c>
      <c r="AF41" s="167">
        <f t="shared" si="8"/>
        <v>0</v>
      </c>
      <c r="AG41" s="167">
        <f t="shared" si="8"/>
        <v>0</v>
      </c>
      <c r="AH41" s="167">
        <f t="shared" si="8"/>
        <v>0</v>
      </c>
      <c r="AI41" s="167">
        <f t="shared" si="8"/>
        <v>0</v>
      </c>
      <c r="AJ41" s="167">
        <f t="shared" si="8"/>
        <v>0</v>
      </c>
      <c r="AK41" s="167">
        <f t="shared" si="8"/>
        <v>0</v>
      </c>
      <c r="AL41" s="167">
        <f t="shared" si="8"/>
        <v>0</v>
      </c>
      <c r="AM41" s="167">
        <f t="shared" si="8"/>
        <v>0</v>
      </c>
      <c r="AN41" s="167">
        <f t="shared" si="8"/>
        <v>0</v>
      </c>
      <c r="AO41" s="167">
        <f t="shared" si="8"/>
        <v>0</v>
      </c>
      <c r="AP41" s="167">
        <f t="shared" si="8"/>
        <v>0</v>
      </c>
      <c r="AQ41" s="167">
        <f t="shared" si="8"/>
        <v>0</v>
      </c>
      <c r="AR41" s="167">
        <f t="shared" si="8"/>
        <v>0</v>
      </c>
      <c r="AS41" s="167">
        <f t="shared" si="8"/>
        <v>0</v>
      </c>
      <c r="AT41" s="167">
        <f t="shared" si="8"/>
        <v>0</v>
      </c>
      <c r="AU41" s="167">
        <f t="shared" si="8"/>
        <v>0</v>
      </c>
      <c r="AV41" s="167">
        <f t="shared" si="8"/>
        <v>0</v>
      </c>
      <c r="AW41" s="167">
        <f t="shared" si="8"/>
        <v>0</v>
      </c>
      <c r="AX41" s="167">
        <f t="shared" si="8"/>
        <v>0</v>
      </c>
      <c r="AY41" s="167">
        <f t="shared" si="8"/>
        <v>0</v>
      </c>
      <c r="AZ41" s="167">
        <f t="shared" si="8"/>
        <v>0</v>
      </c>
      <c r="BA41" s="167">
        <f t="shared" si="8"/>
        <v>0</v>
      </c>
      <c r="BB41" s="167">
        <f t="shared" si="8"/>
        <v>0</v>
      </c>
      <c r="BC41" s="167">
        <f t="shared" si="8"/>
        <v>0</v>
      </c>
      <c r="BD41" s="167">
        <f t="shared" si="8"/>
        <v>0</v>
      </c>
      <c r="BE41" s="167">
        <f t="shared" si="8"/>
        <v>0</v>
      </c>
      <c r="BF41" s="167">
        <f t="shared" si="8"/>
        <v>0</v>
      </c>
      <c r="BG41" s="167">
        <f t="shared" si="8"/>
        <v>0</v>
      </c>
      <c r="BH41" s="167">
        <f t="shared" si="8"/>
        <v>0</v>
      </c>
      <c r="BI41" s="167">
        <f t="shared" si="8"/>
        <v>0</v>
      </c>
      <c r="BJ41" s="167">
        <f t="shared" si="8"/>
        <v>0</v>
      </c>
      <c r="BK41" s="167">
        <f t="shared" si="8"/>
        <v>0</v>
      </c>
      <c r="BL41" s="167">
        <f t="shared" si="8"/>
        <v>0</v>
      </c>
    </row>
    <row r="42" spans="2:67" ht="24.75" hidden="1" customHeight="1" x14ac:dyDescent="0.55000000000000004">
      <c r="B42" s="204" t="s">
        <v>473</v>
      </c>
      <c r="C42" s="204"/>
      <c r="D42" s="204"/>
      <c r="E42" s="167">
        <f>COUNTIF($E40:$BL40,0)</f>
        <v>4</v>
      </c>
      <c r="F42" s="167">
        <f>COUNTIF($E40:$BL40,1)</f>
        <v>0</v>
      </c>
      <c r="G42" s="167">
        <f>COUNTIF($E40:$BL40,2)</f>
        <v>56</v>
      </c>
      <c r="H42" s="167">
        <f>60-COUNTIF($E$24:$BL$24,"")</f>
        <v>4</v>
      </c>
      <c r="I42" s="168" t="str">
        <f>IF(F42&lt;&gt;0,"入力確認",IF(H42=E42,"入力済","未入力"))</f>
        <v>入力済</v>
      </c>
      <c r="AK42" s="39"/>
    </row>
    <row r="44" spans="2:67" ht="19.5" customHeight="1" x14ac:dyDescent="0.55000000000000004">
      <c r="B44" s="86"/>
      <c r="C44" s="86"/>
      <c r="D44" s="86"/>
      <c r="AK44" s="39"/>
    </row>
    <row r="45" spans="2:67" ht="19.5" customHeight="1" x14ac:dyDescent="0.55000000000000004">
      <c r="AK45" s="39"/>
    </row>
    <row r="46" spans="2:67" ht="19.5" customHeight="1" x14ac:dyDescent="0.55000000000000004">
      <c r="AK46" s="39"/>
    </row>
    <row r="47" spans="2:67" ht="19.5" customHeight="1" x14ac:dyDescent="0.55000000000000004">
      <c r="AK47" s="39"/>
    </row>
    <row r="51" spans="37:37" x14ac:dyDescent="0.55000000000000004">
      <c r="AK51" s="39"/>
    </row>
    <row r="54" spans="37:37" x14ac:dyDescent="0.55000000000000004">
      <c r="AK54" s="39"/>
    </row>
  </sheetData>
  <sheetProtection algorithmName="SHA-512" hashValue="xdsrqcX9ls70IQnoCkqNCW70zgYpLsYRpjWGeazXFl/Eb5uPpaXqCmmZ9RoqvNZ2UUh1fv+Q+bOBDZrnJMStug==" saltValue="BxbWBr671VuxElLpiWo8OQ==" spinCount="100000" sheet="1" objects="1" scenarios="1" selectLockedCells="1" selectUnlockedCells="1"/>
  <mergeCells count="25">
    <mergeCell ref="B26:D26"/>
    <mergeCell ref="G21:H21"/>
    <mergeCell ref="I21:Q21"/>
    <mergeCell ref="B23:D23"/>
    <mergeCell ref="B24:D24"/>
    <mergeCell ref="B25:D25"/>
    <mergeCell ref="B27:D27"/>
    <mergeCell ref="B28:B29"/>
    <mergeCell ref="C28:D28"/>
    <mergeCell ref="C29:D29"/>
    <mergeCell ref="B30:B31"/>
    <mergeCell ref="C30:D30"/>
    <mergeCell ref="C31:D31"/>
    <mergeCell ref="B42:D42"/>
    <mergeCell ref="B32:B33"/>
    <mergeCell ref="C32:D32"/>
    <mergeCell ref="C33:D33"/>
    <mergeCell ref="B34:D34"/>
    <mergeCell ref="B35:D35"/>
    <mergeCell ref="B36:D36"/>
    <mergeCell ref="B37:D37"/>
    <mergeCell ref="B38:D38"/>
    <mergeCell ref="B39:D39"/>
    <mergeCell ref="B40:D40"/>
    <mergeCell ref="B41:D41"/>
  </mergeCells>
  <phoneticPr fontId="2"/>
  <conditionalFormatting sqref="I31:BL31 I29:BL29 E35:BL35 E33:BL33">
    <cfRule type="expression" dxfId="269" priority="15">
      <formula>E$35="不適合"</formula>
    </cfRule>
  </conditionalFormatting>
  <conditionalFormatting sqref="E33:BL33">
    <cfRule type="cellIs" dxfId="268" priority="17" operator="lessThan">
      <formula>30</formula>
    </cfRule>
    <cfRule type="expression" dxfId="267" priority="18">
      <formula>E33="入力確認"</formula>
    </cfRule>
  </conditionalFormatting>
  <conditionalFormatting sqref="I31:BL31 E34:BL34">
    <cfRule type="expression" dxfId="266" priority="14">
      <formula>E$31-E$30&lt;0</formula>
    </cfRule>
  </conditionalFormatting>
  <conditionalFormatting sqref="I21">
    <cfRule type="expression" dxfId="265" priority="21">
      <formula>$I$21="必要換気量に係る要件を満たしていないため、申請できません。"</formula>
    </cfRule>
    <cfRule type="expression" dxfId="264" priority="22">
      <formula>$I$21="「換気設備導入前後の比較表」の入力をご確認ください。"</formula>
    </cfRule>
  </conditionalFormatting>
  <conditionalFormatting sqref="E32:BL32">
    <cfRule type="expression" dxfId="263" priority="16">
      <formula>E32="入力確認"</formula>
    </cfRule>
  </conditionalFormatting>
  <conditionalFormatting sqref="E34:BL34">
    <cfRule type="expression" dxfId="262" priority="19">
      <formula>E34="不適合"</formula>
    </cfRule>
  </conditionalFormatting>
  <conditionalFormatting sqref="I29:BL29">
    <cfRule type="expression" dxfId="261" priority="13">
      <formula>AND(I29&lt;=0,I40=0)</formula>
    </cfRule>
  </conditionalFormatting>
  <conditionalFormatting sqref="I27:BL28">
    <cfRule type="expression" dxfId="260" priority="12">
      <formula>AND(I$27="機械換気",I$28=0)</formula>
    </cfRule>
  </conditionalFormatting>
  <conditionalFormatting sqref="I27:BL27 I30:BL30">
    <cfRule type="expression" dxfId="259" priority="11">
      <formula>AND(I$27="自然換気",I$30&gt;0)</formula>
    </cfRule>
  </conditionalFormatting>
  <conditionalFormatting sqref="I21:Q21">
    <cfRule type="expression" dxfId="258" priority="20">
      <formula>$I$21="「換気設備導入前後の比較表」を入力してください"</formula>
    </cfRule>
  </conditionalFormatting>
  <conditionalFormatting sqref="E31:H31 E29:H29">
    <cfRule type="expression" dxfId="257" priority="5">
      <formula>E$35="不適合"</formula>
    </cfRule>
  </conditionalFormatting>
  <conditionalFormatting sqref="E31:H31">
    <cfRule type="expression" dxfId="256" priority="2">
      <formula>E$31-E$30&lt;0</formula>
    </cfRule>
  </conditionalFormatting>
  <conditionalFormatting sqref="E29:H29">
    <cfRule type="expression" dxfId="255" priority="4">
      <formula>AND(E29&lt;=0,E40=0)</formula>
    </cfRule>
  </conditionalFormatting>
  <conditionalFormatting sqref="E27:H28">
    <cfRule type="expression" dxfId="254" priority="3">
      <formula>AND(E$27="機械換気",E$28=0)</formula>
    </cfRule>
  </conditionalFormatting>
  <conditionalFormatting sqref="E27:H27 E30:H30">
    <cfRule type="expression" dxfId="253" priority="1">
      <formula>AND(E$27="自然換気",E$30&gt;0)</formula>
    </cfRule>
  </conditionalFormatting>
  <dataValidations count="4">
    <dataValidation type="whole" operator="greaterThanOrEqual" allowBlank="1" showInputMessage="1" showErrorMessage="1" prompt="自然換気は、”0”を入力。_x000a_機械換気は、”0”以上の整数を入力してください。" sqref="I30:BL30">
      <formula1>0</formula1>
    </dataValidation>
    <dataValidation type="whole" operator="greaterThanOrEqual" allowBlank="1" showInputMessage="1" showErrorMessage="1" prompt="”0”以上の整数を入力してください。" sqref="I31:BL31 E30:H31">
      <formula1>0</formula1>
    </dataValidation>
    <dataValidation type="whole" operator="greaterThanOrEqual" allowBlank="1" showInputMessage="1" showErrorMessage="1" prompt="利用人数を整数で入力してください" sqref="E28:BL29">
      <formula1>0</formula1>
    </dataValidation>
    <dataValidation allowBlank="1" sqref="C15:C16"/>
  </dataValidations>
  <pageMargins left="0.6692913385826772" right="0.31496062992125984" top="0.55118110236220474" bottom="0.3543307086614173" header="0.23622047244094488" footer="0.15748031496062992"/>
  <pageSetup paperSize="9" scale="46" fitToWidth="0" orientation="landscape" r:id="rId1"/>
  <headerFooter>
    <oddHeader>&amp;C&amp;20換気量・省エネ計算シート</oddHeader>
  </headerFooter>
  <colBreaks count="3" manualBreakCount="3">
    <brk id="24" max="34" man="1"/>
    <brk id="34" max="34" man="1"/>
    <brk id="49" max="34"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計算!$Z$4:$Z$14</xm:f>
          </x14:formula1>
          <xm:sqref>I24:BL24</xm:sqref>
        </x14:dataValidation>
        <x14:dataValidation type="list" allowBlank="1" showInputMessage="1" showErrorMessage="1">
          <x14:formula1>
            <xm:f>計算!$T$17:$T$18</xm:f>
          </x14:formula1>
          <xm:sqref>I27:BL27</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E24:H24</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E27:H27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pageSetUpPr fitToPage="1"/>
  </sheetPr>
  <dimension ref="B1:AF205"/>
  <sheetViews>
    <sheetView view="pageBreakPreview" zoomScale="70" zoomScaleNormal="80" zoomScaleSheetLayoutView="70" workbookViewId="0">
      <selection sqref="A1:XFD1048576"/>
    </sheetView>
  </sheetViews>
  <sheetFormatPr defaultColWidth="8.83203125" defaultRowHeight="19.2" x14ac:dyDescent="0.55000000000000004"/>
  <cols>
    <col min="1" max="1" width="7.5" style="18" customWidth="1"/>
    <col min="2" max="2" width="11.4140625" style="19" customWidth="1"/>
    <col min="3" max="3" width="4.6640625" style="19" customWidth="1"/>
    <col min="4" max="4" width="8.83203125" style="18" customWidth="1"/>
    <col min="5" max="15" width="8.83203125" style="18"/>
    <col min="16" max="25" width="8.83203125" style="18" customWidth="1"/>
    <col min="26" max="26" width="4.08203125" style="155" customWidth="1"/>
    <col min="27" max="28" width="4.1640625" style="155" customWidth="1"/>
    <col min="29" max="30" width="3.58203125" style="18" customWidth="1"/>
    <col min="31" max="31" width="3.83203125" style="18" customWidth="1"/>
    <col min="32" max="33" width="6.08203125" style="18" customWidth="1"/>
    <col min="34" max="69" width="3.9140625" style="18" customWidth="1"/>
    <col min="70" max="16384" width="8.83203125" style="18"/>
  </cols>
  <sheetData>
    <row r="1" spans="2:28" s="115" customFormat="1" ht="19.5" customHeight="1" x14ac:dyDescent="0.55000000000000004">
      <c r="B1" s="116"/>
      <c r="C1" s="116"/>
      <c r="D1" s="116"/>
      <c r="E1" s="116"/>
      <c r="F1" s="116"/>
      <c r="G1" s="116"/>
      <c r="H1" s="116"/>
      <c r="I1" s="116"/>
      <c r="J1" s="116"/>
      <c r="K1" s="116"/>
      <c r="L1" s="116"/>
      <c r="M1" s="116"/>
      <c r="N1" s="116"/>
      <c r="O1" s="116"/>
      <c r="P1" s="116"/>
      <c r="Q1" s="116"/>
      <c r="R1" s="116"/>
      <c r="S1" s="116"/>
      <c r="T1" s="116"/>
      <c r="U1" s="116"/>
      <c r="V1" s="116"/>
      <c r="W1" s="116"/>
      <c r="X1" s="116"/>
      <c r="Y1" s="117"/>
      <c r="Z1" s="153"/>
      <c r="AA1" s="154"/>
      <c r="AB1" s="154"/>
    </row>
    <row r="2" spans="2:28" x14ac:dyDescent="0.55000000000000004">
      <c r="B2" s="48" t="s">
        <v>177</v>
      </c>
      <c r="C2" s="18"/>
    </row>
    <row r="3" spans="2:28" s="59" customFormat="1" x14ac:dyDescent="0.55000000000000004">
      <c r="B3" s="108" t="s">
        <v>475</v>
      </c>
      <c r="K3" s="18"/>
      <c r="Z3" s="61"/>
      <c r="AA3" s="61"/>
      <c r="AB3" s="61"/>
    </row>
    <row r="4" spans="2:28" s="59" customFormat="1" x14ac:dyDescent="0.55000000000000004">
      <c r="B4" s="108" t="s">
        <v>485</v>
      </c>
      <c r="K4" s="18"/>
      <c r="Z4" s="61"/>
      <c r="AA4" s="61"/>
      <c r="AB4" s="61"/>
    </row>
    <row r="5" spans="2:28" s="59" customFormat="1" x14ac:dyDescent="0.55000000000000004">
      <c r="B5" s="108" t="s">
        <v>511</v>
      </c>
      <c r="K5" s="18"/>
      <c r="Z5" s="61"/>
      <c r="AA5" s="61"/>
      <c r="AB5" s="61"/>
    </row>
    <row r="6" spans="2:28" s="59" customFormat="1" x14ac:dyDescent="0.55000000000000004">
      <c r="B6" s="108" t="s">
        <v>512</v>
      </c>
      <c r="K6" s="18"/>
      <c r="Z6" s="61"/>
      <c r="AA6" s="61"/>
      <c r="AB6" s="61"/>
    </row>
    <row r="7" spans="2:28" s="59" customFormat="1" x14ac:dyDescent="0.55000000000000004">
      <c r="B7" s="108" t="s">
        <v>505</v>
      </c>
      <c r="K7" s="18"/>
      <c r="Z7" s="61"/>
      <c r="AA7" s="61"/>
      <c r="AB7" s="61"/>
    </row>
    <row r="8" spans="2:28" s="59" customFormat="1" x14ac:dyDescent="0.55000000000000004">
      <c r="B8" s="108" t="s">
        <v>506</v>
      </c>
      <c r="K8" s="18"/>
      <c r="Z8" s="61"/>
      <c r="AA8" s="61"/>
      <c r="AB8" s="61"/>
    </row>
    <row r="9" spans="2:28" s="59" customFormat="1" x14ac:dyDescent="0.55000000000000004">
      <c r="B9" s="108" t="s">
        <v>507</v>
      </c>
      <c r="G9" s="97"/>
      <c r="H9" s="97"/>
      <c r="K9" s="18"/>
      <c r="Z9" s="61"/>
      <c r="AA9" s="61"/>
      <c r="AB9" s="61"/>
    </row>
    <row r="10" spans="2:28" s="59" customFormat="1" x14ac:dyDescent="0.55000000000000004">
      <c r="B10" s="143" t="s">
        <v>508</v>
      </c>
      <c r="C10" s="97"/>
      <c r="D10" s="97"/>
      <c r="E10" s="97"/>
      <c r="F10" s="97"/>
      <c r="G10" s="97"/>
      <c r="H10" s="97"/>
      <c r="I10" s="106"/>
      <c r="J10" s="106"/>
      <c r="K10" s="107"/>
      <c r="L10" s="106"/>
      <c r="Z10" s="61"/>
      <c r="AA10" s="61"/>
      <c r="AB10" s="61"/>
    </row>
    <row r="11" spans="2:28" s="59" customFormat="1" x14ac:dyDescent="0.55000000000000004">
      <c r="B11" s="136" t="s">
        <v>261</v>
      </c>
      <c r="C11" s="106"/>
      <c r="D11" s="106"/>
      <c r="E11" s="106"/>
      <c r="F11" s="106"/>
      <c r="G11" s="106"/>
      <c r="H11" s="106"/>
      <c r="I11" s="106"/>
      <c r="J11" s="106"/>
      <c r="K11" s="107"/>
      <c r="L11" s="106"/>
      <c r="Z11" s="61"/>
      <c r="AA11" s="61"/>
      <c r="AB11" s="61"/>
    </row>
    <row r="12" spans="2:28" s="59" customFormat="1" x14ac:dyDescent="0.55000000000000004">
      <c r="B12" s="108" t="s">
        <v>509</v>
      </c>
      <c r="K12" s="18"/>
      <c r="Z12" s="61"/>
      <c r="AA12" s="61"/>
      <c r="AB12" s="61"/>
    </row>
    <row r="13" spans="2:28" s="59" customFormat="1" x14ac:dyDescent="0.55000000000000004">
      <c r="B13" s="108" t="s">
        <v>407</v>
      </c>
      <c r="K13" s="18"/>
      <c r="Z13" s="61"/>
      <c r="AA13" s="61"/>
      <c r="AB13" s="61"/>
    </row>
    <row r="14" spans="2:28" s="59" customFormat="1" x14ac:dyDescent="0.55000000000000004">
      <c r="B14" s="108" t="s">
        <v>224</v>
      </c>
      <c r="K14" s="18"/>
      <c r="Z14" s="61"/>
      <c r="AA14" s="61"/>
      <c r="AB14" s="61"/>
    </row>
    <row r="15" spans="2:28" s="59" customFormat="1" x14ac:dyDescent="0.55000000000000004">
      <c r="B15" s="108" t="s">
        <v>225</v>
      </c>
      <c r="K15" s="18"/>
      <c r="Z15" s="61"/>
      <c r="AA15" s="61"/>
      <c r="AB15" s="61"/>
    </row>
    <row r="16" spans="2:28" s="59" customFormat="1" x14ac:dyDescent="0.55000000000000004">
      <c r="B16" s="108" t="s">
        <v>226</v>
      </c>
      <c r="K16" s="18"/>
      <c r="Z16" s="61"/>
      <c r="AA16" s="61"/>
      <c r="AB16" s="61"/>
    </row>
    <row r="17" spans="2:28" s="59" customFormat="1" x14ac:dyDescent="0.55000000000000004">
      <c r="B17" s="108" t="s">
        <v>510</v>
      </c>
      <c r="K17" s="18"/>
      <c r="Z17" s="61"/>
      <c r="AA17" s="61"/>
      <c r="AB17" s="61"/>
    </row>
    <row r="18" spans="2:28" s="59" customFormat="1" x14ac:dyDescent="0.55000000000000004">
      <c r="B18" s="74"/>
      <c r="K18" s="18"/>
      <c r="Z18" s="61"/>
      <c r="AA18" s="61"/>
      <c r="AB18" s="61"/>
    </row>
    <row r="19" spans="2:28" ht="19.5" customHeight="1" x14ac:dyDescent="0.55000000000000004">
      <c r="B19" s="87" t="s">
        <v>178</v>
      </c>
      <c r="C19" s="20"/>
      <c r="D19" s="46" t="s">
        <v>228</v>
      </c>
    </row>
    <row r="20" spans="2:28" ht="19.5" customHeight="1" x14ac:dyDescent="0.55000000000000004">
      <c r="C20" s="21"/>
      <c r="D20" s="47" t="s">
        <v>134</v>
      </c>
    </row>
    <row r="21" spans="2:28" ht="19.5" customHeight="1" x14ac:dyDescent="0.55000000000000004">
      <c r="C21" s="22"/>
      <c r="D21" s="47" t="s">
        <v>135</v>
      </c>
    </row>
    <row r="22" spans="2:28" ht="19.5" customHeight="1" x14ac:dyDescent="0.55000000000000004">
      <c r="D22" s="19"/>
    </row>
    <row r="23" spans="2:28" x14ac:dyDescent="0.55000000000000004">
      <c r="AA23" s="196"/>
    </row>
    <row r="25" spans="2:28" ht="42.75" customHeight="1" x14ac:dyDescent="0.55000000000000004">
      <c r="B25" s="23" t="s">
        <v>205</v>
      </c>
      <c r="C25" s="24"/>
      <c r="F25" s="252" t="s">
        <v>415</v>
      </c>
      <c r="G25" s="224"/>
      <c r="H25" s="217" t="str">
        <f>IF(X36="入力確認","旧設備の入力をご確認ください。",IF(X62="入力確認","新設備の入力をご確認ください。",IF(AND(AC52=0,AC54=0,AC55=0,AC58=0,AC60=0),"換気設備の導入は必須です。換気設備について入力してください。",IF(X53="非適合","新設備の導入がない計画は申請できません。",IF(AND(X52="適合",X53="適合",X54="適合",X55="適合",X57="適合",X59="適合",X61="適合",X63="適合"),"換気設備導入の要件を満たしています。","換気設備導入の要件を満たしていないため、申請できません。")))))</f>
        <v>換気設備導入の要件を満たしています。</v>
      </c>
      <c r="I25" s="218"/>
      <c r="J25" s="218"/>
      <c r="K25" s="218"/>
      <c r="L25" s="218"/>
      <c r="M25" s="218"/>
      <c r="N25" s="218"/>
      <c r="O25" s="219"/>
      <c r="X25" s="103"/>
    </row>
    <row r="26" spans="2:28" ht="18.75" customHeight="1" x14ac:dyDescent="0.55000000000000004">
      <c r="B26" s="23"/>
      <c r="C26" s="24"/>
    </row>
    <row r="27" spans="2:28" ht="42" customHeight="1" thickBot="1" x14ac:dyDescent="0.6">
      <c r="B27" s="152" t="s">
        <v>431</v>
      </c>
      <c r="C27" s="25"/>
    </row>
    <row r="28" spans="2:28" x14ac:dyDescent="0.55000000000000004">
      <c r="B28" s="225" t="s">
        <v>130</v>
      </c>
      <c r="C28" s="225"/>
      <c r="D28" s="26" t="s">
        <v>153</v>
      </c>
      <c r="E28" s="26" t="s">
        <v>154</v>
      </c>
      <c r="F28" s="26" t="s">
        <v>155</v>
      </c>
      <c r="G28" s="26" t="s">
        <v>156</v>
      </c>
      <c r="H28" s="26" t="s">
        <v>157</v>
      </c>
      <c r="I28" s="26" t="s">
        <v>158</v>
      </c>
      <c r="J28" s="26" t="s">
        <v>159</v>
      </c>
      <c r="K28" s="26" t="s">
        <v>160</v>
      </c>
      <c r="L28" s="26" t="s">
        <v>161</v>
      </c>
      <c r="M28" s="26" t="s">
        <v>162</v>
      </c>
      <c r="N28" s="26" t="s">
        <v>340</v>
      </c>
      <c r="O28" s="26" t="s">
        <v>163</v>
      </c>
      <c r="P28" s="26" t="s">
        <v>164</v>
      </c>
      <c r="Q28" s="26" t="s">
        <v>165</v>
      </c>
      <c r="R28" s="26" t="s">
        <v>166</v>
      </c>
      <c r="S28" s="26" t="s">
        <v>167</v>
      </c>
      <c r="T28" s="26" t="s">
        <v>168</v>
      </c>
      <c r="U28" s="26" t="s">
        <v>169</v>
      </c>
      <c r="V28" s="26" t="s">
        <v>170</v>
      </c>
      <c r="W28" s="177" t="s">
        <v>171</v>
      </c>
      <c r="X28" s="180" t="s">
        <v>479</v>
      </c>
      <c r="Y28" s="181" t="s">
        <v>480</v>
      </c>
      <c r="AB28" s="74" t="s">
        <v>433</v>
      </c>
    </row>
    <row r="29" spans="2:28" ht="63" customHeight="1" x14ac:dyDescent="0.55000000000000004">
      <c r="B29" s="230" t="s">
        <v>1</v>
      </c>
      <c r="C29" s="230"/>
      <c r="D29" s="287" t="s">
        <v>513</v>
      </c>
      <c r="E29" s="287" t="s">
        <v>513</v>
      </c>
      <c r="F29" s="287"/>
      <c r="G29" s="287"/>
      <c r="H29" s="287"/>
      <c r="I29" s="287"/>
      <c r="J29" s="287"/>
      <c r="K29" s="287"/>
      <c r="L29" s="287"/>
      <c r="M29" s="287"/>
      <c r="N29" s="287"/>
      <c r="O29" s="287"/>
      <c r="P29" s="287"/>
      <c r="Q29" s="287"/>
      <c r="R29" s="287"/>
      <c r="S29" s="287"/>
      <c r="T29" s="287"/>
      <c r="U29" s="287"/>
      <c r="V29" s="287"/>
      <c r="W29" s="288"/>
      <c r="X29" s="182" t="s">
        <v>10</v>
      </c>
      <c r="Y29" s="183" t="s">
        <v>10</v>
      </c>
      <c r="AA29" s="18"/>
      <c r="AB29" s="187" t="s">
        <v>486</v>
      </c>
    </row>
    <row r="30" spans="2:28" ht="26.25" customHeight="1" thickBot="1" x14ac:dyDescent="0.6">
      <c r="B30" s="230" t="s">
        <v>483</v>
      </c>
      <c r="C30" s="230"/>
      <c r="D30" s="289" t="s">
        <v>477</v>
      </c>
      <c r="E30" s="289" t="s">
        <v>477</v>
      </c>
      <c r="F30" s="289"/>
      <c r="G30" s="289"/>
      <c r="H30" s="289"/>
      <c r="I30" s="289"/>
      <c r="J30" s="289"/>
      <c r="K30" s="289"/>
      <c r="L30" s="289"/>
      <c r="M30" s="289"/>
      <c r="N30" s="289"/>
      <c r="O30" s="289"/>
      <c r="P30" s="289"/>
      <c r="Q30" s="289"/>
      <c r="R30" s="289"/>
      <c r="S30" s="289"/>
      <c r="T30" s="289"/>
      <c r="U30" s="289"/>
      <c r="V30" s="289"/>
      <c r="W30" s="289"/>
      <c r="X30" s="178" t="s">
        <v>10</v>
      </c>
      <c r="Y30" s="179" t="s">
        <v>10</v>
      </c>
    </row>
    <row r="31" spans="2:28" ht="27" customHeight="1" x14ac:dyDescent="0.55000000000000004">
      <c r="B31" s="230" t="s">
        <v>3</v>
      </c>
      <c r="C31" s="230"/>
      <c r="D31" s="290">
        <v>1</v>
      </c>
      <c r="E31" s="290">
        <v>1</v>
      </c>
      <c r="F31" s="290"/>
      <c r="G31" s="290"/>
      <c r="H31" s="290"/>
      <c r="I31" s="290"/>
      <c r="J31" s="290"/>
      <c r="K31" s="290"/>
      <c r="L31" s="290"/>
      <c r="M31" s="290"/>
      <c r="N31" s="290"/>
      <c r="O31" s="290"/>
      <c r="P31" s="290"/>
      <c r="Q31" s="290"/>
      <c r="R31" s="290"/>
      <c r="S31" s="290"/>
      <c r="T31" s="290"/>
      <c r="U31" s="290"/>
      <c r="V31" s="290"/>
      <c r="W31" s="291"/>
      <c r="X31" s="171">
        <f>IF(SUMIF($D$30:$W$30,"排気",$D$31:$W$31)=0,"",SUMIF($D$30:$W$30,"排気",$D$31:$W$31))</f>
        <v>2</v>
      </c>
      <c r="Y31" s="172" t="str">
        <f>IF(SUMIF($D$30:$W$30,"給気",$D$31:$W$31)=0,"",SUMIF($D$30:$W$30,"給気",$D$31:$W$31))</f>
        <v/>
      </c>
    </row>
    <row r="32" spans="2:28" ht="27" customHeight="1" x14ac:dyDescent="0.55000000000000004">
      <c r="B32" s="246" t="s">
        <v>4</v>
      </c>
      <c r="C32" s="246"/>
      <c r="D32" s="292">
        <v>500</v>
      </c>
      <c r="E32" s="292">
        <v>850</v>
      </c>
      <c r="F32" s="292"/>
      <c r="G32" s="292"/>
      <c r="H32" s="292"/>
      <c r="I32" s="292"/>
      <c r="J32" s="292"/>
      <c r="K32" s="292"/>
      <c r="L32" s="292"/>
      <c r="M32" s="292"/>
      <c r="N32" s="292"/>
      <c r="O32" s="292"/>
      <c r="P32" s="292"/>
      <c r="Q32" s="292"/>
      <c r="R32" s="292"/>
      <c r="S32" s="292"/>
      <c r="T32" s="292"/>
      <c r="U32" s="292"/>
      <c r="V32" s="292"/>
      <c r="W32" s="293"/>
      <c r="X32" s="173">
        <f>IF(AC36=0,"",X34)</f>
        <v>1350</v>
      </c>
      <c r="Y32" s="174" t="str">
        <f>IF(AD36=0,"",Y34)</f>
        <v/>
      </c>
    </row>
    <row r="33" spans="2:31" ht="27" customHeight="1" thickBot="1" x14ac:dyDescent="0.6">
      <c r="B33" s="230" t="s">
        <v>5</v>
      </c>
      <c r="C33" s="230"/>
      <c r="D33" s="294">
        <v>25</v>
      </c>
      <c r="E33" s="295">
        <v>40</v>
      </c>
      <c r="F33" s="294"/>
      <c r="G33" s="295"/>
      <c r="H33" s="294"/>
      <c r="I33" s="295"/>
      <c r="J33" s="294"/>
      <c r="K33" s="295"/>
      <c r="L33" s="294"/>
      <c r="M33" s="295"/>
      <c r="N33" s="295"/>
      <c r="O33" s="295"/>
      <c r="P33" s="295"/>
      <c r="Q33" s="295"/>
      <c r="R33" s="295"/>
      <c r="S33" s="295"/>
      <c r="T33" s="295"/>
      <c r="U33" s="295"/>
      <c r="V33" s="295"/>
      <c r="W33" s="296"/>
      <c r="X33" s="176">
        <f>IF(AC36=0,"",X35)</f>
        <v>65</v>
      </c>
      <c r="Y33" s="175" t="str">
        <f>IF(AD36=0,"",Y35)</f>
        <v/>
      </c>
    </row>
    <row r="34" spans="2:31" ht="27" hidden="1" customHeight="1" x14ac:dyDescent="0.55000000000000004">
      <c r="B34" s="246" t="s">
        <v>481</v>
      </c>
      <c r="C34" s="246"/>
      <c r="D34" s="292">
        <f t="shared" ref="D34:W34" si="0">D31*D32</f>
        <v>500</v>
      </c>
      <c r="E34" s="292">
        <f t="shared" si="0"/>
        <v>850</v>
      </c>
      <c r="F34" s="292">
        <f t="shared" si="0"/>
        <v>0</v>
      </c>
      <c r="G34" s="292">
        <f t="shared" si="0"/>
        <v>0</v>
      </c>
      <c r="H34" s="292">
        <f t="shared" si="0"/>
        <v>0</v>
      </c>
      <c r="I34" s="292">
        <f t="shared" si="0"/>
        <v>0</v>
      </c>
      <c r="J34" s="292">
        <f t="shared" si="0"/>
        <v>0</v>
      </c>
      <c r="K34" s="292">
        <f t="shared" si="0"/>
        <v>0</v>
      </c>
      <c r="L34" s="292">
        <f t="shared" si="0"/>
        <v>0</v>
      </c>
      <c r="M34" s="292">
        <f t="shared" si="0"/>
        <v>0</v>
      </c>
      <c r="N34" s="292">
        <f t="shared" si="0"/>
        <v>0</v>
      </c>
      <c r="O34" s="292">
        <f t="shared" si="0"/>
        <v>0</v>
      </c>
      <c r="P34" s="292">
        <f t="shared" si="0"/>
        <v>0</v>
      </c>
      <c r="Q34" s="292">
        <f t="shared" si="0"/>
        <v>0</v>
      </c>
      <c r="R34" s="292">
        <f t="shared" si="0"/>
        <v>0</v>
      </c>
      <c r="S34" s="292">
        <f t="shared" si="0"/>
        <v>0</v>
      </c>
      <c r="T34" s="292">
        <f t="shared" si="0"/>
        <v>0</v>
      </c>
      <c r="U34" s="292">
        <f t="shared" si="0"/>
        <v>0</v>
      </c>
      <c r="V34" s="292">
        <f t="shared" si="0"/>
        <v>0</v>
      </c>
      <c r="W34" s="293">
        <f t="shared" si="0"/>
        <v>0</v>
      </c>
      <c r="X34" s="189">
        <f>IF(SUMIF($D$30:$W$30,"排気",$D$34:$W$34)=0,0,SUMIF($D$30:$W$30,"排気",$D$34:$W$34))</f>
        <v>1350</v>
      </c>
      <c r="Y34" s="190">
        <f>IF(SUMIF($D$30:$W$30,"給気",$D$34:$W$34)=0,0,SUMIF($D$30:$W$30,"給気",$D$34:$W$34))</f>
        <v>0</v>
      </c>
    </row>
    <row r="35" spans="2:31" ht="27" hidden="1" customHeight="1" thickBot="1" x14ac:dyDescent="0.6">
      <c r="B35" s="230" t="s">
        <v>482</v>
      </c>
      <c r="C35" s="230"/>
      <c r="D35" s="292">
        <f>D31*D33</f>
        <v>25</v>
      </c>
      <c r="E35" s="292">
        <f t="shared" ref="E35:W35" si="1">E31*E33</f>
        <v>40</v>
      </c>
      <c r="F35" s="292">
        <f t="shared" si="1"/>
        <v>0</v>
      </c>
      <c r="G35" s="292">
        <f t="shared" si="1"/>
        <v>0</v>
      </c>
      <c r="H35" s="292">
        <f t="shared" si="1"/>
        <v>0</v>
      </c>
      <c r="I35" s="292">
        <f t="shared" si="1"/>
        <v>0</v>
      </c>
      <c r="J35" s="292">
        <f t="shared" si="1"/>
        <v>0</v>
      </c>
      <c r="K35" s="292">
        <f t="shared" si="1"/>
        <v>0</v>
      </c>
      <c r="L35" s="292">
        <f t="shared" si="1"/>
        <v>0</v>
      </c>
      <c r="M35" s="292">
        <f t="shared" si="1"/>
        <v>0</v>
      </c>
      <c r="N35" s="292">
        <f t="shared" si="1"/>
        <v>0</v>
      </c>
      <c r="O35" s="292">
        <f t="shared" si="1"/>
        <v>0</v>
      </c>
      <c r="P35" s="292">
        <f t="shared" si="1"/>
        <v>0</v>
      </c>
      <c r="Q35" s="292">
        <f t="shared" si="1"/>
        <v>0</v>
      </c>
      <c r="R35" s="292">
        <f t="shared" si="1"/>
        <v>0</v>
      </c>
      <c r="S35" s="292">
        <f t="shared" si="1"/>
        <v>0</v>
      </c>
      <c r="T35" s="292">
        <f t="shared" si="1"/>
        <v>0</v>
      </c>
      <c r="U35" s="292">
        <f t="shared" si="1"/>
        <v>0</v>
      </c>
      <c r="V35" s="292">
        <f t="shared" si="1"/>
        <v>0</v>
      </c>
      <c r="W35" s="293">
        <f t="shared" si="1"/>
        <v>0</v>
      </c>
      <c r="X35" s="191">
        <f>IF(SUMIF($D$30:$W$30,"排気",$D$35:$W$35)=0,0,SUMIF($D$30:$W$30,"排気",$D$35:$W$35))</f>
        <v>65</v>
      </c>
      <c r="Y35" s="192">
        <f>IF(SUMIF($D$30:$W$30,"給気",$D$35:$W$35)=0,0,SUMIF($D$30:$W$30,"給気",$D$35:$W$35))</f>
        <v>0</v>
      </c>
    </row>
    <row r="36" spans="2:31" hidden="1" x14ac:dyDescent="0.55000000000000004">
      <c r="B36" s="96" t="s">
        <v>443</v>
      </c>
      <c r="C36" s="94"/>
      <c r="D36" s="94">
        <f>IF(AND(D29="",D30="",D31="",D32="",D33=""),2,IF(AND(D29&lt;&gt;"",D30&lt;&gt;"",D31&lt;&gt;"",D32&lt;&gt;"",D33&lt;&gt;""),0,1))</f>
        <v>0</v>
      </c>
      <c r="E36" s="94">
        <f t="shared" ref="E36:W36" si="2">IF(AND(E29="",E30="",E31="",E32="",E33=""),2,IF(AND(E29&lt;&gt;"",E30&lt;&gt;"",E31&lt;&gt;"",E32&lt;&gt;"",E33&lt;&gt;""),0,1))</f>
        <v>0</v>
      </c>
      <c r="F36" s="94">
        <f t="shared" si="2"/>
        <v>2</v>
      </c>
      <c r="G36" s="94">
        <f t="shared" si="2"/>
        <v>2</v>
      </c>
      <c r="H36" s="94">
        <f t="shared" si="2"/>
        <v>2</v>
      </c>
      <c r="I36" s="94">
        <f t="shared" si="2"/>
        <v>2</v>
      </c>
      <c r="J36" s="94">
        <f t="shared" si="2"/>
        <v>2</v>
      </c>
      <c r="K36" s="94">
        <f t="shared" si="2"/>
        <v>2</v>
      </c>
      <c r="L36" s="94">
        <f t="shared" si="2"/>
        <v>2</v>
      </c>
      <c r="M36" s="94">
        <f t="shared" si="2"/>
        <v>2</v>
      </c>
      <c r="N36" s="94">
        <f t="shared" si="2"/>
        <v>2</v>
      </c>
      <c r="O36" s="94">
        <f t="shared" si="2"/>
        <v>2</v>
      </c>
      <c r="P36" s="94">
        <f t="shared" si="2"/>
        <v>2</v>
      </c>
      <c r="Q36" s="94">
        <f t="shared" si="2"/>
        <v>2</v>
      </c>
      <c r="R36" s="94">
        <f t="shared" si="2"/>
        <v>2</v>
      </c>
      <c r="S36" s="94">
        <f t="shared" si="2"/>
        <v>2</v>
      </c>
      <c r="T36" s="94">
        <f t="shared" si="2"/>
        <v>2</v>
      </c>
      <c r="U36" s="94">
        <f t="shared" si="2"/>
        <v>2</v>
      </c>
      <c r="V36" s="94">
        <f t="shared" si="2"/>
        <v>2</v>
      </c>
      <c r="W36" s="94">
        <f t="shared" si="2"/>
        <v>2</v>
      </c>
      <c r="X36" s="94" t="str">
        <f>IF(Z36&gt;0,"入力確認",IF(AB36=Y36,"適合","不適合"))</f>
        <v>適合</v>
      </c>
      <c r="Y36" s="18">
        <f>COUNTIF($D36:$W36,0)</f>
        <v>2</v>
      </c>
      <c r="Z36" s="155">
        <f>COUNTIF($D36:$W36,1)</f>
        <v>0</v>
      </c>
      <c r="AA36" s="155">
        <f>COUNTIF($D36:$W36,2)</f>
        <v>18</v>
      </c>
      <c r="AB36" s="18">
        <f>20-COUNTIF($D$29:$W$29,"")</f>
        <v>2</v>
      </c>
      <c r="AC36" s="18">
        <f>COUNTIF($D$30:$W$30,"排気")</f>
        <v>2</v>
      </c>
      <c r="AD36" s="18">
        <f>COUNTIF($D$30:$W$30,"給気")</f>
        <v>0</v>
      </c>
      <c r="AE36" s="99">
        <v>34</v>
      </c>
    </row>
    <row r="38" spans="2:31" ht="42" customHeight="1" thickBot="1" x14ac:dyDescent="0.6">
      <c r="B38" s="152" t="s">
        <v>432</v>
      </c>
      <c r="C38" s="25"/>
    </row>
    <row r="39" spans="2:31" x14ac:dyDescent="0.55000000000000004">
      <c r="B39" s="225" t="s">
        <v>129</v>
      </c>
      <c r="C39" s="225"/>
      <c r="D39" s="26" t="s">
        <v>276</v>
      </c>
      <c r="E39" s="26" t="s">
        <v>277</v>
      </c>
      <c r="F39" s="26" t="s">
        <v>278</v>
      </c>
      <c r="G39" s="26" t="s">
        <v>279</v>
      </c>
      <c r="H39" s="26" t="s">
        <v>280</v>
      </c>
      <c r="I39" s="26" t="s">
        <v>281</v>
      </c>
      <c r="J39" s="26" t="s">
        <v>282</v>
      </c>
      <c r="K39" s="26" t="s">
        <v>283</v>
      </c>
      <c r="L39" s="26" t="s">
        <v>284</v>
      </c>
      <c r="M39" s="26" t="s">
        <v>285</v>
      </c>
      <c r="N39" s="26" t="s">
        <v>341</v>
      </c>
      <c r="O39" s="26" t="s">
        <v>342</v>
      </c>
      <c r="P39" s="26" t="s">
        <v>343</v>
      </c>
      <c r="Q39" s="26" t="s">
        <v>344</v>
      </c>
      <c r="R39" s="26" t="s">
        <v>345</v>
      </c>
      <c r="S39" s="26" t="s">
        <v>346</v>
      </c>
      <c r="T39" s="26" t="s">
        <v>347</v>
      </c>
      <c r="U39" s="26" t="s">
        <v>348</v>
      </c>
      <c r="V39" s="26" t="s">
        <v>349</v>
      </c>
      <c r="W39" s="26" t="s">
        <v>350</v>
      </c>
      <c r="X39" s="180" t="s">
        <v>479</v>
      </c>
      <c r="Y39" s="181" t="s">
        <v>480</v>
      </c>
      <c r="Z39" s="18"/>
      <c r="AA39" s="74" t="s">
        <v>434</v>
      </c>
    </row>
    <row r="40" spans="2:31" ht="63" customHeight="1" x14ac:dyDescent="0.55000000000000004">
      <c r="B40" s="230" t="s">
        <v>1</v>
      </c>
      <c r="C40" s="230"/>
      <c r="D40" s="287" t="s">
        <v>208</v>
      </c>
      <c r="E40" s="287" t="s">
        <v>208</v>
      </c>
      <c r="F40" s="287" t="s">
        <v>208</v>
      </c>
      <c r="G40" s="287" t="s">
        <v>208</v>
      </c>
      <c r="H40" s="287" t="s">
        <v>208</v>
      </c>
      <c r="I40" s="287"/>
      <c r="J40" s="287"/>
      <c r="K40" s="287"/>
      <c r="L40" s="287"/>
      <c r="M40" s="287"/>
      <c r="N40" s="287"/>
      <c r="O40" s="287"/>
      <c r="P40" s="287"/>
      <c r="Q40" s="287"/>
      <c r="R40" s="287"/>
      <c r="S40" s="287"/>
      <c r="T40" s="287"/>
      <c r="U40" s="287"/>
      <c r="V40" s="287"/>
      <c r="W40" s="287"/>
      <c r="X40" s="182" t="s">
        <v>10</v>
      </c>
      <c r="Y40" s="183" t="s">
        <v>10</v>
      </c>
      <c r="Z40" s="18"/>
      <c r="AB40" s="186" t="s">
        <v>486</v>
      </c>
    </row>
    <row r="41" spans="2:31" ht="26.25" customHeight="1" x14ac:dyDescent="0.55000000000000004">
      <c r="B41" s="230" t="s">
        <v>483</v>
      </c>
      <c r="C41" s="230"/>
      <c r="D41" s="289" t="s">
        <v>477</v>
      </c>
      <c r="E41" s="289" t="s">
        <v>477</v>
      </c>
      <c r="F41" s="289" t="s">
        <v>477</v>
      </c>
      <c r="G41" s="289" t="s">
        <v>477</v>
      </c>
      <c r="H41" s="289" t="s">
        <v>477</v>
      </c>
      <c r="I41" s="289"/>
      <c r="J41" s="289"/>
      <c r="K41" s="289"/>
      <c r="L41" s="289"/>
      <c r="M41" s="289"/>
      <c r="N41" s="289"/>
      <c r="O41" s="289"/>
      <c r="P41" s="289"/>
      <c r="Q41" s="289"/>
      <c r="R41" s="289"/>
      <c r="S41" s="289"/>
      <c r="T41" s="289"/>
      <c r="U41" s="289"/>
      <c r="V41" s="289"/>
      <c r="W41" s="289"/>
      <c r="X41" s="182" t="s">
        <v>10</v>
      </c>
      <c r="Y41" s="183" t="s">
        <v>10</v>
      </c>
      <c r="AA41" s="74"/>
    </row>
    <row r="42" spans="2:31" ht="27" customHeight="1" x14ac:dyDescent="0.55000000000000004">
      <c r="B42" s="247" t="s">
        <v>9</v>
      </c>
      <c r="C42" s="248"/>
      <c r="D42" s="297" t="s">
        <v>93</v>
      </c>
      <c r="E42" s="297" t="s">
        <v>92</v>
      </c>
      <c r="F42" s="297" t="s">
        <v>91</v>
      </c>
      <c r="G42" s="297" t="s">
        <v>91</v>
      </c>
      <c r="H42" s="297" t="s">
        <v>91</v>
      </c>
      <c r="I42" s="297"/>
      <c r="J42" s="297"/>
      <c r="K42" s="297"/>
      <c r="L42" s="297"/>
      <c r="M42" s="297"/>
      <c r="N42" s="297"/>
      <c r="O42" s="297"/>
      <c r="P42" s="297"/>
      <c r="Q42" s="297"/>
      <c r="R42" s="297"/>
      <c r="S42" s="297"/>
      <c r="T42" s="297"/>
      <c r="U42" s="297"/>
      <c r="V42" s="297"/>
      <c r="W42" s="297"/>
      <c r="X42" s="182" t="s">
        <v>10</v>
      </c>
      <c r="Y42" s="183" t="s">
        <v>10</v>
      </c>
      <c r="Z42" s="18"/>
      <c r="AA42" s="74"/>
    </row>
    <row r="43" spans="2:31" ht="27" customHeight="1" thickBot="1" x14ac:dyDescent="0.6">
      <c r="B43" s="250" t="s">
        <v>116</v>
      </c>
      <c r="C43" s="251"/>
      <c r="D43" s="298" t="s">
        <v>98</v>
      </c>
      <c r="E43" s="298" t="s">
        <v>98</v>
      </c>
      <c r="F43" s="298" t="s">
        <v>98</v>
      </c>
      <c r="G43" s="298" t="s">
        <v>98</v>
      </c>
      <c r="H43" s="298" t="s">
        <v>108</v>
      </c>
      <c r="I43" s="289"/>
      <c r="J43" s="289"/>
      <c r="K43" s="289"/>
      <c r="L43" s="289"/>
      <c r="M43" s="289"/>
      <c r="N43" s="289"/>
      <c r="O43" s="289"/>
      <c r="P43" s="289"/>
      <c r="Q43" s="289"/>
      <c r="R43" s="289"/>
      <c r="S43" s="289"/>
      <c r="T43" s="289"/>
      <c r="U43" s="289"/>
      <c r="V43" s="289"/>
      <c r="W43" s="289"/>
      <c r="X43" s="178" t="s">
        <v>10</v>
      </c>
      <c r="Y43" s="179" t="s">
        <v>10</v>
      </c>
      <c r="Z43" s="18"/>
      <c r="AA43" s="74"/>
    </row>
    <row r="44" spans="2:31" ht="27" customHeight="1" x14ac:dyDescent="0.55000000000000004">
      <c r="B44" s="230" t="s">
        <v>3</v>
      </c>
      <c r="C44" s="230"/>
      <c r="D44" s="290">
        <v>1</v>
      </c>
      <c r="E44" s="290">
        <v>1</v>
      </c>
      <c r="F44" s="290">
        <v>1</v>
      </c>
      <c r="G44" s="290">
        <v>1</v>
      </c>
      <c r="H44" s="290">
        <v>1</v>
      </c>
      <c r="I44" s="290"/>
      <c r="J44" s="290"/>
      <c r="K44" s="290"/>
      <c r="L44" s="290"/>
      <c r="M44" s="290"/>
      <c r="N44" s="290"/>
      <c r="O44" s="290"/>
      <c r="P44" s="290"/>
      <c r="Q44" s="290"/>
      <c r="R44" s="290"/>
      <c r="S44" s="290"/>
      <c r="T44" s="290"/>
      <c r="U44" s="290"/>
      <c r="V44" s="290"/>
      <c r="W44" s="290"/>
      <c r="X44" s="171">
        <f>IF(SUMIF($D$41:$W$41,"排気",$D$44:$W$44)=0,"",SUMIF($D$41:$W$41,"排気",$D$44:$W$44))</f>
        <v>5</v>
      </c>
      <c r="Y44" s="172" t="str">
        <f>IF(SUMIF($D$41:$W$41,"給気",$D$44:$W$44)=0,"",SUMIF($D$41:$W$41,"給気",$D$44:$W$44))</f>
        <v/>
      </c>
      <c r="Z44" s="18"/>
    </row>
    <row r="45" spans="2:31" ht="27" customHeight="1" x14ac:dyDescent="0.55000000000000004">
      <c r="B45" s="246" t="s">
        <v>4</v>
      </c>
      <c r="C45" s="246"/>
      <c r="D45" s="292">
        <v>600</v>
      </c>
      <c r="E45" s="292">
        <v>600</v>
      </c>
      <c r="F45" s="292">
        <v>600</v>
      </c>
      <c r="G45" s="292">
        <v>1080</v>
      </c>
      <c r="H45" s="292">
        <v>1080</v>
      </c>
      <c r="I45" s="292"/>
      <c r="J45" s="292"/>
      <c r="K45" s="292"/>
      <c r="L45" s="292"/>
      <c r="M45" s="292"/>
      <c r="N45" s="292"/>
      <c r="O45" s="292"/>
      <c r="P45" s="292"/>
      <c r="Q45" s="292"/>
      <c r="R45" s="292"/>
      <c r="S45" s="292"/>
      <c r="T45" s="292"/>
      <c r="U45" s="292"/>
      <c r="V45" s="292"/>
      <c r="W45" s="292"/>
      <c r="X45" s="173">
        <f>IF(AC63=0,"",X50)</f>
        <v>3960</v>
      </c>
      <c r="Y45" s="174" t="str">
        <f>IF(AD63=0,"",Y50)</f>
        <v/>
      </c>
      <c r="Z45" s="18"/>
      <c r="AA45" s="74" t="s">
        <v>487</v>
      </c>
    </row>
    <row r="46" spans="2:31" ht="27" customHeight="1" thickBot="1" x14ac:dyDescent="0.6">
      <c r="B46" s="230" t="s">
        <v>5</v>
      </c>
      <c r="C46" s="230"/>
      <c r="D46" s="294">
        <v>20</v>
      </c>
      <c r="E46" s="295">
        <v>20</v>
      </c>
      <c r="F46" s="295">
        <v>20</v>
      </c>
      <c r="G46" s="295">
        <v>26</v>
      </c>
      <c r="H46" s="295">
        <v>26</v>
      </c>
      <c r="I46" s="295"/>
      <c r="J46" s="295"/>
      <c r="K46" s="295"/>
      <c r="L46" s="295"/>
      <c r="M46" s="295"/>
      <c r="N46" s="295"/>
      <c r="O46" s="295"/>
      <c r="P46" s="295"/>
      <c r="Q46" s="295"/>
      <c r="R46" s="295"/>
      <c r="S46" s="295"/>
      <c r="T46" s="295"/>
      <c r="U46" s="295"/>
      <c r="V46" s="295"/>
      <c r="W46" s="295"/>
      <c r="X46" s="176">
        <f>IF(AC63=0,"",X51)</f>
        <v>112</v>
      </c>
      <c r="Y46" s="175" t="str">
        <f>IF(AD63=0,"",Y51)</f>
        <v/>
      </c>
      <c r="Z46" s="18"/>
    </row>
    <row r="47" spans="2:31" ht="27" customHeight="1" x14ac:dyDescent="0.55000000000000004">
      <c r="B47" s="249" t="s">
        <v>13</v>
      </c>
      <c r="C47" s="249"/>
      <c r="D47" s="28">
        <f t="shared" ref="D47:W47" si="3">IF(D40="高効率換気設備",IF(ISERROR(D46/D45),"",D46/D45),"---")</f>
        <v>3.3333333333333333E-2</v>
      </c>
      <c r="E47" s="29">
        <f t="shared" si="3"/>
        <v>3.3333333333333333E-2</v>
      </c>
      <c r="F47" s="29">
        <f t="shared" si="3"/>
        <v>3.3333333333333333E-2</v>
      </c>
      <c r="G47" s="29">
        <f t="shared" si="3"/>
        <v>2.4074074074074074E-2</v>
      </c>
      <c r="H47" s="29">
        <f t="shared" si="3"/>
        <v>2.4074074074074074E-2</v>
      </c>
      <c r="I47" s="29" t="str">
        <f t="shared" si="3"/>
        <v>---</v>
      </c>
      <c r="J47" s="29" t="str">
        <f t="shared" si="3"/>
        <v>---</v>
      </c>
      <c r="K47" s="29" t="str">
        <f t="shared" si="3"/>
        <v>---</v>
      </c>
      <c r="L47" s="29" t="str">
        <f t="shared" si="3"/>
        <v>---</v>
      </c>
      <c r="M47" s="29" t="str">
        <f t="shared" si="3"/>
        <v>---</v>
      </c>
      <c r="N47" s="29" t="str">
        <f t="shared" si="3"/>
        <v>---</v>
      </c>
      <c r="O47" s="29" t="str">
        <f t="shared" si="3"/>
        <v>---</v>
      </c>
      <c r="P47" s="29" t="str">
        <f t="shared" si="3"/>
        <v>---</v>
      </c>
      <c r="Q47" s="29" t="str">
        <f t="shared" si="3"/>
        <v>---</v>
      </c>
      <c r="R47" s="29" t="str">
        <f t="shared" si="3"/>
        <v>---</v>
      </c>
      <c r="S47" s="29" t="str">
        <f t="shared" si="3"/>
        <v>---</v>
      </c>
      <c r="T47" s="29" t="str">
        <f t="shared" si="3"/>
        <v>---</v>
      </c>
      <c r="U47" s="29" t="str">
        <f t="shared" si="3"/>
        <v>---</v>
      </c>
      <c r="V47" s="29" t="str">
        <f t="shared" si="3"/>
        <v>---</v>
      </c>
      <c r="W47" s="29" t="str">
        <f t="shared" si="3"/>
        <v>---</v>
      </c>
      <c r="X47" s="184" t="s">
        <v>10</v>
      </c>
      <c r="Y47" s="185" t="s">
        <v>10</v>
      </c>
      <c r="Z47" s="18"/>
    </row>
    <row r="48" spans="2:31" ht="27" customHeight="1" x14ac:dyDescent="0.55000000000000004">
      <c r="B48" s="42" t="s">
        <v>95</v>
      </c>
      <c r="C48" s="199" t="s">
        <v>7</v>
      </c>
      <c r="D48" s="299"/>
      <c r="E48" s="300"/>
      <c r="F48" s="300"/>
      <c r="G48" s="300"/>
      <c r="H48" s="300"/>
      <c r="I48" s="300"/>
      <c r="J48" s="300"/>
      <c r="K48" s="300"/>
      <c r="L48" s="300"/>
      <c r="M48" s="300"/>
      <c r="N48" s="300"/>
      <c r="O48" s="300"/>
      <c r="P48" s="300"/>
      <c r="Q48" s="300"/>
      <c r="R48" s="300"/>
      <c r="S48" s="300"/>
      <c r="T48" s="300"/>
      <c r="U48" s="300"/>
      <c r="V48" s="300"/>
      <c r="W48" s="300"/>
      <c r="X48" s="182" t="s">
        <v>10</v>
      </c>
      <c r="Y48" s="183" t="s">
        <v>10</v>
      </c>
      <c r="Z48" s="18"/>
      <c r="AB48" s="74" t="s">
        <v>440</v>
      </c>
    </row>
    <row r="49" spans="2:31" ht="27" customHeight="1" x14ac:dyDescent="0.55000000000000004">
      <c r="B49" s="43" t="s">
        <v>12</v>
      </c>
      <c r="C49" s="199" t="s">
        <v>8</v>
      </c>
      <c r="D49" s="299"/>
      <c r="E49" s="300"/>
      <c r="F49" s="300"/>
      <c r="G49" s="300"/>
      <c r="H49" s="300"/>
      <c r="I49" s="300"/>
      <c r="J49" s="300"/>
      <c r="K49" s="300"/>
      <c r="L49" s="300"/>
      <c r="M49" s="300"/>
      <c r="N49" s="300"/>
      <c r="O49" s="300"/>
      <c r="P49" s="300"/>
      <c r="Q49" s="300"/>
      <c r="R49" s="300"/>
      <c r="S49" s="300"/>
      <c r="T49" s="300"/>
      <c r="U49" s="300"/>
      <c r="V49" s="300"/>
      <c r="W49" s="300"/>
      <c r="X49" s="182" t="s">
        <v>10</v>
      </c>
      <c r="Y49" s="183" t="s">
        <v>10</v>
      </c>
      <c r="Z49" s="18"/>
    </row>
    <row r="50" spans="2:31" ht="27" hidden="1" customHeight="1" x14ac:dyDescent="0.55000000000000004">
      <c r="B50" s="246" t="s">
        <v>481</v>
      </c>
      <c r="C50" s="246"/>
      <c r="D50" s="292">
        <f>D44*D45</f>
        <v>600</v>
      </c>
      <c r="E50" s="292">
        <f t="shared" ref="E50:W50" si="4">E44*E45</f>
        <v>600</v>
      </c>
      <c r="F50" s="292">
        <f t="shared" si="4"/>
        <v>600</v>
      </c>
      <c r="G50" s="292">
        <f t="shared" si="4"/>
        <v>1080</v>
      </c>
      <c r="H50" s="292">
        <f t="shared" si="4"/>
        <v>1080</v>
      </c>
      <c r="I50" s="292">
        <f t="shared" si="4"/>
        <v>0</v>
      </c>
      <c r="J50" s="292">
        <f t="shared" si="4"/>
        <v>0</v>
      </c>
      <c r="K50" s="292">
        <f t="shared" si="4"/>
        <v>0</v>
      </c>
      <c r="L50" s="292">
        <f t="shared" si="4"/>
        <v>0</v>
      </c>
      <c r="M50" s="292">
        <f t="shared" si="4"/>
        <v>0</v>
      </c>
      <c r="N50" s="292">
        <f t="shared" si="4"/>
        <v>0</v>
      </c>
      <c r="O50" s="292">
        <f t="shared" si="4"/>
        <v>0</v>
      </c>
      <c r="P50" s="292">
        <f t="shared" si="4"/>
        <v>0</v>
      </c>
      <c r="Q50" s="292">
        <f t="shared" si="4"/>
        <v>0</v>
      </c>
      <c r="R50" s="292">
        <f t="shared" si="4"/>
        <v>0</v>
      </c>
      <c r="S50" s="292">
        <f t="shared" si="4"/>
        <v>0</v>
      </c>
      <c r="T50" s="292">
        <f t="shared" si="4"/>
        <v>0</v>
      </c>
      <c r="U50" s="292">
        <f t="shared" si="4"/>
        <v>0</v>
      </c>
      <c r="V50" s="292">
        <f t="shared" si="4"/>
        <v>0</v>
      </c>
      <c r="W50" s="292">
        <f t="shared" si="4"/>
        <v>0</v>
      </c>
      <c r="X50" s="182">
        <f>IF(SUMIF($D$41:$W$41,"排気",$D$50:$W$50)=0,0,SUMIF($D$41:$W$41,"排気",$D$50:$W$50))</f>
        <v>3960</v>
      </c>
      <c r="Y50" s="183">
        <f>IF(SUMIF($D$41:$W$41,"給気",$D$50:$W$50)=0,0,SUMIF($D$41:$W$41,"給気",$D$50:$W$50))</f>
        <v>0</v>
      </c>
    </row>
    <row r="51" spans="2:31" ht="27" hidden="1" customHeight="1" thickBot="1" x14ac:dyDescent="0.6">
      <c r="B51" s="230" t="s">
        <v>482</v>
      </c>
      <c r="C51" s="230"/>
      <c r="D51" s="292">
        <f>D44*D46</f>
        <v>20</v>
      </c>
      <c r="E51" s="292">
        <f t="shared" ref="E51:W51" si="5">E44*E46</f>
        <v>20</v>
      </c>
      <c r="F51" s="292">
        <f t="shared" si="5"/>
        <v>20</v>
      </c>
      <c r="G51" s="292">
        <f t="shared" si="5"/>
        <v>26</v>
      </c>
      <c r="H51" s="292">
        <f t="shared" si="5"/>
        <v>26</v>
      </c>
      <c r="I51" s="292">
        <f t="shared" si="5"/>
        <v>0</v>
      </c>
      <c r="J51" s="292">
        <f t="shared" si="5"/>
        <v>0</v>
      </c>
      <c r="K51" s="292">
        <f t="shared" si="5"/>
        <v>0</v>
      </c>
      <c r="L51" s="292">
        <f t="shared" si="5"/>
        <v>0</v>
      </c>
      <c r="M51" s="292">
        <f t="shared" si="5"/>
        <v>0</v>
      </c>
      <c r="N51" s="292">
        <f t="shared" si="5"/>
        <v>0</v>
      </c>
      <c r="O51" s="292">
        <f t="shared" si="5"/>
        <v>0</v>
      </c>
      <c r="P51" s="292">
        <f t="shared" si="5"/>
        <v>0</v>
      </c>
      <c r="Q51" s="292">
        <f t="shared" si="5"/>
        <v>0</v>
      </c>
      <c r="R51" s="292">
        <f t="shared" si="5"/>
        <v>0</v>
      </c>
      <c r="S51" s="292">
        <f t="shared" si="5"/>
        <v>0</v>
      </c>
      <c r="T51" s="292">
        <f t="shared" si="5"/>
        <v>0</v>
      </c>
      <c r="U51" s="292">
        <f t="shared" si="5"/>
        <v>0</v>
      </c>
      <c r="V51" s="292">
        <f t="shared" si="5"/>
        <v>0</v>
      </c>
      <c r="W51" s="292">
        <f t="shared" si="5"/>
        <v>0</v>
      </c>
      <c r="X51" s="178">
        <f>IF(SUMIF($D$41:$W$41,"排気",$D$51:$W$51)=0,0,SUMIF($D$41:$W$41,"排気",$D$51:$W$51))</f>
        <v>112</v>
      </c>
      <c r="Y51" s="179">
        <f>IF(SUMIF($D$41:$W$41,"給気",$D$51:$W$51)=0,0,SUMIF($D$41:$W$41,"給気",$D$51:$W$51))</f>
        <v>0</v>
      </c>
    </row>
    <row r="52" spans="2:31" hidden="1" x14ac:dyDescent="0.55000000000000004">
      <c r="B52" s="109" t="s">
        <v>267</v>
      </c>
      <c r="C52" s="109"/>
      <c r="D52" s="109">
        <f t="shared" ref="D52:I52" si="6">IF(D$40&lt;&gt;"機械換気（換気扇等）",2,IF(AND(D$40="機械換気（換気扇等）",D$42="継続"),0,1))</f>
        <v>2</v>
      </c>
      <c r="E52" s="109">
        <f t="shared" si="6"/>
        <v>2</v>
      </c>
      <c r="F52" s="109">
        <f t="shared" si="6"/>
        <v>2</v>
      </c>
      <c r="G52" s="109">
        <f t="shared" si="6"/>
        <v>2</v>
      </c>
      <c r="H52" s="109">
        <f t="shared" si="6"/>
        <v>2</v>
      </c>
      <c r="I52" s="109">
        <f t="shared" si="6"/>
        <v>2</v>
      </c>
      <c r="J52" s="109">
        <f t="shared" ref="J52:W52" si="7">IF(J$40&lt;&gt;"機械換気（換気扇等）",2,IF(AND(J$40="機械換気（換気扇等）",J$42="継続"),0,1))</f>
        <v>2</v>
      </c>
      <c r="K52" s="109">
        <f t="shared" si="7"/>
        <v>2</v>
      </c>
      <c r="L52" s="109">
        <f t="shared" si="7"/>
        <v>2</v>
      </c>
      <c r="M52" s="109">
        <f t="shared" si="7"/>
        <v>2</v>
      </c>
      <c r="N52" s="109">
        <f t="shared" si="7"/>
        <v>2</v>
      </c>
      <c r="O52" s="109">
        <f t="shared" si="7"/>
        <v>2</v>
      </c>
      <c r="P52" s="109">
        <f t="shared" si="7"/>
        <v>2</v>
      </c>
      <c r="Q52" s="109">
        <f>IF(Q$40&lt;&gt;"機械換気（換気扇等）",2,IF(AND(Q$40="機械換気（換気扇等）",Q$42="継続"),0,1))</f>
        <v>2</v>
      </c>
      <c r="R52" s="109">
        <f>IF(R$40&lt;&gt;"機械換気（換気扇等）",2,IF(AND(R$40="機械換気（換気扇等）",R$42="継続"),0,1))</f>
        <v>2</v>
      </c>
      <c r="S52" s="109">
        <f t="shared" si="7"/>
        <v>2</v>
      </c>
      <c r="T52" s="109">
        <f t="shared" si="7"/>
        <v>2</v>
      </c>
      <c r="U52" s="109">
        <f t="shared" si="7"/>
        <v>2</v>
      </c>
      <c r="V52" s="109">
        <f t="shared" si="7"/>
        <v>2</v>
      </c>
      <c r="W52" s="109">
        <f t="shared" si="7"/>
        <v>2</v>
      </c>
      <c r="X52" s="94" t="str">
        <f>IF(AC52=Y52,"適合","非適合")</f>
        <v>適合</v>
      </c>
      <c r="Y52" s="18">
        <f>COUNTIF($D52:$W52,0)</f>
        <v>0</v>
      </c>
      <c r="Z52" s="155">
        <f>COUNTIF($D52:$W52,1)</f>
        <v>0</v>
      </c>
      <c r="AA52" s="155">
        <f>COUNTIF($D52:$W52,2)</f>
        <v>20</v>
      </c>
      <c r="AC52" s="18">
        <f>COUNTIF($D$40:$W$40,"機械換気（換気扇等）")</f>
        <v>0</v>
      </c>
      <c r="AE52" s="99">
        <v>50</v>
      </c>
    </row>
    <row r="53" spans="2:31" hidden="1" x14ac:dyDescent="0.55000000000000004">
      <c r="B53" s="165" t="s">
        <v>462</v>
      </c>
      <c r="C53" s="165"/>
      <c r="D53" s="165">
        <f>IF(OR(D41="補器（排気）",D41="補器（給気）",D42="継続"),0,IF(D42="新設",1,IF(D42="増設",2,IF(D42="更新",3,9))))</f>
        <v>3</v>
      </c>
      <c r="E53" s="165">
        <f t="shared" ref="E53:W53" si="8">IF(OR(E41="補器（排気）",E41="補器（給気）",E42="継続"),0,IF(E42="新設",1,IF(E42="増設",2,IF(E42="更新",3,9))))</f>
        <v>2</v>
      </c>
      <c r="F53" s="165">
        <f t="shared" si="8"/>
        <v>1</v>
      </c>
      <c r="G53" s="165">
        <f t="shared" si="8"/>
        <v>1</v>
      </c>
      <c r="H53" s="165">
        <f t="shared" si="8"/>
        <v>1</v>
      </c>
      <c r="I53" s="165">
        <f t="shared" si="8"/>
        <v>9</v>
      </c>
      <c r="J53" s="165">
        <f t="shared" si="8"/>
        <v>9</v>
      </c>
      <c r="K53" s="165">
        <f t="shared" si="8"/>
        <v>9</v>
      </c>
      <c r="L53" s="165">
        <f t="shared" si="8"/>
        <v>9</v>
      </c>
      <c r="M53" s="165">
        <f t="shared" si="8"/>
        <v>9</v>
      </c>
      <c r="N53" s="165">
        <f t="shared" si="8"/>
        <v>9</v>
      </c>
      <c r="O53" s="165">
        <f t="shared" si="8"/>
        <v>9</v>
      </c>
      <c r="P53" s="165">
        <f t="shared" si="8"/>
        <v>9</v>
      </c>
      <c r="Q53" s="165">
        <f t="shared" si="8"/>
        <v>9</v>
      </c>
      <c r="R53" s="165">
        <f t="shared" si="8"/>
        <v>9</v>
      </c>
      <c r="S53" s="165">
        <f t="shared" si="8"/>
        <v>9</v>
      </c>
      <c r="T53" s="165">
        <f t="shared" si="8"/>
        <v>9</v>
      </c>
      <c r="U53" s="165">
        <f t="shared" si="8"/>
        <v>9</v>
      </c>
      <c r="V53" s="165">
        <f t="shared" si="8"/>
        <v>9</v>
      </c>
      <c r="W53" s="165">
        <f t="shared" si="8"/>
        <v>9</v>
      </c>
      <c r="X53" s="94" t="str">
        <f>IF(Y53=AD53,"非適合","適合")</f>
        <v>適合</v>
      </c>
      <c r="Y53" s="18">
        <f>COUNTIF($D53:$W53,0)</f>
        <v>0</v>
      </c>
      <c r="Z53" s="155">
        <f>COUNTIF($D53:$W53,1)</f>
        <v>3</v>
      </c>
      <c r="AA53" s="155">
        <f>COUNTIF($D53:$W53,2)</f>
        <v>1</v>
      </c>
      <c r="AB53" s="155">
        <f>COUNTIF($D53:$W53,3)</f>
        <v>1</v>
      </c>
      <c r="AC53" s="155">
        <f>COUNTIF($D53:$W53,9)</f>
        <v>15</v>
      </c>
      <c r="AD53" s="18">
        <f>20-COUNTIF($D$40:$W$40,"")</f>
        <v>5</v>
      </c>
      <c r="AE53" s="99">
        <v>52</v>
      </c>
    </row>
    <row r="54" spans="2:31" hidden="1" x14ac:dyDescent="0.55000000000000004">
      <c r="B54" s="96" t="s">
        <v>260</v>
      </c>
      <c r="C54" s="94"/>
      <c r="D54" s="94">
        <f t="shared" ref="D54:W54" si="9">IF(D47="---",2,IF(AND(D40="高効率換気設備",D47&lt;=0.4),0,1))</f>
        <v>0</v>
      </c>
      <c r="E54" s="94">
        <f t="shared" si="9"/>
        <v>0</v>
      </c>
      <c r="F54" s="94">
        <f t="shared" si="9"/>
        <v>0</v>
      </c>
      <c r="G54" s="94">
        <f t="shared" si="9"/>
        <v>0</v>
      </c>
      <c r="H54" s="94">
        <f t="shared" si="9"/>
        <v>0</v>
      </c>
      <c r="I54" s="94">
        <f t="shared" si="9"/>
        <v>2</v>
      </c>
      <c r="J54" s="94">
        <f t="shared" si="9"/>
        <v>2</v>
      </c>
      <c r="K54" s="94">
        <f t="shared" si="9"/>
        <v>2</v>
      </c>
      <c r="L54" s="94">
        <f t="shared" si="9"/>
        <v>2</v>
      </c>
      <c r="M54" s="94">
        <f t="shared" si="9"/>
        <v>2</v>
      </c>
      <c r="N54" s="94">
        <f t="shared" si="9"/>
        <v>2</v>
      </c>
      <c r="O54" s="94">
        <f t="shared" si="9"/>
        <v>2</v>
      </c>
      <c r="P54" s="94">
        <f t="shared" si="9"/>
        <v>2</v>
      </c>
      <c r="Q54" s="94">
        <f t="shared" si="9"/>
        <v>2</v>
      </c>
      <c r="R54" s="94">
        <f t="shared" si="9"/>
        <v>2</v>
      </c>
      <c r="S54" s="94">
        <f t="shared" si="9"/>
        <v>2</v>
      </c>
      <c r="T54" s="94">
        <f t="shared" si="9"/>
        <v>2</v>
      </c>
      <c r="U54" s="94">
        <f t="shared" si="9"/>
        <v>2</v>
      </c>
      <c r="V54" s="94">
        <f t="shared" si="9"/>
        <v>2</v>
      </c>
      <c r="W54" s="94">
        <f t="shared" si="9"/>
        <v>2</v>
      </c>
      <c r="X54" s="94" t="str">
        <f>IF(AC54=Y54,"適合","非適合")</f>
        <v>適合</v>
      </c>
      <c r="Y54" s="18">
        <f>COUNTIF($D54:$W54,0)</f>
        <v>5</v>
      </c>
      <c r="Z54" s="155">
        <f>COUNTIF($D54:$W54,1)</f>
        <v>0</v>
      </c>
      <c r="AA54" s="155">
        <f>COUNTIF($D54:$W54,2)</f>
        <v>15</v>
      </c>
      <c r="AB54" s="155">
        <f>COUNTIF($D$47:$W$47,"---")</f>
        <v>15</v>
      </c>
      <c r="AC54" s="18">
        <f>COUNTIF($D$40:$W$40,"高効率換気設備")</f>
        <v>5</v>
      </c>
      <c r="AE54" s="99">
        <v>53</v>
      </c>
    </row>
    <row r="55" spans="2:31" hidden="1" x14ac:dyDescent="0.55000000000000004">
      <c r="B55" s="94" t="s">
        <v>245</v>
      </c>
      <c r="C55" s="94"/>
      <c r="D55" s="94">
        <f>IF(D$40&lt;&gt;"換気・空調一体型設備",2,IF(D$40="換気・空調一体型設備",0,1))</f>
        <v>2</v>
      </c>
      <c r="E55" s="94">
        <f t="shared" ref="E55:W55" si="10">IF(E$40&lt;&gt;"換気・空調一体型設備",2,IF(E$40="換気・空調一体型設備",0,1))</f>
        <v>2</v>
      </c>
      <c r="F55" s="94">
        <f t="shared" si="10"/>
        <v>2</v>
      </c>
      <c r="G55" s="94">
        <f t="shared" si="10"/>
        <v>2</v>
      </c>
      <c r="H55" s="94">
        <f t="shared" si="10"/>
        <v>2</v>
      </c>
      <c r="I55" s="94">
        <f t="shared" si="10"/>
        <v>2</v>
      </c>
      <c r="J55" s="94">
        <f t="shared" si="10"/>
        <v>2</v>
      </c>
      <c r="K55" s="94">
        <f t="shared" si="10"/>
        <v>2</v>
      </c>
      <c r="L55" s="94">
        <f t="shared" si="10"/>
        <v>2</v>
      </c>
      <c r="M55" s="94">
        <f t="shared" si="10"/>
        <v>2</v>
      </c>
      <c r="N55" s="94">
        <f t="shared" si="10"/>
        <v>2</v>
      </c>
      <c r="O55" s="94">
        <f t="shared" si="10"/>
        <v>2</v>
      </c>
      <c r="P55" s="94">
        <f t="shared" si="10"/>
        <v>2</v>
      </c>
      <c r="Q55" s="94">
        <f t="shared" si="10"/>
        <v>2</v>
      </c>
      <c r="R55" s="94">
        <f t="shared" si="10"/>
        <v>2</v>
      </c>
      <c r="S55" s="94">
        <f t="shared" si="10"/>
        <v>2</v>
      </c>
      <c r="T55" s="94">
        <f t="shared" si="10"/>
        <v>2</v>
      </c>
      <c r="U55" s="94">
        <f t="shared" si="10"/>
        <v>2</v>
      </c>
      <c r="V55" s="94">
        <f t="shared" si="10"/>
        <v>2</v>
      </c>
      <c r="W55" s="94">
        <f t="shared" si="10"/>
        <v>2</v>
      </c>
      <c r="X55" s="94" t="str">
        <f>IF(AC55=Y55,"適合","非適合")</f>
        <v>適合</v>
      </c>
      <c r="Y55" s="18">
        <f>COUNTIF($D55:$W55,0)</f>
        <v>0</v>
      </c>
      <c r="Z55" s="155">
        <f>COUNTIF($D55:$W55,1)</f>
        <v>0</v>
      </c>
      <c r="AA55" s="155">
        <f>COUNTIF($D55:$W55,2)</f>
        <v>20</v>
      </c>
      <c r="AC55" s="18">
        <f>COUNTIF($D$40:$W$40,"換気・空調一体型設備")</f>
        <v>0</v>
      </c>
      <c r="AE55" s="99">
        <v>54</v>
      </c>
    </row>
    <row r="56" spans="2:31" hidden="1" x14ac:dyDescent="0.55000000000000004">
      <c r="B56" s="94" t="s">
        <v>274</v>
      </c>
      <c r="C56" s="94"/>
      <c r="D56" s="94">
        <f t="shared" ref="D56:W56" si="11">IF(AND(D55=0,OR(D42="新設",D42="増設",D42="更新")),0,2)</f>
        <v>2</v>
      </c>
      <c r="E56" s="94">
        <f t="shared" si="11"/>
        <v>2</v>
      </c>
      <c r="F56" s="94">
        <f t="shared" si="11"/>
        <v>2</v>
      </c>
      <c r="G56" s="94">
        <f t="shared" si="11"/>
        <v>2</v>
      </c>
      <c r="H56" s="94">
        <f t="shared" si="11"/>
        <v>2</v>
      </c>
      <c r="I56" s="94">
        <f t="shared" si="11"/>
        <v>2</v>
      </c>
      <c r="J56" s="94">
        <f t="shared" si="11"/>
        <v>2</v>
      </c>
      <c r="K56" s="94">
        <f t="shared" si="11"/>
        <v>2</v>
      </c>
      <c r="L56" s="94">
        <f t="shared" si="11"/>
        <v>2</v>
      </c>
      <c r="M56" s="94">
        <f t="shared" si="11"/>
        <v>2</v>
      </c>
      <c r="N56" s="94">
        <f t="shared" si="11"/>
        <v>2</v>
      </c>
      <c r="O56" s="94">
        <f t="shared" si="11"/>
        <v>2</v>
      </c>
      <c r="P56" s="94">
        <f t="shared" si="11"/>
        <v>2</v>
      </c>
      <c r="Q56" s="94">
        <f t="shared" si="11"/>
        <v>2</v>
      </c>
      <c r="R56" s="94">
        <f t="shared" si="11"/>
        <v>2</v>
      </c>
      <c r="S56" s="94">
        <f t="shared" si="11"/>
        <v>2</v>
      </c>
      <c r="T56" s="94">
        <f t="shared" si="11"/>
        <v>2</v>
      </c>
      <c r="U56" s="94">
        <f t="shared" si="11"/>
        <v>2</v>
      </c>
      <c r="V56" s="94">
        <f t="shared" si="11"/>
        <v>2</v>
      </c>
      <c r="W56" s="94">
        <f t="shared" si="11"/>
        <v>2</v>
      </c>
      <c r="X56" s="94"/>
      <c r="AE56" s="99">
        <v>55</v>
      </c>
    </row>
    <row r="57" spans="2:31" hidden="1" x14ac:dyDescent="0.55000000000000004">
      <c r="B57" s="109" t="s">
        <v>268</v>
      </c>
      <c r="C57" s="109"/>
      <c r="D57" s="109">
        <f>IF(AND(D$40&lt;&gt;"熱交換型換気設備",D$40&lt;&gt;"顕熱交換器"),2,IF(AND(OR(D$40="熱交換型換気設備",D$40="顕熱交換器"),OR(D$42="継続",D$43="工場",D$43="倉庫")),0,1))</f>
        <v>2</v>
      </c>
      <c r="E57" s="109">
        <f t="shared" ref="E57:W57" si="12">IF(AND(E$40&lt;&gt;"熱交換型換気設備",E$40&lt;&gt;"顕熱交換器"),2,IF(AND(OR(E$40="熱交換型換気設備",E$40="顕熱交換器"),OR(E$42="継続",E$43="工場",E$43="倉庫")),0,1))</f>
        <v>2</v>
      </c>
      <c r="F57" s="109">
        <f t="shared" si="12"/>
        <v>2</v>
      </c>
      <c r="G57" s="109">
        <f t="shared" si="12"/>
        <v>2</v>
      </c>
      <c r="H57" s="109">
        <f t="shared" si="12"/>
        <v>2</v>
      </c>
      <c r="I57" s="109">
        <f t="shared" si="12"/>
        <v>2</v>
      </c>
      <c r="J57" s="109">
        <f t="shared" si="12"/>
        <v>2</v>
      </c>
      <c r="K57" s="109">
        <f t="shared" si="12"/>
        <v>2</v>
      </c>
      <c r="L57" s="109">
        <f t="shared" si="12"/>
        <v>2</v>
      </c>
      <c r="M57" s="109">
        <f t="shared" si="12"/>
        <v>2</v>
      </c>
      <c r="N57" s="109">
        <f t="shared" si="12"/>
        <v>2</v>
      </c>
      <c r="O57" s="109">
        <f t="shared" si="12"/>
        <v>2</v>
      </c>
      <c r="P57" s="109">
        <f t="shared" si="12"/>
        <v>2</v>
      </c>
      <c r="Q57" s="109">
        <f t="shared" si="12"/>
        <v>2</v>
      </c>
      <c r="R57" s="109">
        <f t="shared" si="12"/>
        <v>2</v>
      </c>
      <c r="S57" s="109">
        <f t="shared" si="12"/>
        <v>2</v>
      </c>
      <c r="T57" s="109">
        <f t="shared" si="12"/>
        <v>2</v>
      </c>
      <c r="U57" s="109">
        <f t="shared" si="12"/>
        <v>2</v>
      </c>
      <c r="V57" s="109">
        <f t="shared" si="12"/>
        <v>2</v>
      </c>
      <c r="W57" s="109">
        <f t="shared" si="12"/>
        <v>2</v>
      </c>
      <c r="X57" s="94" t="str">
        <f>IF(AB57+AC57=Y57,"適合","非適合")</f>
        <v>適合</v>
      </c>
      <c r="Y57" s="18">
        <f t="shared" ref="Y57:Y62" si="13">COUNTIF($D57:$W57,0)</f>
        <v>0</v>
      </c>
      <c r="Z57" s="155">
        <f t="shared" ref="Z57:Z62" si="14">COUNTIF($D57:$W57,1)</f>
        <v>0</v>
      </c>
      <c r="AA57" s="155">
        <f t="shared" ref="AA57:AA62" si="15">COUNTIF($D57:$W57,2)</f>
        <v>20</v>
      </c>
      <c r="AB57" s="155">
        <f>COUNTIF($D$40:$W$40,"熱交換型換気設備")</f>
        <v>0</v>
      </c>
      <c r="AC57" s="18">
        <f>COUNTIF($D$40:$W$40,"顕熱交換器")</f>
        <v>0</v>
      </c>
      <c r="AE57" s="99">
        <v>56</v>
      </c>
    </row>
    <row r="58" spans="2:31" hidden="1" x14ac:dyDescent="0.55000000000000004">
      <c r="B58" s="94" t="s">
        <v>247</v>
      </c>
      <c r="C58" s="94"/>
      <c r="D58" s="94">
        <f t="shared" ref="D58:W58" si="16">IF(D$40&lt;&gt;"顕熱交換器",2,IF(OR(D$42="継続",AND(D$40="顕熱交換器",OR(D$43="工場",D$43="倉庫",D$43="私学学校"),D48&gt;=40)),0,1))</f>
        <v>2</v>
      </c>
      <c r="E58" s="94">
        <f t="shared" si="16"/>
        <v>2</v>
      </c>
      <c r="F58" s="94">
        <f t="shared" si="16"/>
        <v>2</v>
      </c>
      <c r="G58" s="94">
        <f t="shared" si="16"/>
        <v>2</v>
      </c>
      <c r="H58" s="94">
        <f t="shared" si="16"/>
        <v>2</v>
      </c>
      <c r="I58" s="94">
        <f t="shared" si="16"/>
        <v>2</v>
      </c>
      <c r="J58" s="94">
        <f t="shared" si="16"/>
        <v>2</v>
      </c>
      <c r="K58" s="94">
        <f t="shared" si="16"/>
        <v>2</v>
      </c>
      <c r="L58" s="94">
        <f t="shared" si="16"/>
        <v>2</v>
      </c>
      <c r="M58" s="94">
        <f t="shared" si="16"/>
        <v>2</v>
      </c>
      <c r="N58" s="94">
        <f t="shared" si="16"/>
        <v>2</v>
      </c>
      <c r="O58" s="94">
        <f t="shared" si="16"/>
        <v>2</v>
      </c>
      <c r="P58" s="94">
        <f t="shared" si="16"/>
        <v>2</v>
      </c>
      <c r="Q58" s="94">
        <f t="shared" si="16"/>
        <v>2</v>
      </c>
      <c r="R58" s="94">
        <f t="shared" si="16"/>
        <v>2</v>
      </c>
      <c r="S58" s="94">
        <f t="shared" si="16"/>
        <v>2</v>
      </c>
      <c r="T58" s="94">
        <f t="shared" si="16"/>
        <v>2</v>
      </c>
      <c r="U58" s="94">
        <f t="shared" si="16"/>
        <v>2</v>
      </c>
      <c r="V58" s="94">
        <f t="shared" si="16"/>
        <v>2</v>
      </c>
      <c r="W58" s="94">
        <f t="shared" si="16"/>
        <v>2</v>
      </c>
      <c r="X58" s="94"/>
      <c r="Y58" s="18">
        <f t="shared" si="13"/>
        <v>0</v>
      </c>
      <c r="Z58" s="155">
        <f t="shared" si="14"/>
        <v>0</v>
      </c>
      <c r="AA58" s="155">
        <f t="shared" si="15"/>
        <v>20</v>
      </c>
      <c r="AC58" s="18">
        <f>COUNTIF($D$40:$W$40,"顕熱交換器")</f>
        <v>0</v>
      </c>
      <c r="AE58" s="99">
        <v>57</v>
      </c>
    </row>
    <row r="59" spans="2:31" hidden="1" x14ac:dyDescent="0.55000000000000004">
      <c r="B59" s="94" t="s">
        <v>248</v>
      </c>
      <c r="C59" s="94"/>
      <c r="D59" s="94">
        <f t="shared" ref="D59:W59" si="17">IF(D$40&lt;&gt;"顕熱交換器",2,IF(OR(D$42="継続",AND(D$40="顕熱交換器",OR(D$43="工場",D$43="倉庫",D$43="私学学校"),D49&gt;=40)),0,1))</f>
        <v>2</v>
      </c>
      <c r="E59" s="94">
        <f t="shared" si="17"/>
        <v>2</v>
      </c>
      <c r="F59" s="94">
        <f t="shared" si="17"/>
        <v>2</v>
      </c>
      <c r="G59" s="94">
        <f t="shared" si="17"/>
        <v>2</v>
      </c>
      <c r="H59" s="94">
        <f t="shared" si="17"/>
        <v>2</v>
      </c>
      <c r="I59" s="94">
        <f t="shared" si="17"/>
        <v>2</v>
      </c>
      <c r="J59" s="94">
        <f t="shared" si="17"/>
        <v>2</v>
      </c>
      <c r="K59" s="94">
        <f t="shared" si="17"/>
        <v>2</v>
      </c>
      <c r="L59" s="94">
        <f t="shared" si="17"/>
        <v>2</v>
      </c>
      <c r="M59" s="94">
        <f t="shared" si="17"/>
        <v>2</v>
      </c>
      <c r="N59" s="94">
        <f t="shared" si="17"/>
        <v>2</v>
      </c>
      <c r="O59" s="94">
        <f t="shared" si="17"/>
        <v>2</v>
      </c>
      <c r="P59" s="94">
        <f t="shared" si="17"/>
        <v>2</v>
      </c>
      <c r="Q59" s="94">
        <f t="shared" si="17"/>
        <v>2</v>
      </c>
      <c r="R59" s="94">
        <f t="shared" si="17"/>
        <v>2</v>
      </c>
      <c r="S59" s="94">
        <f t="shared" si="17"/>
        <v>2</v>
      </c>
      <c r="T59" s="94">
        <f t="shared" si="17"/>
        <v>2</v>
      </c>
      <c r="U59" s="94">
        <f t="shared" si="17"/>
        <v>2</v>
      </c>
      <c r="V59" s="94">
        <f t="shared" si="17"/>
        <v>2</v>
      </c>
      <c r="W59" s="94">
        <f t="shared" si="17"/>
        <v>2</v>
      </c>
      <c r="X59" s="94" t="str">
        <f>IF(AND(AC58=Y58,AC58=Y59),"適合","非適合")</f>
        <v>適合</v>
      </c>
      <c r="Y59" s="18">
        <f t="shared" si="13"/>
        <v>0</v>
      </c>
      <c r="Z59" s="155">
        <f t="shared" si="14"/>
        <v>0</v>
      </c>
      <c r="AA59" s="155">
        <f t="shared" si="15"/>
        <v>20</v>
      </c>
      <c r="AE59" s="99">
        <v>58</v>
      </c>
    </row>
    <row r="60" spans="2:31" hidden="1" x14ac:dyDescent="0.55000000000000004">
      <c r="B60" s="96" t="s">
        <v>243</v>
      </c>
      <c r="C60" s="94"/>
      <c r="D60" s="94">
        <f t="shared" ref="D60:W60" si="18">IF(D$40&lt;&gt;"熱交換型換気設備",2,IF(OR(D$42="継続",AND(D$40="熱交換型換気設備",OR(D$43="工場",D$43="倉庫",D$43="私学学校"),D48&gt;=40)),0,1))</f>
        <v>2</v>
      </c>
      <c r="E60" s="94">
        <f t="shared" si="18"/>
        <v>2</v>
      </c>
      <c r="F60" s="94">
        <f t="shared" si="18"/>
        <v>2</v>
      </c>
      <c r="G60" s="94">
        <f t="shared" si="18"/>
        <v>2</v>
      </c>
      <c r="H60" s="94">
        <f t="shared" si="18"/>
        <v>2</v>
      </c>
      <c r="I60" s="94">
        <f t="shared" si="18"/>
        <v>2</v>
      </c>
      <c r="J60" s="94">
        <f t="shared" si="18"/>
        <v>2</v>
      </c>
      <c r="K60" s="94">
        <f t="shared" si="18"/>
        <v>2</v>
      </c>
      <c r="L60" s="94">
        <f t="shared" si="18"/>
        <v>2</v>
      </c>
      <c r="M60" s="94">
        <f t="shared" si="18"/>
        <v>2</v>
      </c>
      <c r="N60" s="94">
        <f t="shared" si="18"/>
        <v>2</v>
      </c>
      <c r="O60" s="94">
        <f t="shared" si="18"/>
        <v>2</v>
      </c>
      <c r="P60" s="94">
        <f t="shared" si="18"/>
        <v>2</v>
      </c>
      <c r="Q60" s="94">
        <f t="shared" si="18"/>
        <v>2</v>
      </c>
      <c r="R60" s="94">
        <f t="shared" si="18"/>
        <v>2</v>
      </c>
      <c r="S60" s="94">
        <f t="shared" si="18"/>
        <v>2</v>
      </c>
      <c r="T60" s="94">
        <f t="shared" si="18"/>
        <v>2</v>
      </c>
      <c r="U60" s="94">
        <f t="shared" si="18"/>
        <v>2</v>
      </c>
      <c r="V60" s="94">
        <f t="shared" si="18"/>
        <v>2</v>
      </c>
      <c r="W60" s="94">
        <f t="shared" si="18"/>
        <v>2</v>
      </c>
      <c r="X60" s="94"/>
      <c r="Y60" s="18">
        <f t="shared" si="13"/>
        <v>0</v>
      </c>
      <c r="Z60" s="155">
        <f t="shared" si="14"/>
        <v>0</v>
      </c>
      <c r="AA60" s="155">
        <f t="shared" si="15"/>
        <v>20</v>
      </c>
      <c r="AB60" s="155">
        <f>COUNT($D48:$W48)</f>
        <v>0</v>
      </c>
      <c r="AC60" s="18">
        <f>COUNTIF($D$40:$W$40,"熱交換型換気設備")</f>
        <v>0</v>
      </c>
      <c r="AE60" s="99">
        <v>59</v>
      </c>
    </row>
    <row r="61" spans="2:31" hidden="1" x14ac:dyDescent="0.55000000000000004">
      <c r="B61" s="96" t="s">
        <v>244</v>
      </c>
      <c r="C61" s="94"/>
      <c r="D61" s="94">
        <f t="shared" ref="D61:W61" si="19">IF(D$40&lt;&gt;"熱交換型換気設備",2,IF(OR(D$42="継続",AND(D$40="熱交換型換気設備",OR(D$43="工場",D$43="倉庫",D$43="私学学校"),D49&gt;=40)),0,1))</f>
        <v>2</v>
      </c>
      <c r="E61" s="94">
        <f t="shared" si="19"/>
        <v>2</v>
      </c>
      <c r="F61" s="94">
        <f t="shared" si="19"/>
        <v>2</v>
      </c>
      <c r="G61" s="94">
        <f t="shared" si="19"/>
        <v>2</v>
      </c>
      <c r="H61" s="94">
        <f t="shared" si="19"/>
        <v>2</v>
      </c>
      <c r="I61" s="94">
        <f t="shared" si="19"/>
        <v>2</v>
      </c>
      <c r="J61" s="94">
        <f t="shared" si="19"/>
        <v>2</v>
      </c>
      <c r="K61" s="94">
        <f t="shared" si="19"/>
        <v>2</v>
      </c>
      <c r="L61" s="94">
        <f t="shared" si="19"/>
        <v>2</v>
      </c>
      <c r="M61" s="94">
        <f t="shared" si="19"/>
        <v>2</v>
      </c>
      <c r="N61" s="94">
        <f t="shared" si="19"/>
        <v>2</v>
      </c>
      <c r="O61" s="94">
        <f t="shared" si="19"/>
        <v>2</v>
      </c>
      <c r="P61" s="94">
        <f t="shared" si="19"/>
        <v>2</v>
      </c>
      <c r="Q61" s="94">
        <f t="shared" si="19"/>
        <v>2</v>
      </c>
      <c r="R61" s="94">
        <f t="shared" si="19"/>
        <v>2</v>
      </c>
      <c r="S61" s="94">
        <f t="shared" si="19"/>
        <v>2</v>
      </c>
      <c r="T61" s="94">
        <f t="shared" si="19"/>
        <v>2</v>
      </c>
      <c r="U61" s="94">
        <f t="shared" si="19"/>
        <v>2</v>
      </c>
      <c r="V61" s="94">
        <f t="shared" si="19"/>
        <v>2</v>
      </c>
      <c r="W61" s="94">
        <f t="shared" si="19"/>
        <v>2</v>
      </c>
      <c r="X61" s="94" t="str">
        <f>IF(AND(AC60=Y60,AC60=Y61),"適合","非適合")</f>
        <v>適合</v>
      </c>
      <c r="Y61" s="18">
        <f t="shared" si="13"/>
        <v>0</v>
      </c>
      <c r="Z61" s="155">
        <f t="shared" si="14"/>
        <v>0</v>
      </c>
      <c r="AA61" s="155">
        <f t="shared" si="15"/>
        <v>20</v>
      </c>
      <c r="AB61" s="155">
        <f>COUNT($D49:$W49)</f>
        <v>0</v>
      </c>
      <c r="AE61" s="99">
        <v>60</v>
      </c>
    </row>
    <row r="62" spans="2:31" hidden="1" x14ac:dyDescent="0.55000000000000004">
      <c r="B62" s="96" t="s">
        <v>246</v>
      </c>
      <c r="C62" s="94"/>
      <c r="D62" s="94">
        <f t="shared" ref="D62:W62" si="20">IF(AND(D40="",D41="",D42="",D43="",D44="",D45="",D46="",D48="",D49=""),2,IF(AND(D40&lt;&gt;"",D41&lt;&gt;"",D42&lt;&gt;"",D43&lt;&gt;"",D44&lt;&gt;"",D45&lt;&gt;"",D46&lt;&gt;"",D48&lt;&gt;"",D49&lt;&gt;"",OR(D$40="顕熱交換器",D$40="熱交換型換気設備")),0,IF(AND(D40&lt;&gt;"",D42&lt;&gt;"",D43&lt;&gt;"",D44&lt;&gt;"",D45&lt;&gt;"",D46&lt;&gt;"",D48="",D49="",D$40&lt;&gt;"顕熱交換器",D$40&lt;&gt;"熱交換型換気設備"),0,1)))</f>
        <v>0</v>
      </c>
      <c r="E62" s="94">
        <f t="shared" si="20"/>
        <v>0</v>
      </c>
      <c r="F62" s="94">
        <f t="shared" si="20"/>
        <v>0</v>
      </c>
      <c r="G62" s="94">
        <f t="shared" si="20"/>
        <v>0</v>
      </c>
      <c r="H62" s="94">
        <f t="shared" si="20"/>
        <v>0</v>
      </c>
      <c r="I62" s="94">
        <f t="shared" si="20"/>
        <v>2</v>
      </c>
      <c r="J62" s="94">
        <f t="shared" si="20"/>
        <v>2</v>
      </c>
      <c r="K62" s="94">
        <f t="shared" si="20"/>
        <v>2</v>
      </c>
      <c r="L62" s="94">
        <f t="shared" si="20"/>
        <v>2</v>
      </c>
      <c r="M62" s="94">
        <f t="shared" si="20"/>
        <v>2</v>
      </c>
      <c r="N62" s="94">
        <f t="shared" si="20"/>
        <v>2</v>
      </c>
      <c r="O62" s="94">
        <f t="shared" si="20"/>
        <v>2</v>
      </c>
      <c r="P62" s="94">
        <f t="shared" si="20"/>
        <v>2</v>
      </c>
      <c r="Q62" s="94">
        <f t="shared" si="20"/>
        <v>2</v>
      </c>
      <c r="R62" s="94">
        <f t="shared" si="20"/>
        <v>2</v>
      </c>
      <c r="S62" s="94">
        <f t="shared" si="20"/>
        <v>2</v>
      </c>
      <c r="T62" s="94">
        <f t="shared" si="20"/>
        <v>2</v>
      </c>
      <c r="U62" s="94">
        <f t="shared" si="20"/>
        <v>2</v>
      </c>
      <c r="V62" s="94">
        <f t="shared" si="20"/>
        <v>2</v>
      </c>
      <c r="W62" s="94">
        <f t="shared" si="20"/>
        <v>2</v>
      </c>
      <c r="X62" s="94" t="str">
        <f>IF(OR((AC58+AC60)&lt;&gt;AB60,(AC58+AC60)&lt;&gt;AB61,Z62&gt;0),"入力確認",IF(AC62=Y62,"適合","不適合"))</f>
        <v>適合</v>
      </c>
      <c r="Y62" s="18">
        <f t="shared" si="13"/>
        <v>5</v>
      </c>
      <c r="Z62" s="155">
        <f t="shared" si="14"/>
        <v>0</v>
      </c>
      <c r="AA62" s="155">
        <f t="shared" si="15"/>
        <v>15</v>
      </c>
      <c r="AC62" s="18">
        <f>20-COUNTIF($D$40:$W$40,"")</f>
        <v>5</v>
      </c>
      <c r="AE62" s="99">
        <v>61</v>
      </c>
    </row>
    <row r="63" spans="2:31" hidden="1" x14ac:dyDescent="0.55000000000000004">
      <c r="B63" s="96" t="s">
        <v>496</v>
      </c>
      <c r="C63" s="94"/>
      <c r="D63" s="94"/>
      <c r="E63" s="94"/>
      <c r="F63" s="94"/>
      <c r="G63" s="94"/>
      <c r="H63" s="94"/>
      <c r="I63" s="94"/>
      <c r="J63" s="94"/>
      <c r="K63" s="94"/>
      <c r="L63" s="94"/>
      <c r="M63" s="94"/>
      <c r="N63" s="94"/>
      <c r="O63" s="94"/>
      <c r="P63" s="94"/>
      <c r="Q63" s="193" t="s">
        <v>497</v>
      </c>
      <c r="R63" s="94">
        <f>IF(OR(X34=0,Y34=0),X34+Y34,MAX(X34,Y34))</f>
        <v>1350</v>
      </c>
      <c r="S63" s="94"/>
      <c r="T63" s="194" t="s">
        <v>498</v>
      </c>
      <c r="U63" s="94">
        <f>IF(OR(X50=0,Y50=0),X50+Y50,MAX(X50,Y50))</f>
        <v>3960</v>
      </c>
      <c r="V63" s="94"/>
      <c r="W63" s="94"/>
      <c r="X63" s="94" t="str">
        <f>IF(OR(Z63=0,AA63=0),"適合","不適合")</f>
        <v>適合</v>
      </c>
      <c r="Z63" s="155">
        <f>IF(AND(X34=0,X50=0),2,IF(R63&lt;=U63,0,1))</f>
        <v>0</v>
      </c>
      <c r="AA63" s="155">
        <f>IF(AND(Y34=0,Y50=0),2,IF(R63&lt;=U63,0,1))</f>
        <v>2</v>
      </c>
      <c r="AC63" s="18">
        <f>COUNTIF($D$41:$W$41,"排気")</f>
        <v>5</v>
      </c>
      <c r="AD63" s="18">
        <f>COUNTIF($D$41:$W$41,"給気")</f>
        <v>0</v>
      </c>
      <c r="AE63" s="99">
        <v>62</v>
      </c>
    </row>
    <row r="64" spans="2:31" ht="27" customHeight="1" x14ac:dyDescent="0.55000000000000004">
      <c r="B64" s="31" t="s">
        <v>241</v>
      </c>
      <c r="C64" s="32"/>
    </row>
    <row r="65" spans="2:23" x14ac:dyDescent="0.55000000000000004">
      <c r="B65" s="31"/>
      <c r="C65" s="32"/>
      <c r="E65" s="118"/>
    </row>
    <row r="66" spans="2:23" ht="42.75" customHeight="1" x14ac:dyDescent="0.55000000000000004">
      <c r="B66" s="23" t="s">
        <v>265</v>
      </c>
      <c r="C66" s="32"/>
    </row>
    <row r="67" spans="2:23" ht="9" customHeight="1" x14ac:dyDescent="0.55000000000000004">
      <c r="B67" s="18"/>
      <c r="C67" s="32"/>
    </row>
    <row r="68" spans="2:23" ht="27" customHeight="1" x14ac:dyDescent="0.55000000000000004">
      <c r="B68" s="200" t="s">
        <v>191</v>
      </c>
      <c r="C68" s="225" t="s">
        <v>131</v>
      </c>
      <c r="D68" s="225"/>
      <c r="E68" s="225"/>
      <c r="F68" s="225"/>
      <c r="G68" s="225"/>
      <c r="H68" s="226" t="s">
        <v>132</v>
      </c>
      <c r="I68" s="226"/>
      <c r="J68" s="226"/>
      <c r="K68" s="226"/>
      <c r="L68" s="226"/>
      <c r="M68" s="226"/>
      <c r="N68" s="226"/>
      <c r="O68" s="227" t="s">
        <v>189</v>
      </c>
      <c r="P68" s="227"/>
      <c r="Q68" s="227"/>
      <c r="R68" s="227"/>
      <c r="S68" s="227"/>
      <c r="T68" s="227"/>
      <c r="U68" s="223" t="s">
        <v>190</v>
      </c>
      <c r="V68" s="224"/>
      <c r="W68" s="92"/>
    </row>
    <row r="69" spans="2:23" ht="27" customHeight="1" x14ac:dyDescent="0.55000000000000004">
      <c r="B69" s="81" t="s">
        <v>153</v>
      </c>
      <c r="C69" s="301" t="s">
        <v>514</v>
      </c>
      <c r="D69" s="301"/>
      <c r="E69" s="301"/>
      <c r="F69" s="301"/>
      <c r="G69" s="301"/>
      <c r="H69" s="301" t="s">
        <v>515</v>
      </c>
      <c r="I69" s="301"/>
      <c r="J69" s="301"/>
      <c r="K69" s="301"/>
      <c r="L69" s="301"/>
      <c r="M69" s="301"/>
      <c r="N69" s="301"/>
      <c r="O69" s="301" t="s">
        <v>516</v>
      </c>
      <c r="P69" s="301"/>
      <c r="Q69" s="301"/>
      <c r="R69" s="301"/>
      <c r="S69" s="301"/>
      <c r="T69" s="301"/>
      <c r="U69" s="301" t="s">
        <v>517</v>
      </c>
      <c r="V69" s="301"/>
      <c r="W69" s="92"/>
    </row>
    <row r="70" spans="2:23" ht="27" customHeight="1" x14ac:dyDescent="0.55000000000000004">
      <c r="B70" s="75" t="s">
        <v>154</v>
      </c>
      <c r="C70" s="302" t="s">
        <v>518</v>
      </c>
      <c r="D70" s="302"/>
      <c r="E70" s="302"/>
      <c r="F70" s="302"/>
      <c r="G70" s="302"/>
      <c r="H70" s="302" t="s">
        <v>519</v>
      </c>
      <c r="I70" s="302"/>
      <c r="J70" s="302"/>
      <c r="K70" s="302"/>
      <c r="L70" s="302"/>
      <c r="M70" s="302"/>
      <c r="N70" s="302"/>
      <c r="O70" s="302" t="s">
        <v>520</v>
      </c>
      <c r="P70" s="302"/>
      <c r="Q70" s="302"/>
      <c r="R70" s="302"/>
      <c r="S70" s="302"/>
      <c r="T70" s="302"/>
      <c r="U70" s="303" t="s">
        <v>517</v>
      </c>
      <c r="V70" s="304"/>
      <c r="W70" s="92"/>
    </row>
    <row r="71" spans="2:23" ht="27" customHeight="1" x14ac:dyDescent="0.55000000000000004">
      <c r="B71" s="75" t="s">
        <v>155</v>
      </c>
      <c r="C71" s="302"/>
      <c r="D71" s="302"/>
      <c r="E71" s="302"/>
      <c r="F71" s="302"/>
      <c r="G71" s="302"/>
      <c r="H71" s="302"/>
      <c r="I71" s="302"/>
      <c r="J71" s="302"/>
      <c r="K71" s="302"/>
      <c r="L71" s="302"/>
      <c r="M71" s="302"/>
      <c r="N71" s="302"/>
      <c r="O71" s="302"/>
      <c r="P71" s="302"/>
      <c r="Q71" s="302"/>
      <c r="R71" s="302"/>
      <c r="S71" s="302"/>
      <c r="T71" s="302"/>
      <c r="U71" s="302"/>
      <c r="V71" s="302"/>
      <c r="W71" s="92"/>
    </row>
    <row r="72" spans="2:23" ht="27" customHeight="1" x14ac:dyDescent="0.55000000000000004">
      <c r="B72" s="75" t="s">
        <v>156</v>
      </c>
      <c r="C72" s="302"/>
      <c r="D72" s="302"/>
      <c r="E72" s="302"/>
      <c r="F72" s="302"/>
      <c r="G72" s="302"/>
      <c r="H72" s="302"/>
      <c r="I72" s="302"/>
      <c r="J72" s="302"/>
      <c r="K72" s="302"/>
      <c r="L72" s="302"/>
      <c r="M72" s="302"/>
      <c r="N72" s="302"/>
      <c r="O72" s="302"/>
      <c r="P72" s="302"/>
      <c r="Q72" s="302"/>
      <c r="R72" s="302"/>
      <c r="S72" s="302"/>
      <c r="T72" s="302"/>
      <c r="U72" s="302"/>
      <c r="V72" s="302"/>
      <c r="W72" s="92"/>
    </row>
    <row r="73" spans="2:23" ht="27" customHeight="1" x14ac:dyDescent="0.55000000000000004">
      <c r="B73" s="75" t="s">
        <v>157</v>
      </c>
      <c r="C73" s="302"/>
      <c r="D73" s="302"/>
      <c r="E73" s="302"/>
      <c r="F73" s="302"/>
      <c r="G73" s="302"/>
      <c r="H73" s="302"/>
      <c r="I73" s="302"/>
      <c r="J73" s="302"/>
      <c r="K73" s="302"/>
      <c r="L73" s="302"/>
      <c r="M73" s="302"/>
      <c r="N73" s="302"/>
      <c r="O73" s="302"/>
      <c r="P73" s="302"/>
      <c r="Q73" s="302"/>
      <c r="R73" s="302"/>
      <c r="S73" s="302"/>
      <c r="T73" s="302"/>
      <c r="U73" s="302"/>
      <c r="V73" s="302"/>
      <c r="W73" s="92"/>
    </row>
    <row r="74" spans="2:23" ht="27" customHeight="1" x14ac:dyDescent="0.55000000000000004">
      <c r="B74" s="75" t="s">
        <v>158</v>
      </c>
      <c r="C74" s="302"/>
      <c r="D74" s="302"/>
      <c r="E74" s="302"/>
      <c r="F74" s="302"/>
      <c r="G74" s="302"/>
      <c r="H74" s="302"/>
      <c r="I74" s="302"/>
      <c r="J74" s="302"/>
      <c r="K74" s="302"/>
      <c r="L74" s="302"/>
      <c r="M74" s="302"/>
      <c r="N74" s="302"/>
      <c r="O74" s="302"/>
      <c r="P74" s="302"/>
      <c r="Q74" s="302"/>
      <c r="R74" s="302"/>
      <c r="S74" s="302"/>
      <c r="T74" s="302"/>
      <c r="U74" s="302"/>
      <c r="V74" s="302"/>
      <c r="W74" s="92"/>
    </row>
    <row r="75" spans="2:23" ht="27" customHeight="1" x14ac:dyDescent="0.55000000000000004">
      <c r="B75" s="75" t="s">
        <v>159</v>
      </c>
      <c r="C75" s="302"/>
      <c r="D75" s="302"/>
      <c r="E75" s="302"/>
      <c r="F75" s="302"/>
      <c r="G75" s="302"/>
      <c r="H75" s="302"/>
      <c r="I75" s="302"/>
      <c r="J75" s="302"/>
      <c r="K75" s="302"/>
      <c r="L75" s="302"/>
      <c r="M75" s="302"/>
      <c r="N75" s="302"/>
      <c r="O75" s="302"/>
      <c r="P75" s="302"/>
      <c r="Q75" s="302"/>
      <c r="R75" s="302"/>
      <c r="S75" s="302"/>
      <c r="T75" s="302"/>
      <c r="U75" s="302"/>
      <c r="V75" s="302"/>
      <c r="W75" s="92"/>
    </row>
    <row r="76" spans="2:23" ht="27" customHeight="1" x14ac:dyDescent="0.55000000000000004">
      <c r="B76" s="75" t="s">
        <v>160</v>
      </c>
      <c r="C76" s="302"/>
      <c r="D76" s="302"/>
      <c r="E76" s="302"/>
      <c r="F76" s="302"/>
      <c r="G76" s="302"/>
      <c r="H76" s="302"/>
      <c r="I76" s="302"/>
      <c r="J76" s="302"/>
      <c r="K76" s="302"/>
      <c r="L76" s="302"/>
      <c r="M76" s="302"/>
      <c r="N76" s="302"/>
      <c r="O76" s="302"/>
      <c r="P76" s="302"/>
      <c r="Q76" s="302"/>
      <c r="R76" s="302"/>
      <c r="S76" s="302"/>
      <c r="T76" s="302"/>
      <c r="U76" s="302"/>
      <c r="V76" s="302"/>
      <c r="W76" s="92"/>
    </row>
    <row r="77" spans="2:23" ht="27" customHeight="1" x14ac:dyDescent="0.55000000000000004">
      <c r="B77" s="75" t="s">
        <v>161</v>
      </c>
      <c r="C77" s="302"/>
      <c r="D77" s="302"/>
      <c r="E77" s="302"/>
      <c r="F77" s="302"/>
      <c r="G77" s="302"/>
      <c r="H77" s="302"/>
      <c r="I77" s="302"/>
      <c r="J77" s="302"/>
      <c r="K77" s="302"/>
      <c r="L77" s="302"/>
      <c r="M77" s="302"/>
      <c r="N77" s="302"/>
      <c r="O77" s="302"/>
      <c r="P77" s="302"/>
      <c r="Q77" s="302"/>
      <c r="R77" s="302"/>
      <c r="S77" s="302"/>
      <c r="T77" s="302"/>
      <c r="U77" s="302"/>
      <c r="V77" s="302"/>
      <c r="W77" s="92"/>
    </row>
    <row r="78" spans="2:23" ht="27" customHeight="1" x14ac:dyDescent="0.55000000000000004">
      <c r="B78" s="75" t="s">
        <v>162</v>
      </c>
      <c r="C78" s="302"/>
      <c r="D78" s="302"/>
      <c r="E78" s="302"/>
      <c r="F78" s="302"/>
      <c r="G78" s="302"/>
      <c r="H78" s="302"/>
      <c r="I78" s="302"/>
      <c r="J78" s="302"/>
      <c r="K78" s="302"/>
      <c r="L78" s="302"/>
      <c r="M78" s="302"/>
      <c r="N78" s="302"/>
      <c r="O78" s="302"/>
      <c r="P78" s="302"/>
      <c r="Q78" s="302"/>
      <c r="R78" s="302"/>
      <c r="S78" s="302"/>
      <c r="T78" s="302"/>
      <c r="U78" s="302"/>
      <c r="V78" s="302"/>
      <c r="W78" s="92"/>
    </row>
    <row r="79" spans="2:23" ht="27" customHeight="1" x14ac:dyDescent="0.55000000000000004">
      <c r="B79" s="75" t="s">
        <v>340</v>
      </c>
      <c r="C79" s="302"/>
      <c r="D79" s="302"/>
      <c r="E79" s="302"/>
      <c r="F79" s="302"/>
      <c r="G79" s="302"/>
      <c r="H79" s="302"/>
      <c r="I79" s="302"/>
      <c r="J79" s="302"/>
      <c r="K79" s="302"/>
      <c r="L79" s="302"/>
      <c r="M79" s="302"/>
      <c r="N79" s="302"/>
      <c r="O79" s="302"/>
      <c r="P79" s="302"/>
      <c r="Q79" s="302"/>
      <c r="R79" s="302"/>
      <c r="S79" s="302"/>
      <c r="T79" s="302"/>
      <c r="U79" s="302"/>
      <c r="V79" s="302"/>
      <c r="W79" s="92"/>
    </row>
    <row r="80" spans="2:23" ht="27" customHeight="1" x14ac:dyDescent="0.55000000000000004">
      <c r="B80" s="75" t="s">
        <v>163</v>
      </c>
      <c r="C80" s="302"/>
      <c r="D80" s="302"/>
      <c r="E80" s="302"/>
      <c r="F80" s="302"/>
      <c r="G80" s="302"/>
      <c r="H80" s="302"/>
      <c r="I80" s="302"/>
      <c r="J80" s="302"/>
      <c r="K80" s="302"/>
      <c r="L80" s="302"/>
      <c r="M80" s="302"/>
      <c r="N80" s="302"/>
      <c r="O80" s="302"/>
      <c r="P80" s="302"/>
      <c r="Q80" s="302"/>
      <c r="R80" s="302"/>
      <c r="S80" s="302"/>
      <c r="T80" s="302"/>
      <c r="U80" s="302"/>
      <c r="V80" s="302"/>
      <c r="W80" s="92"/>
    </row>
    <row r="81" spans="2:24" ht="27" customHeight="1" x14ac:dyDescent="0.55000000000000004">
      <c r="B81" s="75" t="s">
        <v>164</v>
      </c>
      <c r="C81" s="302"/>
      <c r="D81" s="302"/>
      <c r="E81" s="302"/>
      <c r="F81" s="302"/>
      <c r="G81" s="302"/>
      <c r="H81" s="302"/>
      <c r="I81" s="302"/>
      <c r="J81" s="302"/>
      <c r="K81" s="302"/>
      <c r="L81" s="302"/>
      <c r="M81" s="302"/>
      <c r="N81" s="302"/>
      <c r="O81" s="302"/>
      <c r="P81" s="302"/>
      <c r="Q81" s="302"/>
      <c r="R81" s="302"/>
      <c r="S81" s="302"/>
      <c r="T81" s="302"/>
      <c r="U81" s="302"/>
      <c r="V81" s="302"/>
      <c r="W81" s="92"/>
    </row>
    <row r="82" spans="2:24" ht="27" customHeight="1" x14ac:dyDescent="0.55000000000000004">
      <c r="B82" s="75" t="s">
        <v>165</v>
      </c>
      <c r="C82" s="302"/>
      <c r="D82" s="302"/>
      <c r="E82" s="302"/>
      <c r="F82" s="302"/>
      <c r="G82" s="302"/>
      <c r="H82" s="302"/>
      <c r="I82" s="302"/>
      <c r="J82" s="302"/>
      <c r="K82" s="302"/>
      <c r="L82" s="302"/>
      <c r="M82" s="302"/>
      <c r="N82" s="302"/>
      <c r="O82" s="302"/>
      <c r="P82" s="302"/>
      <c r="Q82" s="302"/>
      <c r="R82" s="302"/>
      <c r="S82" s="302"/>
      <c r="T82" s="302"/>
      <c r="U82" s="302"/>
      <c r="V82" s="302"/>
      <c r="W82" s="92"/>
    </row>
    <row r="83" spans="2:24" ht="27" customHeight="1" x14ac:dyDescent="0.55000000000000004">
      <c r="B83" s="75" t="s">
        <v>166</v>
      </c>
      <c r="C83" s="302"/>
      <c r="D83" s="302"/>
      <c r="E83" s="302"/>
      <c r="F83" s="302"/>
      <c r="G83" s="302"/>
      <c r="H83" s="302"/>
      <c r="I83" s="302"/>
      <c r="J83" s="302"/>
      <c r="K83" s="302"/>
      <c r="L83" s="302"/>
      <c r="M83" s="302"/>
      <c r="N83" s="302"/>
      <c r="O83" s="302"/>
      <c r="P83" s="302"/>
      <c r="Q83" s="302"/>
      <c r="R83" s="302"/>
      <c r="S83" s="302"/>
      <c r="T83" s="302"/>
      <c r="U83" s="302"/>
      <c r="V83" s="302"/>
      <c r="W83" s="92"/>
    </row>
    <row r="84" spans="2:24" ht="27" customHeight="1" x14ac:dyDescent="0.55000000000000004">
      <c r="B84" s="75" t="s">
        <v>167</v>
      </c>
      <c r="C84" s="302"/>
      <c r="D84" s="302"/>
      <c r="E84" s="302"/>
      <c r="F84" s="302"/>
      <c r="G84" s="302"/>
      <c r="H84" s="302"/>
      <c r="I84" s="302"/>
      <c r="J84" s="302"/>
      <c r="K84" s="302"/>
      <c r="L84" s="302"/>
      <c r="M84" s="302"/>
      <c r="N84" s="302"/>
      <c r="O84" s="302"/>
      <c r="P84" s="302"/>
      <c r="Q84" s="302"/>
      <c r="R84" s="302"/>
      <c r="S84" s="302"/>
      <c r="T84" s="302"/>
      <c r="U84" s="302"/>
      <c r="V84" s="302"/>
      <c r="W84" s="92"/>
    </row>
    <row r="85" spans="2:24" ht="27" customHeight="1" x14ac:dyDescent="0.55000000000000004">
      <c r="B85" s="75" t="s">
        <v>168</v>
      </c>
      <c r="C85" s="302"/>
      <c r="D85" s="302"/>
      <c r="E85" s="302"/>
      <c r="F85" s="302"/>
      <c r="G85" s="302"/>
      <c r="H85" s="302"/>
      <c r="I85" s="302"/>
      <c r="J85" s="302"/>
      <c r="K85" s="302"/>
      <c r="L85" s="302"/>
      <c r="M85" s="302"/>
      <c r="N85" s="302"/>
      <c r="O85" s="302"/>
      <c r="P85" s="302"/>
      <c r="Q85" s="302"/>
      <c r="R85" s="302"/>
      <c r="S85" s="302"/>
      <c r="T85" s="302"/>
      <c r="U85" s="302"/>
      <c r="V85" s="302"/>
      <c r="W85" s="92"/>
    </row>
    <row r="86" spans="2:24" ht="27" customHeight="1" x14ac:dyDescent="0.55000000000000004">
      <c r="B86" s="75" t="s">
        <v>169</v>
      </c>
      <c r="C86" s="302"/>
      <c r="D86" s="302"/>
      <c r="E86" s="302"/>
      <c r="F86" s="302"/>
      <c r="G86" s="302"/>
      <c r="H86" s="302"/>
      <c r="I86" s="302"/>
      <c r="J86" s="302"/>
      <c r="K86" s="302"/>
      <c r="L86" s="302"/>
      <c r="M86" s="302"/>
      <c r="N86" s="302"/>
      <c r="O86" s="302"/>
      <c r="P86" s="302"/>
      <c r="Q86" s="302"/>
      <c r="R86" s="302"/>
      <c r="S86" s="302"/>
      <c r="T86" s="302"/>
      <c r="U86" s="302"/>
      <c r="V86" s="302"/>
      <c r="W86" s="92"/>
    </row>
    <row r="87" spans="2:24" ht="27" customHeight="1" x14ac:dyDescent="0.55000000000000004">
      <c r="B87" s="75" t="s">
        <v>170</v>
      </c>
      <c r="C87" s="302"/>
      <c r="D87" s="302"/>
      <c r="E87" s="302"/>
      <c r="F87" s="302"/>
      <c r="G87" s="302"/>
      <c r="H87" s="302"/>
      <c r="I87" s="302"/>
      <c r="J87" s="302"/>
      <c r="K87" s="302"/>
      <c r="L87" s="302"/>
      <c r="M87" s="302"/>
      <c r="N87" s="302"/>
      <c r="O87" s="302"/>
      <c r="P87" s="302"/>
      <c r="Q87" s="302"/>
      <c r="R87" s="302"/>
      <c r="S87" s="302"/>
      <c r="T87" s="302"/>
      <c r="U87" s="302"/>
      <c r="V87" s="302"/>
      <c r="W87" s="92"/>
    </row>
    <row r="88" spans="2:24" ht="27" customHeight="1" x14ac:dyDescent="0.55000000000000004">
      <c r="B88" s="75" t="s">
        <v>171</v>
      </c>
      <c r="C88" s="305"/>
      <c r="D88" s="305"/>
      <c r="E88" s="305"/>
      <c r="F88" s="305"/>
      <c r="G88" s="305"/>
      <c r="H88" s="305"/>
      <c r="I88" s="305"/>
      <c r="J88" s="305"/>
      <c r="K88" s="305"/>
      <c r="L88" s="305"/>
      <c r="M88" s="305"/>
      <c r="N88" s="305"/>
      <c r="O88" s="305"/>
      <c r="P88" s="305"/>
      <c r="Q88" s="305"/>
      <c r="R88" s="305"/>
      <c r="S88" s="305"/>
      <c r="T88" s="305"/>
      <c r="U88" s="305"/>
      <c r="V88" s="305"/>
      <c r="W88" s="92"/>
    </row>
    <row r="89" spans="2:24" x14ac:dyDescent="0.55000000000000004">
      <c r="B89" s="76"/>
      <c r="C89" s="128"/>
      <c r="D89" s="128"/>
      <c r="E89" s="128"/>
      <c r="F89" s="128"/>
      <c r="G89" s="128"/>
      <c r="H89" s="128"/>
      <c r="I89" s="129"/>
      <c r="J89" s="129"/>
      <c r="K89" s="129"/>
      <c r="L89" s="129"/>
      <c r="M89" s="119"/>
      <c r="N89" s="127"/>
      <c r="O89" s="127"/>
      <c r="P89" s="127"/>
      <c r="Q89" s="127"/>
      <c r="R89" s="127"/>
      <c r="S89" s="127"/>
      <c r="T89" s="127"/>
      <c r="U89" s="127"/>
      <c r="V89" s="127"/>
      <c r="W89" s="127"/>
    </row>
    <row r="90" spans="2:24" ht="27" customHeight="1" x14ac:dyDescent="0.55000000000000004">
      <c r="B90" s="200" t="s">
        <v>192</v>
      </c>
      <c r="C90" s="225" t="s">
        <v>131</v>
      </c>
      <c r="D90" s="225"/>
      <c r="E90" s="225"/>
      <c r="F90" s="225"/>
      <c r="G90" s="225"/>
      <c r="H90" s="226" t="s">
        <v>132</v>
      </c>
      <c r="I90" s="226"/>
      <c r="J90" s="226"/>
      <c r="K90" s="226"/>
      <c r="L90" s="226"/>
      <c r="M90" s="226"/>
      <c r="N90" s="226"/>
      <c r="O90" s="227" t="s">
        <v>2</v>
      </c>
      <c r="P90" s="227"/>
      <c r="Q90" s="227"/>
      <c r="R90" s="227"/>
      <c r="S90" s="227"/>
      <c r="T90" s="227"/>
      <c r="U90" s="223" t="s">
        <v>190</v>
      </c>
      <c r="V90" s="224"/>
      <c r="W90" s="223" t="s">
        <v>212</v>
      </c>
      <c r="X90" s="224"/>
    </row>
    <row r="91" spans="2:24" ht="27" customHeight="1" x14ac:dyDescent="0.55000000000000004">
      <c r="B91" s="121" t="s">
        <v>276</v>
      </c>
      <c r="C91" s="306" t="s">
        <v>514</v>
      </c>
      <c r="D91" s="306"/>
      <c r="E91" s="306"/>
      <c r="F91" s="306"/>
      <c r="G91" s="306"/>
      <c r="H91" s="301" t="s">
        <v>521</v>
      </c>
      <c r="I91" s="301"/>
      <c r="J91" s="301"/>
      <c r="K91" s="301"/>
      <c r="L91" s="301"/>
      <c r="M91" s="301"/>
      <c r="N91" s="301"/>
      <c r="O91" s="306" t="s">
        <v>522</v>
      </c>
      <c r="P91" s="306"/>
      <c r="Q91" s="306"/>
      <c r="R91" s="306"/>
      <c r="S91" s="306"/>
      <c r="T91" s="306"/>
      <c r="U91" s="301" t="s">
        <v>517</v>
      </c>
      <c r="V91" s="301"/>
      <c r="W91" s="307"/>
      <c r="X91" s="308"/>
    </row>
    <row r="92" spans="2:24" ht="27" customHeight="1" x14ac:dyDescent="0.55000000000000004">
      <c r="B92" s="122" t="s">
        <v>277</v>
      </c>
      <c r="C92" s="302" t="s">
        <v>514</v>
      </c>
      <c r="D92" s="302"/>
      <c r="E92" s="302"/>
      <c r="F92" s="302"/>
      <c r="G92" s="302"/>
      <c r="H92" s="302" t="s">
        <v>523</v>
      </c>
      <c r="I92" s="302"/>
      <c r="J92" s="302"/>
      <c r="K92" s="302"/>
      <c r="L92" s="302"/>
      <c r="M92" s="302"/>
      <c r="N92" s="302"/>
      <c r="O92" s="302" t="s">
        <v>522</v>
      </c>
      <c r="P92" s="302"/>
      <c r="Q92" s="302"/>
      <c r="R92" s="302"/>
      <c r="S92" s="302"/>
      <c r="T92" s="302"/>
      <c r="U92" s="302" t="s">
        <v>517</v>
      </c>
      <c r="V92" s="302"/>
      <c r="W92" s="309"/>
      <c r="X92" s="310"/>
    </row>
    <row r="93" spans="2:24" ht="27" customHeight="1" x14ac:dyDescent="0.55000000000000004">
      <c r="B93" s="122" t="s">
        <v>278</v>
      </c>
      <c r="C93" s="302" t="s">
        <v>524</v>
      </c>
      <c r="D93" s="302"/>
      <c r="E93" s="302"/>
      <c r="F93" s="302"/>
      <c r="G93" s="302"/>
      <c r="H93" s="302" t="s">
        <v>525</v>
      </c>
      <c r="I93" s="302"/>
      <c r="J93" s="302"/>
      <c r="K93" s="302"/>
      <c r="L93" s="302"/>
      <c r="M93" s="302"/>
      <c r="N93" s="302"/>
      <c r="O93" s="302" t="s">
        <v>526</v>
      </c>
      <c r="P93" s="302"/>
      <c r="Q93" s="302"/>
      <c r="R93" s="302"/>
      <c r="S93" s="302"/>
      <c r="T93" s="302"/>
      <c r="U93" s="302" t="s">
        <v>517</v>
      </c>
      <c r="V93" s="302"/>
      <c r="W93" s="309"/>
      <c r="X93" s="310"/>
    </row>
    <row r="94" spans="2:24" ht="27" customHeight="1" x14ac:dyDescent="0.55000000000000004">
      <c r="B94" s="122" t="s">
        <v>279</v>
      </c>
      <c r="C94" s="302" t="s">
        <v>527</v>
      </c>
      <c r="D94" s="302"/>
      <c r="E94" s="302"/>
      <c r="F94" s="302"/>
      <c r="G94" s="302"/>
      <c r="H94" s="302" t="s">
        <v>528</v>
      </c>
      <c r="I94" s="302"/>
      <c r="J94" s="302"/>
      <c r="K94" s="302"/>
      <c r="L94" s="302"/>
      <c r="M94" s="302"/>
      <c r="N94" s="302"/>
      <c r="O94" s="303" t="s">
        <v>529</v>
      </c>
      <c r="P94" s="311"/>
      <c r="Q94" s="311"/>
      <c r="R94" s="311"/>
      <c r="S94" s="311"/>
      <c r="T94" s="304"/>
      <c r="U94" s="302" t="s">
        <v>530</v>
      </c>
      <c r="V94" s="302"/>
      <c r="W94" s="309"/>
      <c r="X94" s="310"/>
    </row>
    <row r="95" spans="2:24" ht="27" customHeight="1" x14ac:dyDescent="0.55000000000000004">
      <c r="B95" s="122" t="s">
        <v>280</v>
      </c>
      <c r="C95" s="302" t="s">
        <v>531</v>
      </c>
      <c r="D95" s="302"/>
      <c r="E95" s="302"/>
      <c r="F95" s="302"/>
      <c r="G95" s="302"/>
      <c r="H95" s="302" t="s">
        <v>532</v>
      </c>
      <c r="I95" s="302"/>
      <c r="J95" s="302"/>
      <c r="K95" s="302"/>
      <c r="L95" s="302"/>
      <c r="M95" s="302"/>
      <c r="N95" s="302"/>
      <c r="O95" s="302" t="s">
        <v>533</v>
      </c>
      <c r="P95" s="302"/>
      <c r="Q95" s="302"/>
      <c r="R95" s="302"/>
      <c r="S95" s="302"/>
      <c r="T95" s="302"/>
      <c r="U95" s="302" t="s">
        <v>530</v>
      </c>
      <c r="V95" s="302"/>
      <c r="W95" s="309"/>
      <c r="X95" s="310"/>
    </row>
    <row r="96" spans="2:24" ht="27" customHeight="1" x14ac:dyDescent="0.55000000000000004">
      <c r="B96" s="122" t="s">
        <v>281</v>
      </c>
      <c r="C96" s="302"/>
      <c r="D96" s="302"/>
      <c r="E96" s="302"/>
      <c r="F96" s="302"/>
      <c r="G96" s="302"/>
      <c r="H96" s="302"/>
      <c r="I96" s="302"/>
      <c r="J96" s="302"/>
      <c r="K96" s="302"/>
      <c r="L96" s="302"/>
      <c r="M96" s="302"/>
      <c r="N96" s="302"/>
      <c r="O96" s="302"/>
      <c r="P96" s="302"/>
      <c r="Q96" s="302"/>
      <c r="R96" s="302"/>
      <c r="S96" s="302"/>
      <c r="T96" s="302"/>
      <c r="U96" s="302"/>
      <c r="V96" s="302"/>
      <c r="W96" s="309"/>
      <c r="X96" s="310"/>
    </row>
    <row r="97" spans="2:24" ht="27" customHeight="1" x14ac:dyDescent="0.55000000000000004">
      <c r="B97" s="122" t="s">
        <v>282</v>
      </c>
      <c r="C97" s="302"/>
      <c r="D97" s="302"/>
      <c r="E97" s="302"/>
      <c r="F97" s="302"/>
      <c r="G97" s="302"/>
      <c r="H97" s="302"/>
      <c r="I97" s="302"/>
      <c r="J97" s="302"/>
      <c r="K97" s="302"/>
      <c r="L97" s="302"/>
      <c r="M97" s="302"/>
      <c r="N97" s="302"/>
      <c r="O97" s="302"/>
      <c r="P97" s="302"/>
      <c r="Q97" s="302"/>
      <c r="R97" s="302"/>
      <c r="S97" s="302"/>
      <c r="T97" s="302"/>
      <c r="U97" s="302"/>
      <c r="V97" s="302"/>
      <c r="W97" s="309"/>
      <c r="X97" s="310"/>
    </row>
    <row r="98" spans="2:24" ht="27" customHeight="1" x14ac:dyDescent="0.55000000000000004">
      <c r="B98" s="122" t="s">
        <v>283</v>
      </c>
      <c r="C98" s="302"/>
      <c r="D98" s="302"/>
      <c r="E98" s="302"/>
      <c r="F98" s="302"/>
      <c r="G98" s="302"/>
      <c r="H98" s="302"/>
      <c r="I98" s="302"/>
      <c r="J98" s="302"/>
      <c r="K98" s="302"/>
      <c r="L98" s="302"/>
      <c r="M98" s="302"/>
      <c r="N98" s="302"/>
      <c r="O98" s="302"/>
      <c r="P98" s="302"/>
      <c r="Q98" s="302"/>
      <c r="R98" s="302"/>
      <c r="S98" s="302"/>
      <c r="T98" s="302"/>
      <c r="U98" s="302"/>
      <c r="V98" s="302"/>
      <c r="W98" s="309"/>
      <c r="X98" s="310"/>
    </row>
    <row r="99" spans="2:24" ht="27" customHeight="1" x14ac:dyDescent="0.55000000000000004">
      <c r="B99" s="122" t="s">
        <v>284</v>
      </c>
      <c r="C99" s="302"/>
      <c r="D99" s="302"/>
      <c r="E99" s="302"/>
      <c r="F99" s="302"/>
      <c r="G99" s="302"/>
      <c r="H99" s="302"/>
      <c r="I99" s="302"/>
      <c r="J99" s="302"/>
      <c r="K99" s="302"/>
      <c r="L99" s="302"/>
      <c r="M99" s="302"/>
      <c r="N99" s="302"/>
      <c r="O99" s="302"/>
      <c r="P99" s="302"/>
      <c r="Q99" s="302"/>
      <c r="R99" s="302"/>
      <c r="S99" s="302"/>
      <c r="T99" s="302"/>
      <c r="U99" s="302"/>
      <c r="V99" s="302"/>
      <c r="W99" s="309"/>
      <c r="X99" s="310"/>
    </row>
    <row r="100" spans="2:24" ht="27" customHeight="1" x14ac:dyDescent="0.55000000000000004">
      <c r="B100" s="122" t="s">
        <v>285</v>
      </c>
      <c r="C100" s="302"/>
      <c r="D100" s="302"/>
      <c r="E100" s="302"/>
      <c r="F100" s="302"/>
      <c r="G100" s="302"/>
      <c r="H100" s="302"/>
      <c r="I100" s="302"/>
      <c r="J100" s="302"/>
      <c r="K100" s="302"/>
      <c r="L100" s="302"/>
      <c r="M100" s="302"/>
      <c r="N100" s="302"/>
      <c r="O100" s="302"/>
      <c r="P100" s="302"/>
      <c r="Q100" s="302"/>
      <c r="R100" s="302"/>
      <c r="S100" s="302"/>
      <c r="T100" s="302"/>
      <c r="U100" s="302"/>
      <c r="V100" s="302"/>
      <c r="W100" s="309"/>
      <c r="X100" s="310"/>
    </row>
    <row r="101" spans="2:24" ht="27" customHeight="1" x14ac:dyDescent="0.55000000000000004">
      <c r="B101" s="122" t="s">
        <v>341</v>
      </c>
      <c r="C101" s="302"/>
      <c r="D101" s="302"/>
      <c r="E101" s="302"/>
      <c r="F101" s="302"/>
      <c r="G101" s="302"/>
      <c r="H101" s="302"/>
      <c r="I101" s="302"/>
      <c r="J101" s="302"/>
      <c r="K101" s="302"/>
      <c r="L101" s="302"/>
      <c r="M101" s="302"/>
      <c r="N101" s="302"/>
      <c r="O101" s="302"/>
      <c r="P101" s="302"/>
      <c r="Q101" s="302"/>
      <c r="R101" s="302"/>
      <c r="S101" s="302"/>
      <c r="T101" s="302"/>
      <c r="U101" s="302"/>
      <c r="V101" s="302"/>
      <c r="W101" s="309"/>
      <c r="X101" s="310"/>
    </row>
    <row r="102" spans="2:24" ht="27" customHeight="1" x14ac:dyDescent="0.55000000000000004">
      <c r="B102" s="122" t="s">
        <v>342</v>
      </c>
      <c r="C102" s="302"/>
      <c r="D102" s="302"/>
      <c r="E102" s="302"/>
      <c r="F102" s="302"/>
      <c r="G102" s="302"/>
      <c r="H102" s="302"/>
      <c r="I102" s="302"/>
      <c r="J102" s="302"/>
      <c r="K102" s="302"/>
      <c r="L102" s="302"/>
      <c r="M102" s="302"/>
      <c r="N102" s="302"/>
      <c r="O102" s="302"/>
      <c r="P102" s="302"/>
      <c r="Q102" s="302"/>
      <c r="R102" s="302"/>
      <c r="S102" s="302"/>
      <c r="T102" s="302"/>
      <c r="U102" s="302"/>
      <c r="V102" s="302"/>
      <c r="W102" s="309"/>
      <c r="X102" s="310"/>
    </row>
    <row r="103" spans="2:24" ht="27" customHeight="1" x14ac:dyDescent="0.55000000000000004">
      <c r="B103" s="122" t="s">
        <v>343</v>
      </c>
      <c r="C103" s="302"/>
      <c r="D103" s="302"/>
      <c r="E103" s="302"/>
      <c r="F103" s="302"/>
      <c r="G103" s="302"/>
      <c r="H103" s="302"/>
      <c r="I103" s="302"/>
      <c r="J103" s="302"/>
      <c r="K103" s="302"/>
      <c r="L103" s="302"/>
      <c r="M103" s="302"/>
      <c r="N103" s="302"/>
      <c r="O103" s="302"/>
      <c r="P103" s="302"/>
      <c r="Q103" s="302"/>
      <c r="R103" s="302"/>
      <c r="S103" s="302"/>
      <c r="T103" s="302"/>
      <c r="U103" s="302"/>
      <c r="V103" s="302"/>
      <c r="W103" s="309"/>
      <c r="X103" s="310"/>
    </row>
    <row r="104" spans="2:24" ht="27" customHeight="1" x14ac:dyDescent="0.55000000000000004">
      <c r="B104" s="122" t="s">
        <v>344</v>
      </c>
      <c r="C104" s="302"/>
      <c r="D104" s="302"/>
      <c r="E104" s="302"/>
      <c r="F104" s="302"/>
      <c r="G104" s="302"/>
      <c r="H104" s="302"/>
      <c r="I104" s="302"/>
      <c r="J104" s="302"/>
      <c r="K104" s="302"/>
      <c r="L104" s="302"/>
      <c r="M104" s="302"/>
      <c r="N104" s="302"/>
      <c r="O104" s="302"/>
      <c r="P104" s="302"/>
      <c r="Q104" s="302"/>
      <c r="R104" s="302"/>
      <c r="S104" s="302"/>
      <c r="T104" s="302"/>
      <c r="U104" s="302"/>
      <c r="V104" s="302"/>
      <c r="W104" s="309"/>
      <c r="X104" s="310"/>
    </row>
    <row r="105" spans="2:24" ht="27" customHeight="1" x14ac:dyDescent="0.55000000000000004">
      <c r="B105" s="122" t="s">
        <v>345</v>
      </c>
      <c r="C105" s="302"/>
      <c r="D105" s="302"/>
      <c r="E105" s="302"/>
      <c r="F105" s="302"/>
      <c r="G105" s="302"/>
      <c r="H105" s="302"/>
      <c r="I105" s="302"/>
      <c r="J105" s="302"/>
      <c r="K105" s="302"/>
      <c r="L105" s="302"/>
      <c r="M105" s="302"/>
      <c r="N105" s="302"/>
      <c r="O105" s="302"/>
      <c r="P105" s="302"/>
      <c r="Q105" s="302"/>
      <c r="R105" s="302"/>
      <c r="S105" s="302"/>
      <c r="T105" s="302"/>
      <c r="U105" s="302"/>
      <c r="V105" s="302"/>
      <c r="W105" s="309"/>
      <c r="X105" s="310"/>
    </row>
    <row r="106" spans="2:24" ht="27" customHeight="1" x14ac:dyDescent="0.55000000000000004">
      <c r="B106" s="122" t="s">
        <v>346</v>
      </c>
      <c r="C106" s="302"/>
      <c r="D106" s="302"/>
      <c r="E106" s="302"/>
      <c r="F106" s="302"/>
      <c r="G106" s="302"/>
      <c r="H106" s="302"/>
      <c r="I106" s="302"/>
      <c r="J106" s="302"/>
      <c r="K106" s="302"/>
      <c r="L106" s="302"/>
      <c r="M106" s="302"/>
      <c r="N106" s="302"/>
      <c r="O106" s="302"/>
      <c r="P106" s="302"/>
      <c r="Q106" s="302"/>
      <c r="R106" s="302"/>
      <c r="S106" s="302"/>
      <c r="T106" s="302"/>
      <c r="U106" s="302"/>
      <c r="V106" s="302"/>
      <c r="W106" s="309"/>
      <c r="X106" s="310"/>
    </row>
    <row r="107" spans="2:24" ht="27" customHeight="1" x14ac:dyDescent="0.55000000000000004">
      <c r="B107" s="122" t="s">
        <v>347</v>
      </c>
      <c r="C107" s="302"/>
      <c r="D107" s="302"/>
      <c r="E107" s="302"/>
      <c r="F107" s="302"/>
      <c r="G107" s="302"/>
      <c r="H107" s="302"/>
      <c r="I107" s="302"/>
      <c r="J107" s="302"/>
      <c r="K107" s="302"/>
      <c r="L107" s="302"/>
      <c r="M107" s="302"/>
      <c r="N107" s="302"/>
      <c r="O107" s="302"/>
      <c r="P107" s="302"/>
      <c r="Q107" s="302"/>
      <c r="R107" s="302"/>
      <c r="S107" s="302"/>
      <c r="T107" s="302"/>
      <c r="U107" s="302"/>
      <c r="V107" s="302"/>
      <c r="W107" s="309"/>
      <c r="X107" s="310"/>
    </row>
    <row r="108" spans="2:24" ht="27" customHeight="1" x14ac:dyDescent="0.55000000000000004">
      <c r="B108" s="122" t="s">
        <v>348</v>
      </c>
      <c r="C108" s="302"/>
      <c r="D108" s="302"/>
      <c r="E108" s="302"/>
      <c r="F108" s="302"/>
      <c r="G108" s="302"/>
      <c r="H108" s="302"/>
      <c r="I108" s="302"/>
      <c r="J108" s="302"/>
      <c r="K108" s="302"/>
      <c r="L108" s="302"/>
      <c r="M108" s="302"/>
      <c r="N108" s="302"/>
      <c r="O108" s="302"/>
      <c r="P108" s="302"/>
      <c r="Q108" s="302"/>
      <c r="R108" s="302"/>
      <c r="S108" s="302"/>
      <c r="T108" s="302"/>
      <c r="U108" s="302"/>
      <c r="V108" s="302"/>
      <c r="W108" s="309"/>
      <c r="X108" s="310"/>
    </row>
    <row r="109" spans="2:24" ht="27" hidden="1" customHeight="1" x14ac:dyDescent="0.55000000000000004">
      <c r="B109" s="122" t="s">
        <v>349</v>
      </c>
      <c r="C109" s="302"/>
      <c r="D109" s="302"/>
      <c r="E109" s="302"/>
      <c r="F109" s="302"/>
      <c r="G109" s="302"/>
      <c r="H109" s="302"/>
      <c r="I109" s="302"/>
      <c r="J109" s="302"/>
      <c r="K109" s="302"/>
      <c r="L109" s="302"/>
      <c r="M109" s="302"/>
      <c r="N109" s="302"/>
      <c r="O109" s="302"/>
      <c r="P109" s="302"/>
      <c r="Q109" s="302"/>
      <c r="R109" s="302"/>
      <c r="S109" s="302"/>
      <c r="T109" s="302"/>
      <c r="U109" s="302"/>
      <c r="V109" s="302"/>
      <c r="W109" s="309"/>
      <c r="X109" s="310"/>
    </row>
    <row r="110" spans="2:24" ht="27" hidden="1" customHeight="1" x14ac:dyDescent="0.55000000000000004">
      <c r="B110" s="123" t="s">
        <v>350</v>
      </c>
      <c r="C110" s="305"/>
      <c r="D110" s="305"/>
      <c r="E110" s="305"/>
      <c r="F110" s="305"/>
      <c r="G110" s="305"/>
      <c r="H110" s="305"/>
      <c r="I110" s="305"/>
      <c r="J110" s="305"/>
      <c r="K110" s="305"/>
      <c r="L110" s="305"/>
      <c r="M110" s="305"/>
      <c r="N110" s="305"/>
      <c r="O110" s="305"/>
      <c r="P110" s="305"/>
      <c r="Q110" s="305"/>
      <c r="R110" s="305"/>
      <c r="S110" s="305"/>
      <c r="T110" s="305"/>
      <c r="U110" s="305"/>
      <c r="V110" s="305"/>
      <c r="W110" s="312"/>
      <c r="X110" s="313"/>
    </row>
    <row r="111" spans="2:24" hidden="1" x14ac:dyDescent="0.55000000000000004">
      <c r="B111" s="31"/>
      <c r="C111" s="32"/>
    </row>
    <row r="112" spans="2:24" ht="14.25" customHeight="1" thickBot="1" x14ac:dyDescent="0.6">
      <c r="B112" s="32"/>
      <c r="C112" s="32"/>
    </row>
    <row r="113" spans="2:27" ht="36" customHeight="1" thickBot="1" x14ac:dyDescent="0.6">
      <c r="B113" s="236" t="s">
        <v>229</v>
      </c>
      <c r="C113" s="237"/>
      <c r="D113" s="237"/>
      <c r="E113" s="237"/>
      <c r="F113" s="238"/>
      <c r="G113" s="314" t="s">
        <v>534</v>
      </c>
      <c r="H113" s="315"/>
      <c r="M113" s="39"/>
      <c r="N113" s="39"/>
      <c r="O113" s="39"/>
      <c r="P113" s="39"/>
      <c r="Q113" s="39"/>
      <c r="R113" s="39"/>
      <c r="S113" s="39"/>
      <c r="T113" s="39"/>
      <c r="U113" s="39"/>
      <c r="V113" s="39"/>
      <c r="W113" s="39"/>
    </row>
    <row r="114" spans="2:27" ht="27" customHeight="1" x14ac:dyDescent="0.55000000000000004">
      <c r="B114" s="95" t="str">
        <f>IF(G113="実施を選択","",IF(G113="はい","※「はい」を選択した場合は、【３．空調設備の新旧仕様入力表】に必要事項を入力してください。","※「いいえ」を選択した場合は、【３．空調設備の新旧仕様表】の入力は不要です。"))</f>
        <v>※「はい」を選択した場合は、【３．空調設備の新旧仕様入力表】に必要事項を入力してください。</v>
      </c>
      <c r="C114" s="24"/>
      <c r="M114" s="39"/>
      <c r="N114" s="39"/>
      <c r="O114" s="39"/>
      <c r="P114" s="39"/>
      <c r="Q114" s="39"/>
      <c r="R114" s="39"/>
      <c r="S114" s="39"/>
      <c r="T114" s="39"/>
      <c r="U114" s="39"/>
      <c r="V114" s="39"/>
      <c r="W114" s="39"/>
    </row>
    <row r="115" spans="2:27" ht="8.25" customHeight="1" x14ac:dyDescent="0.55000000000000004">
      <c r="B115" s="95"/>
      <c r="C115" s="24"/>
      <c r="M115" s="39"/>
      <c r="N115" s="39"/>
      <c r="O115" s="39"/>
      <c r="P115" s="39"/>
      <c r="Q115" s="39"/>
      <c r="R115" s="39"/>
      <c r="S115" s="39"/>
      <c r="T115" s="39"/>
      <c r="U115" s="39"/>
      <c r="V115" s="39"/>
      <c r="W115" s="39"/>
    </row>
    <row r="116" spans="2:27" ht="42.75" customHeight="1" x14ac:dyDescent="0.55000000000000004">
      <c r="B116" s="23" t="s">
        <v>211</v>
      </c>
      <c r="C116" s="24"/>
      <c r="F116" s="228" t="s">
        <v>249</v>
      </c>
      <c r="G116" s="229"/>
      <c r="H116" s="220" t="str">
        <f>IF($G$113="実施を選択","実施確認：空調設備の更新＜はい＞又は、＜いいえ＞を選択してください。",IF(OR($G$113="いいえ",$G$113="実施を選択"),"",IF(AND(G113="はい",AE137=0),"旧設備について入力してください。",IF(OR(X135="入力確認",X136="入力確認",X137="入力確認"),"旧設備の入力をご確認ください。",IF(AND(G113="はい",AE158=0),"新設備について入力してください。",IF(OR(X156="入力確認",X157="入力確認",X158="入力確認"),"新設備の入力をご確認ください。",IF(AND(G113&lt;&gt;"はい",X130-X151&lt;&gt;0),"実施確認：空調設備の更新＜はい＞を選択してください。",IF(AND(G113="はい",X130-X151&gt;0),"省エネ設備更新の要件を満たしています。","省エネ設備更新の要件を満たしていないため、申請できません。"))))))))</f>
        <v>省エネ設備更新の要件を満たしています。</v>
      </c>
      <c r="I116" s="221"/>
      <c r="J116" s="221"/>
      <c r="K116" s="221"/>
      <c r="L116" s="221"/>
      <c r="M116" s="221"/>
      <c r="N116" s="221"/>
      <c r="O116" s="222"/>
      <c r="P116" s="39"/>
      <c r="Q116" s="39"/>
      <c r="R116" s="39"/>
      <c r="S116" s="39"/>
      <c r="T116" s="39"/>
      <c r="U116" s="39"/>
      <c r="V116" s="39"/>
      <c r="W116" s="39"/>
    </row>
    <row r="117" spans="2:27" ht="9" customHeight="1" x14ac:dyDescent="0.55000000000000004">
      <c r="B117" s="23"/>
      <c r="C117" s="24"/>
      <c r="M117" s="39"/>
      <c r="N117" s="39"/>
      <c r="O117" s="39"/>
      <c r="P117" s="39"/>
      <c r="Q117" s="39"/>
      <c r="R117" s="39"/>
      <c r="S117" s="39"/>
      <c r="T117" s="39"/>
      <c r="U117" s="39"/>
      <c r="V117" s="39"/>
      <c r="W117" s="39"/>
    </row>
    <row r="118" spans="2:27" ht="42" customHeight="1" thickBot="1" x14ac:dyDescent="0.6">
      <c r="B118" s="152" t="s">
        <v>430</v>
      </c>
      <c r="C118" s="25"/>
    </row>
    <row r="119" spans="2:27" ht="27" customHeight="1" thickBot="1" x14ac:dyDescent="0.6">
      <c r="B119" s="225" t="s">
        <v>130</v>
      </c>
      <c r="C119" s="225"/>
      <c r="D119" s="26" t="s">
        <v>286</v>
      </c>
      <c r="E119" s="26" t="s">
        <v>287</v>
      </c>
      <c r="F119" s="26" t="s">
        <v>288</v>
      </c>
      <c r="G119" s="26" t="s">
        <v>289</v>
      </c>
      <c r="H119" s="26" t="s">
        <v>290</v>
      </c>
      <c r="I119" s="26" t="s">
        <v>291</v>
      </c>
      <c r="J119" s="26" t="s">
        <v>292</v>
      </c>
      <c r="K119" s="26" t="s">
        <v>293</v>
      </c>
      <c r="L119" s="26" t="s">
        <v>294</v>
      </c>
      <c r="M119" s="26" t="s">
        <v>295</v>
      </c>
      <c r="N119" s="26" t="s">
        <v>351</v>
      </c>
      <c r="O119" s="26" t="s">
        <v>352</v>
      </c>
      <c r="P119" s="26" t="s">
        <v>353</v>
      </c>
      <c r="Q119" s="26" t="s">
        <v>354</v>
      </c>
      <c r="R119" s="26" t="s">
        <v>355</v>
      </c>
      <c r="S119" s="26" t="s">
        <v>356</v>
      </c>
      <c r="T119" s="26" t="s">
        <v>357</v>
      </c>
      <c r="U119" s="26" t="s">
        <v>358</v>
      </c>
      <c r="V119" s="26" t="s">
        <v>359</v>
      </c>
      <c r="W119" s="26" t="s">
        <v>360</v>
      </c>
      <c r="X119" s="33" t="s">
        <v>0</v>
      </c>
      <c r="Z119" s="74" t="s">
        <v>433</v>
      </c>
      <c r="AA119" s="156"/>
    </row>
    <row r="120" spans="2:27" ht="63" customHeight="1" thickBot="1" x14ac:dyDescent="0.6">
      <c r="B120" s="233" t="s">
        <v>264</v>
      </c>
      <c r="C120" s="233"/>
      <c r="D120" s="316" t="s">
        <v>14</v>
      </c>
      <c r="E120" s="316"/>
      <c r="F120" s="316"/>
      <c r="G120" s="316"/>
      <c r="H120" s="316"/>
      <c r="I120" s="316"/>
      <c r="J120" s="316"/>
      <c r="K120" s="316"/>
      <c r="L120" s="316"/>
      <c r="M120" s="316"/>
      <c r="N120" s="316"/>
      <c r="O120" s="316"/>
      <c r="P120" s="316"/>
      <c r="Q120" s="316"/>
      <c r="R120" s="316"/>
      <c r="S120" s="316"/>
      <c r="T120" s="316"/>
      <c r="U120" s="316"/>
      <c r="V120" s="316"/>
      <c r="W120" s="316"/>
      <c r="X120" s="27" t="s">
        <v>10</v>
      </c>
      <c r="Z120" s="74" t="s">
        <v>436</v>
      </c>
      <c r="AA120" s="156"/>
    </row>
    <row r="121" spans="2:27" ht="27" customHeight="1" thickBot="1" x14ac:dyDescent="0.6">
      <c r="B121" s="230" t="s">
        <v>3</v>
      </c>
      <c r="C121" s="230"/>
      <c r="D121" s="317">
        <v>1</v>
      </c>
      <c r="E121" s="317"/>
      <c r="F121" s="317"/>
      <c r="G121" s="317"/>
      <c r="H121" s="317"/>
      <c r="I121" s="317"/>
      <c r="J121" s="317"/>
      <c r="K121" s="317"/>
      <c r="L121" s="317"/>
      <c r="M121" s="317"/>
      <c r="N121" s="317"/>
      <c r="O121" s="317"/>
      <c r="P121" s="317"/>
      <c r="Q121" s="317"/>
      <c r="R121" s="317"/>
      <c r="S121" s="317"/>
      <c r="T121" s="317"/>
      <c r="U121" s="317"/>
      <c r="V121" s="317"/>
      <c r="W121" s="317"/>
      <c r="X121" s="142">
        <f>IF(SUM(D121:W121)=0,"",SUM(D121:W121))</f>
        <v>1</v>
      </c>
      <c r="Z121" s="74"/>
    </row>
    <row r="122" spans="2:27" ht="27" customHeight="1" x14ac:dyDescent="0.55000000000000004">
      <c r="B122" s="234" t="s">
        <v>16</v>
      </c>
      <c r="C122" s="235"/>
      <c r="D122" s="318" t="s">
        <v>97</v>
      </c>
      <c r="E122" s="318"/>
      <c r="F122" s="318"/>
      <c r="G122" s="318"/>
      <c r="H122" s="318"/>
      <c r="I122" s="318"/>
      <c r="J122" s="318"/>
      <c r="K122" s="318"/>
      <c r="L122" s="318"/>
      <c r="M122" s="318"/>
      <c r="N122" s="318"/>
      <c r="O122" s="318"/>
      <c r="P122" s="318"/>
      <c r="Q122" s="318"/>
      <c r="R122" s="318"/>
      <c r="S122" s="318"/>
      <c r="T122" s="318"/>
      <c r="U122" s="318"/>
      <c r="V122" s="318"/>
      <c r="W122" s="318"/>
      <c r="X122" s="35" t="s">
        <v>10</v>
      </c>
      <c r="Z122" s="74" t="s">
        <v>437</v>
      </c>
    </row>
    <row r="123" spans="2:27" ht="27" customHeight="1" x14ac:dyDescent="0.55000000000000004">
      <c r="B123" s="239" t="s">
        <v>116</v>
      </c>
      <c r="C123" s="240"/>
      <c r="D123" s="318" t="s">
        <v>98</v>
      </c>
      <c r="E123" s="318"/>
      <c r="F123" s="318"/>
      <c r="G123" s="318"/>
      <c r="H123" s="318"/>
      <c r="I123" s="318"/>
      <c r="J123" s="318"/>
      <c r="K123" s="318"/>
      <c r="L123" s="318"/>
      <c r="M123" s="318"/>
      <c r="N123" s="318"/>
      <c r="O123" s="318"/>
      <c r="P123" s="318"/>
      <c r="Q123" s="318"/>
      <c r="R123" s="318"/>
      <c r="S123" s="318"/>
      <c r="T123" s="318"/>
      <c r="U123" s="318"/>
      <c r="V123" s="318"/>
      <c r="W123" s="318"/>
      <c r="X123" s="35" t="s">
        <v>10</v>
      </c>
      <c r="Z123" s="74" t="s">
        <v>435</v>
      </c>
    </row>
    <row r="124" spans="2:27" ht="27" customHeight="1" x14ac:dyDescent="0.55000000000000004">
      <c r="B124" s="259" t="s">
        <v>216</v>
      </c>
      <c r="C124" s="199" t="s">
        <v>7</v>
      </c>
      <c r="D124" s="319">
        <v>10</v>
      </c>
      <c r="E124" s="319"/>
      <c r="F124" s="319"/>
      <c r="G124" s="319"/>
      <c r="H124" s="319"/>
      <c r="I124" s="319"/>
      <c r="J124" s="319"/>
      <c r="K124" s="319"/>
      <c r="L124" s="319"/>
      <c r="M124" s="319"/>
      <c r="N124" s="319"/>
      <c r="O124" s="319"/>
      <c r="P124" s="319"/>
      <c r="Q124" s="319"/>
      <c r="R124" s="319"/>
      <c r="S124" s="319"/>
      <c r="T124" s="319"/>
      <c r="U124" s="319"/>
      <c r="V124" s="319"/>
      <c r="W124" s="319"/>
      <c r="X124" s="35" t="s">
        <v>10</v>
      </c>
      <c r="Z124" s="126"/>
    </row>
    <row r="125" spans="2:27" ht="27" customHeight="1" x14ac:dyDescent="0.55000000000000004">
      <c r="B125" s="260"/>
      <c r="C125" s="199" t="s">
        <v>8</v>
      </c>
      <c r="D125" s="319">
        <v>11.2</v>
      </c>
      <c r="E125" s="319"/>
      <c r="F125" s="319"/>
      <c r="G125" s="319"/>
      <c r="H125" s="319"/>
      <c r="I125" s="319"/>
      <c r="J125" s="319"/>
      <c r="K125" s="319"/>
      <c r="L125" s="319"/>
      <c r="M125" s="319"/>
      <c r="N125" s="319"/>
      <c r="O125" s="319"/>
      <c r="P125" s="319"/>
      <c r="Q125" s="319"/>
      <c r="R125" s="319"/>
      <c r="S125" s="319"/>
      <c r="T125" s="319"/>
      <c r="U125" s="319"/>
      <c r="V125" s="319"/>
      <c r="W125" s="319"/>
      <c r="X125" s="30" t="s">
        <v>10</v>
      </c>
      <c r="Z125" s="126"/>
    </row>
    <row r="126" spans="2:27" ht="27" customHeight="1" x14ac:dyDescent="0.55000000000000004">
      <c r="B126" s="259" t="s">
        <v>217</v>
      </c>
      <c r="C126" s="199" t="s">
        <v>7</v>
      </c>
      <c r="D126" s="320">
        <v>3.6</v>
      </c>
      <c r="E126" s="320"/>
      <c r="F126" s="320"/>
      <c r="G126" s="320"/>
      <c r="H126" s="320"/>
      <c r="I126" s="320"/>
      <c r="J126" s="320"/>
      <c r="K126" s="320"/>
      <c r="L126" s="320"/>
      <c r="M126" s="320"/>
      <c r="N126" s="320"/>
      <c r="O126" s="320"/>
      <c r="P126" s="320"/>
      <c r="Q126" s="320"/>
      <c r="R126" s="320"/>
      <c r="S126" s="320"/>
      <c r="T126" s="320"/>
      <c r="U126" s="320"/>
      <c r="V126" s="320"/>
      <c r="W126" s="320"/>
      <c r="X126" s="27" t="s">
        <v>10</v>
      </c>
      <c r="Z126" s="126"/>
    </row>
    <row r="127" spans="2:27" ht="27" customHeight="1" x14ac:dyDescent="0.55000000000000004">
      <c r="B127" s="261"/>
      <c r="C127" s="199" t="s">
        <v>8</v>
      </c>
      <c r="D127" s="320">
        <v>3.8</v>
      </c>
      <c r="E127" s="320"/>
      <c r="F127" s="320"/>
      <c r="G127" s="320"/>
      <c r="H127" s="320"/>
      <c r="I127" s="320"/>
      <c r="J127" s="320"/>
      <c r="K127" s="320"/>
      <c r="L127" s="320"/>
      <c r="M127" s="320"/>
      <c r="N127" s="320"/>
      <c r="O127" s="320"/>
      <c r="P127" s="320"/>
      <c r="Q127" s="320"/>
      <c r="R127" s="320"/>
      <c r="S127" s="320"/>
      <c r="T127" s="320"/>
      <c r="U127" s="320"/>
      <c r="V127" s="320"/>
      <c r="W127" s="320"/>
      <c r="X127" s="30" t="s">
        <v>10</v>
      </c>
      <c r="Z127" s="126"/>
    </row>
    <row r="128" spans="2:27" ht="27" customHeight="1" thickBot="1" x14ac:dyDescent="0.6">
      <c r="B128" s="260"/>
      <c r="C128" s="199" t="s">
        <v>96</v>
      </c>
      <c r="D128" s="321" t="s">
        <v>535</v>
      </c>
      <c r="E128" s="321"/>
      <c r="F128" s="321"/>
      <c r="G128" s="321"/>
      <c r="H128" s="321"/>
      <c r="I128" s="321"/>
      <c r="J128" s="321"/>
      <c r="K128" s="321"/>
      <c r="L128" s="321"/>
      <c r="M128" s="321"/>
      <c r="N128" s="321"/>
      <c r="O128" s="321"/>
      <c r="P128" s="321"/>
      <c r="Q128" s="321"/>
      <c r="R128" s="321"/>
      <c r="S128" s="321"/>
      <c r="T128" s="321"/>
      <c r="U128" s="321"/>
      <c r="V128" s="321"/>
      <c r="W128" s="321"/>
      <c r="X128" s="30" t="s">
        <v>10</v>
      </c>
      <c r="Z128" s="74" t="s">
        <v>438</v>
      </c>
    </row>
    <row r="129" spans="2:32" ht="45.75" customHeight="1" x14ac:dyDescent="0.55000000000000004">
      <c r="B129" s="244" t="s">
        <v>219</v>
      </c>
      <c r="C129" s="258"/>
      <c r="D129" s="151">
        <f>IF(計算!$O31=1,計算!$R31,IF(計算!$O31=2,計算!$U31,IF(計算!$O31=3,計算!$X31,IF(計算!$O31=4,計算!$AA31,IF(計算!$O31=5,計算!$AD31,"")))))</f>
        <v>42.900000000000006</v>
      </c>
      <c r="E129" s="147" t="str">
        <f>IF(計算!$O32=1,計算!$R32,IF(計算!$O32=2,計算!$U32,IF(計算!$O32=3,計算!$X32,IF(計算!$O32=4,計算!$AA32,IF(計算!$O32=5,計算!$AD32,"")))))</f>
        <v/>
      </c>
      <c r="F129" s="147" t="str">
        <f>IF(計算!$O33=1,計算!$R33,IF(計算!$O33=2,計算!$U33,IF(計算!$O33=3,計算!$X33,IF(計算!$O33=4,計算!$AA33,IF(計算!$O33=5,計算!$AD33,"")))))</f>
        <v/>
      </c>
      <c r="G129" s="147" t="str">
        <f>IF(計算!$O34=1,計算!$R34,IF(計算!$O34=2,計算!$U34,IF(計算!$O34=3,計算!$X34,IF(計算!$O34=4,計算!$AA34,IF(計算!$O34=5,計算!$AD34,"")))))</f>
        <v/>
      </c>
      <c r="H129" s="147" t="str">
        <f>IF(計算!$O35=1,計算!$R35,IF(計算!$O35=2,計算!$U35,IF(計算!$O35=3,計算!$X35,IF(計算!$O35=4,計算!$AA35,IF(計算!$O35=5,計算!$AD35,"")))))</f>
        <v/>
      </c>
      <c r="I129" s="147" t="str">
        <f>IF(計算!$O36=1,計算!$R36,IF(計算!$O36=2,計算!$U36,IF(計算!$O36=3,計算!$X36,IF(計算!$O36=4,計算!$AA36,IF(計算!$O36=5,計算!$AD36,"")))))</f>
        <v/>
      </c>
      <c r="J129" s="147" t="str">
        <f>IF(計算!$O37=1,計算!$R37,IF(計算!$O37=2,計算!$U37,IF(計算!$O37=3,計算!$X37,IF(計算!$O37=4,計算!$AA37,IF(計算!$O37=5,計算!$AD37,"")))))</f>
        <v/>
      </c>
      <c r="K129" s="147" t="str">
        <f>IF(計算!$O38=1,計算!$R38,IF(計算!$O38=2,計算!$U38,IF(計算!$O38=3,計算!$X38,IF(計算!$O38=4,計算!$AA38,IF(計算!$O38=5,計算!$AD38,"")))))</f>
        <v/>
      </c>
      <c r="L129" s="147" t="str">
        <f>IF(計算!$O39=1,計算!$R39,IF(計算!$O39=2,計算!$U39,IF(計算!$O39=3,計算!$X39,IF(計算!$O39=4,計算!$AA39,IF(計算!$O39=5,計算!$AD39,"")))))</f>
        <v/>
      </c>
      <c r="M129" s="147" t="str">
        <f>IF(計算!$O40=1,計算!$R40,IF(計算!$O40=2,計算!$U40,IF(計算!$O40=3,計算!$X40,IF(計算!$O40=4,計算!$AA40,IF(計算!$O40=5,計算!$AD40,"")))))</f>
        <v/>
      </c>
      <c r="N129" s="147" t="str">
        <f>IF(計算!$O41=1,計算!$R41,IF(計算!$O41=2,計算!$U41,IF(計算!$O41=3,計算!$X41,IF(計算!$O41=4,計算!$AA41,IF(計算!$O41=5,計算!$AD41,"")))))</f>
        <v/>
      </c>
      <c r="O129" s="147" t="str">
        <f>IF(計算!$O42=1,計算!$R42,IF(計算!$O42=2,計算!$U42,IF(計算!$O42=3,計算!$X42,IF(計算!$O42=4,計算!$AA42,IF(計算!$O42=5,計算!$AD42,"")))))</f>
        <v/>
      </c>
      <c r="P129" s="147" t="str">
        <f>IF(計算!$O43=1,計算!$R43,IF(計算!$O43=2,計算!$U43,IF(計算!$O43=3,計算!$X43,IF(計算!$O43=4,計算!$AA43,IF(計算!$O43=5,計算!$AD43,"")))))</f>
        <v/>
      </c>
      <c r="Q129" s="147" t="str">
        <f>IF(計算!$O44=1,計算!$R44,IF(計算!$O44=2,計算!$U44,IF(計算!$O44=3,計算!$X44,IF(計算!$O44=4,計算!$AA44,IF(計算!$O44=5,計算!$AD44,"")))))</f>
        <v/>
      </c>
      <c r="R129" s="147" t="str">
        <f>IF(計算!$O45=1,計算!$R45,IF(計算!$O45=2,計算!$U45,IF(計算!$O45=3,計算!$X45,IF(計算!$O45=4,計算!$AA45,IF(計算!$O45=5,計算!$AD45,"")))))</f>
        <v/>
      </c>
      <c r="S129" s="147" t="str">
        <f>IF(計算!$O46=1,計算!$R46,IF(計算!$O46=2,計算!$U46,IF(計算!$O46=3,計算!$X46,IF(計算!$O46=4,計算!$AA46,IF(計算!$O46=5,計算!$AD46,"")))))</f>
        <v/>
      </c>
      <c r="T129" s="147" t="str">
        <f>IF(計算!$O47=1,計算!$R47,IF(計算!$O47=2,計算!$U47,IF(計算!$O47=3,計算!$X47,IF(計算!$O47=4,計算!$AA47,IF(計算!$O47=5,計算!$AD47,"")))))</f>
        <v/>
      </c>
      <c r="U129" s="147" t="str">
        <f>IF(計算!$O48=1,計算!$R48,IF(計算!$O48=2,計算!$U48,IF(計算!$O48=3,計算!$X48,IF(計算!$O48=4,計算!$AA48,IF(計算!$O48=5,計算!$AD48,"")))))</f>
        <v/>
      </c>
      <c r="V129" s="147" t="str">
        <f>IF(計算!$O49=1,計算!$R49,IF(計算!$O49=2,計算!$U49,IF(計算!$O49=3,計算!$X49,IF(計算!$O49=4,計算!$AA49,IF(計算!$O49=5,計算!$AD49,"")))))</f>
        <v/>
      </c>
      <c r="W129" s="147" t="str">
        <f>IF(計算!$O50=1,計算!$R50,IF(計算!$O50=2,計算!$U50,IF(計算!$O50=3,計算!$X50,IF(計算!$O50=4,計算!$AA50,IF(計算!$O50=5,計算!$AD50,"")))))</f>
        <v/>
      </c>
      <c r="X129" s="148">
        <f>IF(SUM(D129:W129)=0,"",SUM(D129:W129))</f>
        <v>42.900000000000006</v>
      </c>
    </row>
    <row r="130" spans="2:32" ht="27" customHeight="1" thickBot="1" x14ac:dyDescent="0.6">
      <c r="B130" s="257" t="s">
        <v>220</v>
      </c>
      <c r="C130" s="258"/>
      <c r="D130" s="149">
        <f>IF(D129="","",ROUND(D129*0.0258,2))</f>
        <v>1.1100000000000001</v>
      </c>
      <c r="E130" s="149" t="str">
        <f t="shared" ref="E130:M130" si="21">IF(E129="","",ROUND(E129*0.0258,2))</f>
        <v/>
      </c>
      <c r="F130" s="149" t="str">
        <f t="shared" si="21"/>
        <v/>
      </c>
      <c r="G130" s="149" t="str">
        <f t="shared" si="21"/>
        <v/>
      </c>
      <c r="H130" s="149" t="str">
        <f t="shared" si="21"/>
        <v/>
      </c>
      <c r="I130" s="149" t="str">
        <f t="shared" si="21"/>
        <v/>
      </c>
      <c r="J130" s="149" t="str">
        <f t="shared" si="21"/>
        <v/>
      </c>
      <c r="K130" s="149" t="str">
        <f t="shared" si="21"/>
        <v/>
      </c>
      <c r="L130" s="149" t="str">
        <f t="shared" si="21"/>
        <v/>
      </c>
      <c r="M130" s="149" t="str">
        <f t="shared" si="21"/>
        <v/>
      </c>
      <c r="N130" s="149" t="str">
        <f t="shared" ref="N130:V130" si="22">IF(N129="","",ROUND(N129*0.0258,2))</f>
        <v/>
      </c>
      <c r="O130" s="149" t="str">
        <f t="shared" si="22"/>
        <v/>
      </c>
      <c r="P130" s="149" t="str">
        <f t="shared" si="22"/>
        <v/>
      </c>
      <c r="Q130" s="149" t="str">
        <f t="shared" si="22"/>
        <v/>
      </c>
      <c r="R130" s="149" t="str">
        <f t="shared" si="22"/>
        <v/>
      </c>
      <c r="S130" s="149" t="str">
        <f t="shared" si="22"/>
        <v/>
      </c>
      <c r="T130" s="149" t="str">
        <f t="shared" si="22"/>
        <v/>
      </c>
      <c r="U130" s="149" t="str">
        <f t="shared" si="22"/>
        <v/>
      </c>
      <c r="V130" s="149" t="str">
        <f t="shared" si="22"/>
        <v/>
      </c>
      <c r="W130" s="149" t="str">
        <f t="shared" ref="W130" si="23">IF(W129="","",ROUND(W129*0.0258,2))</f>
        <v/>
      </c>
      <c r="X130" s="150">
        <f>IF(SUM(D130:W130)=0,"",SUM(D130:W130))</f>
        <v>1.1100000000000001</v>
      </c>
    </row>
    <row r="131" spans="2:32" ht="27" customHeight="1" x14ac:dyDescent="0.55000000000000004">
      <c r="B131" s="253" t="s">
        <v>215</v>
      </c>
      <c r="C131" s="83" t="s">
        <v>213</v>
      </c>
      <c r="D131" s="322"/>
      <c r="E131" s="322"/>
      <c r="F131" s="322"/>
      <c r="G131" s="322"/>
      <c r="H131" s="322"/>
      <c r="I131" s="322"/>
      <c r="J131" s="322"/>
      <c r="K131" s="322"/>
      <c r="L131" s="322"/>
      <c r="M131" s="322"/>
      <c r="N131" s="322"/>
      <c r="O131" s="322"/>
      <c r="P131" s="322"/>
      <c r="Q131" s="322"/>
      <c r="R131" s="322"/>
      <c r="S131" s="322"/>
      <c r="T131" s="322"/>
      <c r="U131" s="322"/>
      <c r="V131" s="322"/>
      <c r="W131" s="322"/>
      <c r="X131" s="27" t="s">
        <v>10</v>
      </c>
    </row>
    <row r="132" spans="2:32" ht="27" customHeight="1" x14ac:dyDescent="0.55000000000000004">
      <c r="B132" s="254"/>
      <c r="C132" s="83" t="s">
        <v>214</v>
      </c>
      <c r="D132" s="322">
        <v>2.9</v>
      </c>
      <c r="E132" s="322"/>
      <c r="F132" s="322"/>
      <c r="G132" s="322"/>
      <c r="H132" s="322"/>
      <c r="I132" s="322"/>
      <c r="J132" s="322"/>
      <c r="K132" s="322"/>
      <c r="L132" s="322"/>
      <c r="M132" s="322"/>
      <c r="N132" s="322"/>
      <c r="O132" s="322"/>
      <c r="P132" s="322"/>
      <c r="Q132" s="322"/>
      <c r="R132" s="322"/>
      <c r="S132" s="322"/>
      <c r="T132" s="322"/>
      <c r="U132" s="322"/>
      <c r="V132" s="322"/>
      <c r="W132" s="322"/>
      <c r="X132" s="30" t="s">
        <v>10</v>
      </c>
    </row>
    <row r="133" spans="2:32" hidden="1" x14ac:dyDescent="0.55000000000000004">
      <c r="B133" s="110" t="s">
        <v>273</v>
      </c>
      <c r="C133" s="110"/>
      <c r="D133" s="111">
        <f t="shared" ref="D133:M133" si="24">IF(D$120="",9,IF(OR(D$120="電気式パッケージ形空調機",D$120="ルームエアコン"),1,IF(AND(D$120="ガスヒートポンプ式空調機",D$122="都市ガス",D$128="kW"),2,IF(AND(D$120="ガスヒートポンプ式空調機",D$122="都市ガス",D$128="ｍ3N/h"),3,IF(AND(D$120="ガスヒートポンプ式空調機",D$122="LPG",D$128="kW"),4,IF(AND(D$120="ガスヒートポンプ式空調機",D$122="LPG",D$128="kg/h"),5,0))))))</f>
        <v>1</v>
      </c>
      <c r="E133" s="111">
        <f t="shared" si="24"/>
        <v>9</v>
      </c>
      <c r="F133" s="111">
        <f t="shared" si="24"/>
        <v>9</v>
      </c>
      <c r="G133" s="111">
        <f t="shared" si="24"/>
        <v>9</v>
      </c>
      <c r="H133" s="111">
        <f t="shared" si="24"/>
        <v>9</v>
      </c>
      <c r="I133" s="111">
        <f t="shared" si="24"/>
        <v>9</v>
      </c>
      <c r="J133" s="111">
        <f t="shared" si="24"/>
        <v>9</v>
      </c>
      <c r="K133" s="111">
        <f t="shared" si="24"/>
        <v>9</v>
      </c>
      <c r="L133" s="111">
        <f t="shared" si="24"/>
        <v>9</v>
      </c>
      <c r="M133" s="111">
        <f t="shared" si="24"/>
        <v>9</v>
      </c>
      <c r="N133" s="111">
        <f t="shared" ref="N133:W133" si="25">IF(N$120="",9,IF(OR(N$120="電気式パッケージ形空調機",N$120="ルームエアコン"),1,IF(AND(N$120="ガスヒートポンプ式空調機",N$122="都市ガス",N$128="kW"),2,IF(AND(N$120="ガスヒートポンプ式空調機",N$122="都市ガス",N$128="ｍ3N/h"),3,IF(AND(N$120="ガスヒートポンプ式空調機",N$122="LPG",N$128="kW"),4,IF(AND(N$120="ガスヒートポンプ式空調機",N$122="LPG",N$128="kg/h"),5,0))))))</f>
        <v>9</v>
      </c>
      <c r="O133" s="111">
        <f>IF(O$120="",9,IF(OR(O$120="電気式パッケージ形空調機",O$120="ルームエアコン"),1,IF(AND(O$120="ガスヒートポンプ式空調機",O$122="都市ガス",O$128="kW"),2,IF(AND(O$120="ガスヒートポンプ式空調機",O$122="都市ガス",O$128="ｍ3N/h"),3,IF(AND(O$120="ガスヒートポンプ式空調機",O$122="LPG",O$128="kW"),4,IF(AND(O$120="ガスヒートポンプ式空調機",O$122="LPG",O$128="kg/h"),5,0))))))</f>
        <v>9</v>
      </c>
      <c r="P133" s="111">
        <f t="shared" si="25"/>
        <v>9</v>
      </c>
      <c r="Q133" s="111">
        <f t="shared" si="25"/>
        <v>9</v>
      </c>
      <c r="R133" s="111">
        <f t="shared" si="25"/>
        <v>9</v>
      </c>
      <c r="S133" s="111">
        <f t="shared" si="25"/>
        <v>9</v>
      </c>
      <c r="T133" s="111">
        <f t="shared" si="25"/>
        <v>9</v>
      </c>
      <c r="U133" s="111">
        <f t="shared" si="25"/>
        <v>9</v>
      </c>
      <c r="V133" s="111">
        <f t="shared" si="25"/>
        <v>9</v>
      </c>
      <c r="W133" s="111">
        <f t="shared" si="25"/>
        <v>9</v>
      </c>
      <c r="X133" s="94"/>
      <c r="Y133" s="112">
        <f>COUNTIF($D133:$W133,0)</f>
        <v>0</v>
      </c>
      <c r="Z133" s="157">
        <f>COUNTIF($D133:$W133,1)</f>
        <v>1</v>
      </c>
      <c r="AA133" s="157">
        <f>COUNTIF($D133:$W133,2)</f>
        <v>0</v>
      </c>
      <c r="AB133" s="157">
        <f>COUNTIF($D133:$W133,3)</f>
        <v>0</v>
      </c>
      <c r="AC133" s="112">
        <f>COUNTIF($D133:$W133,4)</f>
        <v>0</v>
      </c>
      <c r="AD133" s="112">
        <f>COUNTIF($D133:$W133,5)</f>
        <v>0</v>
      </c>
      <c r="AE133" s="112"/>
      <c r="AF133" s="99">
        <v>119</v>
      </c>
    </row>
    <row r="134" spans="2:32" hidden="1" x14ac:dyDescent="0.55000000000000004">
      <c r="B134" s="110" t="s">
        <v>272</v>
      </c>
      <c r="C134" s="110"/>
      <c r="D134" s="111">
        <f>IF(AND(D$122="",D$128=""),9,IF(AND(D$122="電気",D$128="kW"),1,IF(AND(D$122="都市ガス",D$128="kW"),2,IF(AND(D$122="都市ガス",D$128="ｍ3N/h"),3,IF(AND(D$122="LPG",D$128="kW"),4,IF(AND(D$122="LPG",D$128="kg/h"),5,0))))))</f>
        <v>1</v>
      </c>
      <c r="E134" s="111">
        <f t="shared" ref="E134:W134" si="26">IF(AND(E$122="",E$128=""),9,IF(AND(E$122="電気",E$128="kW"),1,IF(AND(E$122="都市ガス",E$128="kW"),2,IF(AND(E$122="都市ガス",E$128="ｍ3N/h"),3,IF(AND(E$122="LPG",E$128="kW"),4,IF(AND(E$122="LPG",E$128="kg/h"),5,0))))))</f>
        <v>9</v>
      </c>
      <c r="F134" s="111">
        <f t="shared" si="26"/>
        <v>9</v>
      </c>
      <c r="G134" s="111">
        <f t="shared" si="26"/>
        <v>9</v>
      </c>
      <c r="H134" s="111">
        <f t="shared" si="26"/>
        <v>9</v>
      </c>
      <c r="I134" s="111">
        <f t="shared" si="26"/>
        <v>9</v>
      </c>
      <c r="J134" s="111">
        <f t="shared" si="26"/>
        <v>9</v>
      </c>
      <c r="K134" s="111">
        <f t="shared" si="26"/>
        <v>9</v>
      </c>
      <c r="L134" s="111">
        <f t="shared" si="26"/>
        <v>9</v>
      </c>
      <c r="M134" s="111">
        <f t="shared" si="26"/>
        <v>9</v>
      </c>
      <c r="N134" s="111">
        <f t="shared" si="26"/>
        <v>9</v>
      </c>
      <c r="O134" s="111">
        <f>IF(AND(O$122="",O$128=""),9,IF(AND(O$122="電気",O$128="kW"),1,IF(AND(O$122="都市ガス",O$128="kW"),2,IF(AND(O$122="都市ガス",O$128="ｍ3N/h"),3,IF(AND(O$122="LPG",O$128="kW"),4,IF(AND(O$122="LPG",O$128="kg/h"),5,0))))))</f>
        <v>9</v>
      </c>
      <c r="P134" s="111">
        <f t="shared" si="26"/>
        <v>9</v>
      </c>
      <c r="Q134" s="111">
        <f t="shared" si="26"/>
        <v>9</v>
      </c>
      <c r="R134" s="111">
        <f t="shared" si="26"/>
        <v>9</v>
      </c>
      <c r="S134" s="111">
        <f t="shared" si="26"/>
        <v>9</v>
      </c>
      <c r="T134" s="111">
        <f t="shared" si="26"/>
        <v>9</v>
      </c>
      <c r="U134" s="111">
        <f t="shared" si="26"/>
        <v>9</v>
      </c>
      <c r="V134" s="111">
        <f t="shared" si="26"/>
        <v>9</v>
      </c>
      <c r="W134" s="111">
        <f t="shared" si="26"/>
        <v>9</v>
      </c>
      <c r="X134" s="94"/>
      <c r="Y134" s="112">
        <f>COUNTIF($D134:$W134,0)</f>
        <v>0</v>
      </c>
      <c r="Z134" s="157">
        <f>COUNTIF($D134:$W134,1)</f>
        <v>1</v>
      </c>
      <c r="AA134" s="157">
        <f>COUNTIF($D134:$W134,2)</f>
        <v>0</v>
      </c>
      <c r="AB134" s="157">
        <f>COUNTIF($D134:$W134,3)</f>
        <v>0</v>
      </c>
      <c r="AC134" s="112">
        <f>COUNTIF($D134:$W134,4)</f>
        <v>0</v>
      </c>
      <c r="AD134" s="112">
        <f>COUNTIF($D134:$W134,5)</f>
        <v>0</v>
      </c>
      <c r="AE134" s="112"/>
      <c r="AF134" s="99">
        <v>120</v>
      </c>
    </row>
    <row r="135" spans="2:32" hidden="1" x14ac:dyDescent="0.55000000000000004">
      <c r="B135" s="113" t="s">
        <v>269</v>
      </c>
      <c r="C135" s="113"/>
      <c r="D135" s="114">
        <f>IF(OR(AND(D133=0,D134=0),D133&lt;&gt;D134),1,IF(AND(D133=9,D134=9),2,IF(D133=D134,0,"")))</f>
        <v>0</v>
      </c>
      <c r="E135" s="114">
        <f t="shared" ref="E135:M135" si="27">IF(OR(AND(E133=0,E134=0),E133&lt;&gt;E134),1,IF(AND(E133=9,E134=9),2,IF(E133=E134,0,"")))</f>
        <v>2</v>
      </c>
      <c r="F135" s="114">
        <f t="shared" si="27"/>
        <v>2</v>
      </c>
      <c r="G135" s="114">
        <f t="shared" si="27"/>
        <v>2</v>
      </c>
      <c r="H135" s="114">
        <f t="shared" si="27"/>
        <v>2</v>
      </c>
      <c r="I135" s="114">
        <f t="shared" si="27"/>
        <v>2</v>
      </c>
      <c r="J135" s="114">
        <f t="shared" si="27"/>
        <v>2</v>
      </c>
      <c r="K135" s="114">
        <f t="shared" si="27"/>
        <v>2</v>
      </c>
      <c r="L135" s="114">
        <f t="shared" si="27"/>
        <v>2</v>
      </c>
      <c r="M135" s="114">
        <f t="shared" si="27"/>
        <v>2</v>
      </c>
      <c r="N135" s="114">
        <f t="shared" ref="N135:V135" si="28">IF(OR(AND(N133=0,N134=0),N133&lt;&gt;N134),1,IF(AND(N133=9,N134=9),2,IF(N133=N134,0,"")))</f>
        <v>2</v>
      </c>
      <c r="O135" s="114">
        <f>IF(OR(AND(O133=0,O134=0),O133&lt;&gt;O134),1,IF(AND(O133=9,O134=9),2,IF(O133=O134,0,"")))</f>
        <v>2</v>
      </c>
      <c r="P135" s="114">
        <f t="shared" si="28"/>
        <v>2</v>
      </c>
      <c r="Q135" s="114">
        <f t="shared" si="28"/>
        <v>2</v>
      </c>
      <c r="R135" s="114">
        <f t="shared" si="28"/>
        <v>2</v>
      </c>
      <c r="S135" s="114">
        <f t="shared" si="28"/>
        <v>2</v>
      </c>
      <c r="T135" s="114">
        <f t="shared" si="28"/>
        <v>2</v>
      </c>
      <c r="U135" s="114">
        <f t="shared" si="28"/>
        <v>2</v>
      </c>
      <c r="V135" s="114">
        <f t="shared" si="28"/>
        <v>2</v>
      </c>
      <c r="W135" s="114">
        <f>IF(OR(AND(W133=0,W134=0),W133&lt;&gt;W134),1,IF(AND(W133=9,W134=9),2,IF(W133=W134,0,"")))</f>
        <v>2</v>
      </c>
      <c r="X135" s="94" t="str">
        <f>IF(Z135&gt;0,"入力確認",IF(AE137=Y135,"適合","不適合"))</f>
        <v>適合</v>
      </c>
      <c r="Y135" s="112">
        <f>COUNTIF($D135:$W135,0)</f>
        <v>1</v>
      </c>
      <c r="Z135" s="157">
        <f>COUNTIF($D135:$W135,1)</f>
        <v>0</v>
      </c>
      <c r="AA135" s="157">
        <f>COUNTIF($D135:$W135,2)</f>
        <v>19</v>
      </c>
      <c r="AB135" s="157"/>
      <c r="AC135" s="112"/>
      <c r="AD135" s="112"/>
      <c r="AE135" s="112"/>
      <c r="AF135" s="99">
        <v>121</v>
      </c>
    </row>
    <row r="136" spans="2:32" hidden="1" x14ac:dyDescent="0.55000000000000004">
      <c r="B136" s="145" t="s">
        <v>428</v>
      </c>
      <c r="C136" s="145"/>
      <c r="D136" s="146">
        <f>IF(OR(D126&lt;0,D127&lt;0),1,IF(OR(D126&gt;0,D127&gt;0),0,2))</f>
        <v>0</v>
      </c>
      <c r="E136" s="146">
        <f t="shared" ref="E136:N136" si="29">IF(OR(E126&lt;0,E127&lt;0),1,IF(OR(E126&gt;0,E127&gt;0),0,2))</f>
        <v>2</v>
      </c>
      <c r="F136" s="146">
        <f t="shared" si="29"/>
        <v>2</v>
      </c>
      <c r="G136" s="146">
        <f t="shared" si="29"/>
        <v>2</v>
      </c>
      <c r="H136" s="146">
        <f t="shared" si="29"/>
        <v>2</v>
      </c>
      <c r="I136" s="146">
        <f t="shared" si="29"/>
        <v>2</v>
      </c>
      <c r="J136" s="146">
        <f t="shared" si="29"/>
        <v>2</v>
      </c>
      <c r="K136" s="146">
        <f t="shared" si="29"/>
        <v>2</v>
      </c>
      <c r="L136" s="146">
        <f t="shared" si="29"/>
        <v>2</v>
      </c>
      <c r="M136" s="146">
        <f t="shared" si="29"/>
        <v>2</v>
      </c>
      <c r="N136" s="146">
        <f t="shared" si="29"/>
        <v>2</v>
      </c>
      <c r="O136" s="146">
        <f>IF(OR(O126&lt;0,O127&lt;0),1,IF(OR(O126&gt;0,O127&gt;0),0,2))</f>
        <v>2</v>
      </c>
      <c r="P136" s="146">
        <f t="shared" ref="P136:W136" si="30">IF(OR(P126&lt;0,P127&lt;0),1,IF(OR(P126&gt;0,P127&gt;0),0,2))</f>
        <v>2</v>
      </c>
      <c r="Q136" s="146">
        <f t="shared" si="30"/>
        <v>2</v>
      </c>
      <c r="R136" s="146">
        <f t="shared" si="30"/>
        <v>2</v>
      </c>
      <c r="S136" s="146">
        <f t="shared" si="30"/>
        <v>2</v>
      </c>
      <c r="T136" s="146">
        <f t="shared" si="30"/>
        <v>2</v>
      </c>
      <c r="U136" s="146">
        <f t="shared" si="30"/>
        <v>2</v>
      </c>
      <c r="V136" s="146">
        <f t="shared" si="30"/>
        <v>2</v>
      </c>
      <c r="W136" s="146">
        <f t="shared" si="30"/>
        <v>2</v>
      </c>
      <c r="X136" s="94" t="str">
        <f>IF(Z136&gt;0,"入力確認",IF(AE137=Y136,"適合","不適合"))</f>
        <v>適合</v>
      </c>
      <c r="Y136" s="112">
        <f>COUNTIF($D136:$W136,0)</f>
        <v>1</v>
      </c>
      <c r="Z136" s="157">
        <f>COUNTIF($D136:$W136,1)</f>
        <v>0</v>
      </c>
      <c r="AA136" s="157">
        <f>COUNTIF($D136:$W136,2)</f>
        <v>19</v>
      </c>
      <c r="AB136" s="157"/>
      <c r="AC136" s="112"/>
      <c r="AD136" s="112"/>
      <c r="AE136" s="112"/>
      <c r="AF136" s="99">
        <v>122</v>
      </c>
    </row>
    <row r="137" spans="2:32" hidden="1" x14ac:dyDescent="0.55000000000000004">
      <c r="B137" s="96" t="s">
        <v>246</v>
      </c>
      <c r="C137" s="94"/>
      <c r="D137" s="94">
        <f t="shared" ref="D137:M137" si="31">IF(AND(D120="",D121="",D122="",D123="",D124="",D125="",D126="",D127="",D128="",D131="",D132=""),2,IF(AND(D120&lt;&gt;"",D121&lt;&gt;"",D122&lt;&gt;"",D123&lt;&gt;"",D124&lt;&gt;"",D125&lt;&gt;"",D126&lt;&gt;"",D127&lt;&gt;"",D128&lt;&gt;"",OR(D131&lt;&gt;"",D132&lt;&gt;"")),0,1))</f>
        <v>0</v>
      </c>
      <c r="E137" s="94">
        <f t="shared" si="31"/>
        <v>2</v>
      </c>
      <c r="F137" s="94">
        <f t="shared" si="31"/>
        <v>2</v>
      </c>
      <c r="G137" s="94">
        <f t="shared" si="31"/>
        <v>2</v>
      </c>
      <c r="H137" s="94">
        <f t="shared" si="31"/>
        <v>2</v>
      </c>
      <c r="I137" s="94">
        <f t="shared" si="31"/>
        <v>2</v>
      </c>
      <c r="J137" s="94">
        <f t="shared" si="31"/>
        <v>2</v>
      </c>
      <c r="K137" s="94">
        <f t="shared" si="31"/>
        <v>2</v>
      </c>
      <c r="L137" s="94">
        <f t="shared" si="31"/>
        <v>2</v>
      </c>
      <c r="M137" s="94">
        <f t="shared" si="31"/>
        <v>2</v>
      </c>
      <c r="N137" s="94">
        <f t="shared" ref="N137:W137" si="32">IF(AND(N120="",N121="",N122="",N123="",N124="",N125="",N126="",N127="",N128="",N131="",N132=""),2,IF(AND(N120&lt;&gt;"",N121&lt;&gt;"",N122&lt;&gt;"",N123&lt;&gt;"",N124&lt;&gt;"",N125&lt;&gt;"",N126&lt;&gt;"",N127&lt;&gt;"",N128&lt;&gt;"",OR(N131&lt;&gt;"",N132&lt;&gt;"")),0,1))</f>
        <v>2</v>
      </c>
      <c r="O137" s="94">
        <f>IF(AND(O120="",O121="",O122="",O123="",O124="",O125="",O126="",O127="",O128="",O131="",O132=""),2,IF(AND(O120&lt;&gt;"",O121&lt;&gt;"",O122&lt;&gt;"",O123&lt;&gt;"",O124&lt;&gt;"",O125&lt;&gt;"",O126&lt;&gt;"",O127&lt;&gt;"",O128&lt;&gt;"",OR(O131&lt;&gt;"",O132&lt;&gt;"")),0,1))</f>
        <v>2</v>
      </c>
      <c r="P137" s="94">
        <f t="shared" si="32"/>
        <v>2</v>
      </c>
      <c r="Q137" s="94">
        <f t="shared" si="32"/>
        <v>2</v>
      </c>
      <c r="R137" s="94">
        <f t="shared" si="32"/>
        <v>2</v>
      </c>
      <c r="S137" s="94">
        <f t="shared" si="32"/>
        <v>2</v>
      </c>
      <c r="T137" s="94">
        <f t="shared" si="32"/>
        <v>2</v>
      </c>
      <c r="U137" s="94">
        <f t="shared" si="32"/>
        <v>2</v>
      </c>
      <c r="V137" s="94">
        <f t="shared" si="32"/>
        <v>2</v>
      </c>
      <c r="W137" s="94">
        <f t="shared" si="32"/>
        <v>2</v>
      </c>
      <c r="X137" s="94" t="str">
        <f>IF(Z137&gt;0,"入力確認",IF(AE137=Y137,"適合","不適合"))</f>
        <v>適合</v>
      </c>
      <c r="Y137" s="112">
        <f>COUNTIF($D137:$W137,0)</f>
        <v>1</v>
      </c>
      <c r="Z137" s="157">
        <f>COUNTIF($D137:$W137,1)</f>
        <v>0</v>
      </c>
      <c r="AA137" s="157">
        <f>COUNTIF($D137:$W137,2)</f>
        <v>19</v>
      </c>
      <c r="AB137" s="157"/>
      <c r="AC137" s="112"/>
      <c r="AD137" s="112"/>
      <c r="AE137" s="144">
        <f>20-COUNTIF($D$120:$W$120,"")</f>
        <v>1</v>
      </c>
      <c r="AF137" s="99">
        <v>123</v>
      </c>
    </row>
    <row r="138" spans="2:32" x14ac:dyDescent="0.55000000000000004">
      <c r="B138" s="36"/>
      <c r="C138" s="36"/>
      <c r="D138" s="37"/>
      <c r="E138" s="37"/>
      <c r="F138" s="37"/>
      <c r="G138" s="37"/>
      <c r="H138" s="37"/>
      <c r="I138" s="37"/>
      <c r="J138" s="37"/>
      <c r="K138" s="37"/>
      <c r="L138" s="37"/>
      <c r="M138" s="37"/>
      <c r="N138" s="37"/>
      <c r="O138" s="37"/>
      <c r="P138" s="37"/>
      <c r="Q138" s="37"/>
      <c r="R138" s="37"/>
      <c r="S138" s="37"/>
      <c r="T138" s="37"/>
      <c r="U138" s="37"/>
      <c r="V138" s="37"/>
      <c r="W138" s="37"/>
      <c r="X138" s="37"/>
    </row>
    <row r="139" spans="2:32" ht="42" customHeight="1" thickBot="1" x14ac:dyDescent="0.6">
      <c r="B139" s="152" t="s">
        <v>429</v>
      </c>
      <c r="C139" s="25"/>
    </row>
    <row r="140" spans="2:32" ht="27" customHeight="1" thickBot="1" x14ac:dyDescent="0.6">
      <c r="B140" s="232" t="s">
        <v>129</v>
      </c>
      <c r="C140" s="232"/>
      <c r="D140" s="26" t="s">
        <v>296</v>
      </c>
      <c r="E140" s="26" t="s">
        <v>297</v>
      </c>
      <c r="F140" s="26" t="s">
        <v>298</v>
      </c>
      <c r="G140" s="26" t="s">
        <v>299</v>
      </c>
      <c r="H140" s="26" t="s">
        <v>300</v>
      </c>
      <c r="I140" s="26" t="s">
        <v>301</v>
      </c>
      <c r="J140" s="26" t="s">
        <v>302</v>
      </c>
      <c r="K140" s="26" t="s">
        <v>303</v>
      </c>
      <c r="L140" s="26" t="s">
        <v>304</v>
      </c>
      <c r="M140" s="26" t="s">
        <v>305</v>
      </c>
      <c r="N140" s="26" t="s">
        <v>361</v>
      </c>
      <c r="O140" s="26" t="s">
        <v>362</v>
      </c>
      <c r="P140" s="26" t="s">
        <v>363</v>
      </c>
      <c r="Q140" s="26" t="s">
        <v>364</v>
      </c>
      <c r="R140" s="26" t="s">
        <v>365</v>
      </c>
      <c r="S140" s="26" t="s">
        <v>366</v>
      </c>
      <c r="T140" s="26" t="s">
        <v>367</v>
      </c>
      <c r="U140" s="26" t="s">
        <v>368</v>
      </c>
      <c r="V140" s="26" t="s">
        <v>369</v>
      </c>
      <c r="W140" s="26" t="s">
        <v>370</v>
      </c>
      <c r="X140" s="33" t="s">
        <v>0</v>
      </c>
      <c r="Z140" s="74" t="s">
        <v>434</v>
      </c>
    </row>
    <row r="141" spans="2:32" ht="63" customHeight="1" thickBot="1" x14ac:dyDescent="0.6">
      <c r="B141" s="231" t="s">
        <v>264</v>
      </c>
      <c r="C141" s="231"/>
      <c r="D141" s="316" t="s">
        <v>14</v>
      </c>
      <c r="E141" s="316"/>
      <c r="F141" s="316"/>
      <c r="G141" s="316"/>
      <c r="H141" s="316"/>
      <c r="I141" s="316"/>
      <c r="J141" s="316"/>
      <c r="K141" s="316"/>
      <c r="L141" s="316"/>
      <c r="M141" s="316"/>
      <c r="N141" s="323"/>
      <c r="O141" s="323"/>
      <c r="P141" s="323"/>
      <c r="Q141" s="323"/>
      <c r="R141" s="323"/>
      <c r="S141" s="323"/>
      <c r="T141" s="323"/>
      <c r="U141" s="323"/>
      <c r="V141" s="323"/>
      <c r="W141" s="323"/>
      <c r="X141" s="27" t="s">
        <v>10</v>
      </c>
      <c r="Z141" s="74" t="s">
        <v>436</v>
      </c>
    </row>
    <row r="142" spans="2:32" ht="27" customHeight="1" thickBot="1" x14ac:dyDescent="0.6">
      <c r="B142" s="231" t="s">
        <v>3</v>
      </c>
      <c r="C142" s="231"/>
      <c r="D142" s="317">
        <v>2</v>
      </c>
      <c r="E142" s="317"/>
      <c r="F142" s="317"/>
      <c r="G142" s="317"/>
      <c r="H142" s="317"/>
      <c r="I142" s="317"/>
      <c r="J142" s="317"/>
      <c r="K142" s="317"/>
      <c r="L142" s="317"/>
      <c r="M142" s="317"/>
      <c r="N142" s="317"/>
      <c r="O142" s="317"/>
      <c r="P142" s="317"/>
      <c r="Q142" s="317"/>
      <c r="R142" s="317"/>
      <c r="S142" s="317"/>
      <c r="T142" s="317"/>
      <c r="U142" s="317"/>
      <c r="V142" s="317"/>
      <c r="W142" s="317"/>
      <c r="X142" s="142">
        <f>IF(SUM(D142:W142)=0,"",SUM(D142:W142))</f>
        <v>2</v>
      </c>
      <c r="Z142" s="74"/>
    </row>
    <row r="143" spans="2:32" ht="27" customHeight="1" x14ac:dyDescent="0.55000000000000004">
      <c r="B143" s="235" t="s">
        <v>16</v>
      </c>
      <c r="C143" s="235"/>
      <c r="D143" s="318" t="s">
        <v>97</v>
      </c>
      <c r="E143" s="318"/>
      <c r="F143" s="318"/>
      <c r="G143" s="318"/>
      <c r="H143" s="318"/>
      <c r="I143" s="318"/>
      <c r="J143" s="318"/>
      <c r="K143" s="318"/>
      <c r="L143" s="318"/>
      <c r="M143" s="318"/>
      <c r="N143" s="318"/>
      <c r="O143" s="318"/>
      <c r="P143" s="318"/>
      <c r="Q143" s="318"/>
      <c r="R143" s="318"/>
      <c r="S143" s="318"/>
      <c r="T143" s="318"/>
      <c r="U143" s="318"/>
      <c r="V143" s="318"/>
      <c r="W143" s="318"/>
      <c r="X143" s="35" t="s">
        <v>10</v>
      </c>
      <c r="Z143" s="74" t="s">
        <v>437</v>
      </c>
    </row>
    <row r="144" spans="2:32" ht="27" customHeight="1" x14ac:dyDescent="0.55000000000000004">
      <c r="B144" s="244" t="s">
        <v>116</v>
      </c>
      <c r="C144" s="245"/>
      <c r="D144" s="318" t="s">
        <v>98</v>
      </c>
      <c r="E144" s="318"/>
      <c r="F144" s="318"/>
      <c r="G144" s="318"/>
      <c r="H144" s="318"/>
      <c r="I144" s="318"/>
      <c r="J144" s="318"/>
      <c r="K144" s="318"/>
      <c r="L144" s="318"/>
      <c r="M144" s="318"/>
      <c r="N144" s="324"/>
      <c r="O144" s="324"/>
      <c r="P144" s="324"/>
      <c r="Q144" s="324"/>
      <c r="R144" s="324"/>
      <c r="S144" s="324"/>
      <c r="T144" s="324"/>
      <c r="U144" s="324"/>
      <c r="V144" s="324"/>
      <c r="W144" s="324"/>
      <c r="X144" s="35" t="s">
        <v>10</v>
      </c>
      <c r="Z144" s="74" t="s">
        <v>435</v>
      </c>
    </row>
    <row r="145" spans="2:32" ht="27" customHeight="1" x14ac:dyDescent="0.55000000000000004">
      <c r="B145" s="241" t="s">
        <v>216</v>
      </c>
      <c r="C145" s="84" t="s">
        <v>7</v>
      </c>
      <c r="D145" s="319">
        <v>5</v>
      </c>
      <c r="E145" s="319"/>
      <c r="F145" s="319"/>
      <c r="G145" s="319"/>
      <c r="H145" s="319"/>
      <c r="I145" s="319"/>
      <c r="J145" s="319"/>
      <c r="K145" s="319"/>
      <c r="L145" s="319"/>
      <c r="M145" s="319"/>
      <c r="N145" s="325"/>
      <c r="O145" s="325"/>
      <c r="P145" s="325"/>
      <c r="Q145" s="325"/>
      <c r="R145" s="325"/>
      <c r="S145" s="325"/>
      <c r="T145" s="325"/>
      <c r="U145" s="325"/>
      <c r="V145" s="325"/>
      <c r="W145" s="325"/>
      <c r="X145" s="35" t="s">
        <v>10</v>
      </c>
      <c r="Z145" s="126"/>
    </row>
    <row r="146" spans="2:32" ht="27" customHeight="1" x14ac:dyDescent="0.55000000000000004">
      <c r="B146" s="243"/>
      <c r="C146" s="84" t="s">
        <v>8</v>
      </c>
      <c r="D146" s="319">
        <v>5.6</v>
      </c>
      <c r="E146" s="319"/>
      <c r="F146" s="319"/>
      <c r="G146" s="319"/>
      <c r="H146" s="319"/>
      <c r="I146" s="319"/>
      <c r="J146" s="319"/>
      <c r="K146" s="319"/>
      <c r="L146" s="319"/>
      <c r="M146" s="319"/>
      <c r="N146" s="319"/>
      <c r="O146" s="319"/>
      <c r="P146" s="319"/>
      <c r="Q146" s="319"/>
      <c r="R146" s="319"/>
      <c r="S146" s="319"/>
      <c r="T146" s="319"/>
      <c r="U146" s="319"/>
      <c r="V146" s="319"/>
      <c r="W146" s="319"/>
      <c r="X146" s="30" t="s">
        <v>10</v>
      </c>
      <c r="Z146" s="126"/>
    </row>
    <row r="147" spans="2:32" ht="27" customHeight="1" x14ac:dyDescent="0.55000000000000004">
      <c r="B147" s="241" t="s">
        <v>218</v>
      </c>
      <c r="C147" s="84" t="s">
        <v>7</v>
      </c>
      <c r="D147" s="326">
        <v>1.55</v>
      </c>
      <c r="E147" s="326"/>
      <c r="F147" s="326"/>
      <c r="G147" s="326"/>
      <c r="H147" s="326"/>
      <c r="I147" s="326"/>
      <c r="J147" s="326"/>
      <c r="K147" s="326"/>
      <c r="L147" s="326"/>
      <c r="M147" s="326"/>
      <c r="N147" s="327"/>
      <c r="O147" s="327"/>
      <c r="P147" s="327"/>
      <c r="Q147" s="327"/>
      <c r="R147" s="327"/>
      <c r="S147" s="327"/>
      <c r="T147" s="327"/>
      <c r="U147" s="327"/>
      <c r="V147" s="327"/>
      <c r="W147" s="327"/>
      <c r="X147" s="27" t="s">
        <v>10</v>
      </c>
      <c r="Z147" s="126"/>
    </row>
    <row r="148" spans="2:32" ht="27" customHeight="1" x14ac:dyDescent="0.55000000000000004">
      <c r="B148" s="242"/>
      <c r="C148" s="84" t="s">
        <v>8</v>
      </c>
      <c r="D148" s="326">
        <v>1.64</v>
      </c>
      <c r="E148" s="326"/>
      <c r="F148" s="326"/>
      <c r="G148" s="326"/>
      <c r="H148" s="326"/>
      <c r="I148" s="326"/>
      <c r="J148" s="326"/>
      <c r="K148" s="326"/>
      <c r="L148" s="326"/>
      <c r="M148" s="326"/>
      <c r="N148" s="326"/>
      <c r="O148" s="326"/>
      <c r="P148" s="326"/>
      <c r="Q148" s="326"/>
      <c r="R148" s="326"/>
      <c r="S148" s="326"/>
      <c r="T148" s="326"/>
      <c r="U148" s="326"/>
      <c r="V148" s="326"/>
      <c r="W148" s="326"/>
      <c r="X148" s="30" t="s">
        <v>10</v>
      </c>
      <c r="Z148" s="126"/>
    </row>
    <row r="149" spans="2:32" ht="27" customHeight="1" thickBot="1" x14ac:dyDescent="0.6">
      <c r="B149" s="243"/>
      <c r="C149" s="84" t="s">
        <v>96</v>
      </c>
      <c r="D149" s="321" t="s">
        <v>535</v>
      </c>
      <c r="E149" s="321"/>
      <c r="F149" s="321"/>
      <c r="G149" s="321"/>
      <c r="H149" s="321"/>
      <c r="I149" s="321"/>
      <c r="J149" s="321"/>
      <c r="K149" s="321"/>
      <c r="L149" s="321"/>
      <c r="M149" s="321"/>
      <c r="N149" s="321"/>
      <c r="O149" s="321"/>
      <c r="P149" s="321"/>
      <c r="Q149" s="321"/>
      <c r="R149" s="321"/>
      <c r="S149" s="321"/>
      <c r="T149" s="321"/>
      <c r="U149" s="321"/>
      <c r="V149" s="321"/>
      <c r="W149" s="321"/>
      <c r="X149" s="30" t="s">
        <v>10</v>
      </c>
      <c r="Z149" s="74" t="s">
        <v>438</v>
      </c>
    </row>
    <row r="150" spans="2:32" ht="45" customHeight="1" x14ac:dyDescent="0.55000000000000004">
      <c r="B150" s="244" t="s">
        <v>219</v>
      </c>
      <c r="C150" s="245"/>
      <c r="D150" s="147">
        <f>IF(計算!$O56=1,計算!$R56,IF(計算!$O56=2,計算!$U56,IF(計算!$O56=3,計算!$X56,IF(計算!$O56=4,計算!$AA56,IF(計算!$O56=5,計算!$AD56,"")))))</f>
        <v>37</v>
      </c>
      <c r="E150" s="147" t="str">
        <f>IF(計算!$O57=1,計算!$R57,IF(計算!$O57=2,計算!$U57,IF(計算!$O57=3,計算!$X57,IF(計算!$O57=4,計算!$AA57,IF(計算!$O57=5,計算!$AD57,"")))))</f>
        <v/>
      </c>
      <c r="F150" s="147" t="str">
        <f>IF(計算!$O58=1,計算!$R58,IF(計算!$O58=2,計算!$U58,IF(計算!$O58=3,計算!$X58,IF(計算!$O58=4,計算!$AA58,IF(計算!$O58=5,計算!$AD58,"")))))</f>
        <v/>
      </c>
      <c r="G150" s="147" t="str">
        <f>IF(計算!$O59=1,計算!$R59,IF(計算!$O59=2,計算!$U59,IF(計算!$O59=3,計算!$X59,IF(計算!$O59=4,計算!$AA59,IF(計算!$O59=5,計算!$AD59,"")))))</f>
        <v/>
      </c>
      <c r="H150" s="147" t="str">
        <f>IF(計算!$O60=1,計算!$R60,IF(計算!$O60=2,計算!$U60,IF(計算!$O60=3,計算!$X60,IF(計算!$O60=4,計算!$AA60,IF(計算!$O60=5,計算!$AD60,"")))))</f>
        <v/>
      </c>
      <c r="I150" s="147" t="str">
        <f>IF(計算!$O61=1,計算!$R61,IF(計算!$O61=2,計算!$U61,IF(計算!$O61=3,計算!$X61,IF(計算!$O61=4,計算!$AA61,IF(計算!$O61=5,計算!$AD61,"")))))</f>
        <v/>
      </c>
      <c r="J150" s="147" t="str">
        <f>IF(計算!$O62=1,計算!$R62,IF(計算!$O62=2,計算!$U62,IF(計算!$O62=3,計算!$X62,IF(計算!$O62=4,計算!$AA62,IF(計算!$O62=5,計算!$AD62,"")))))</f>
        <v/>
      </c>
      <c r="K150" s="147" t="str">
        <f>IF(計算!$O63=1,計算!$R63,IF(計算!$O63=2,計算!$U63,IF(計算!$O63=3,計算!$X63,IF(計算!$O63=4,計算!$AA63,IF(計算!$O63=5,計算!$AD63,"")))))</f>
        <v/>
      </c>
      <c r="L150" s="147" t="str">
        <f>IF(計算!$O64=1,計算!$R64,IF(計算!$O64=2,計算!$U64,IF(計算!$O64=3,計算!$X64,IF(計算!$O64=4,計算!$AA64,IF(計算!$O64=5,計算!$AD64,"")))))</f>
        <v/>
      </c>
      <c r="M150" s="147" t="str">
        <f>IF(計算!$O65=1,計算!$R65,IF(計算!$O65=2,計算!$U65,IF(計算!$O65=3,計算!$X65,IF(計算!$O65=4,計算!$AA65,IF(計算!$O65=5,計算!$AD65,"")))))</f>
        <v/>
      </c>
      <c r="N150" s="147" t="str">
        <f>IF(計算!$O66=1,計算!$R66,IF(計算!$O66=2,計算!$U66,IF(計算!$O66=3,計算!$X66,IF(計算!$O66=4,計算!$AA66,IF(計算!$O66=5,計算!$AD66,"")))))</f>
        <v/>
      </c>
      <c r="O150" s="147" t="str">
        <f>IF(計算!$O67=1,計算!$R67,IF(計算!$O67=2,計算!$U67,IF(計算!$O67=3,計算!$X67,IF(計算!$O67=4,計算!$AA67,IF(計算!$O67=5,計算!$AD67,"")))))</f>
        <v/>
      </c>
      <c r="P150" s="147" t="str">
        <f>IF(計算!$O68=1,計算!$R68,IF(計算!$O68=2,計算!$U68,IF(計算!$O68=3,計算!$X68,IF(計算!$O68=4,計算!$AA68,IF(計算!$O68=5,計算!$AD68,"")))))</f>
        <v/>
      </c>
      <c r="Q150" s="147" t="str">
        <f>IF(計算!$O69=1,計算!$R69,IF(計算!$O69=2,計算!$U69,IF(計算!$O69=3,計算!$X69,IF(計算!$O69=4,計算!$AA69,IF(計算!$O69=5,計算!$AD69,"")))))</f>
        <v/>
      </c>
      <c r="R150" s="147" t="str">
        <f>IF(計算!$O70=1,計算!$R70,IF(計算!$O70=2,計算!$U70,IF(計算!$O70=3,計算!$X70,IF(計算!$O70=4,計算!$AA70,IF(計算!$O70=5,計算!$AD70,"")))))</f>
        <v/>
      </c>
      <c r="S150" s="147" t="str">
        <f>IF(計算!$O71=1,計算!$R71,IF(計算!$O71=2,計算!$U71,IF(計算!$O71=3,計算!$X71,IF(計算!$O71=4,計算!$AA71,IF(計算!$O71=5,計算!$AD71,"")))))</f>
        <v/>
      </c>
      <c r="T150" s="147" t="str">
        <f>IF(計算!$O72=1,計算!$R72,IF(計算!$O72=2,計算!$U72,IF(計算!$O72=3,計算!$X72,IF(計算!$O72=4,計算!$AA72,IF(計算!$O72=5,計算!$AD72,"")))))</f>
        <v/>
      </c>
      <c r="U150" s="147" t="str">
        <f>IF(計算!$O73=1,計算!$R73,IF(計算!$O73=2,計算!$U73,IF(計算!$O73=3,計算!$X73,IF(計算!$O73=4,計算!$AA73,IF(計算!$O73=5,計算!$AD73,"")))))</f>
        <v/>
      </c>
      <c r="V150" s="147" t="str">
        <f>IF(計算!$O74=1,計算!$R74,IF(計算!$O74=2,計算!$U74,IF(計算!$O74=3,計算!$X74,IF(計算!$O74=4,計算!$AA74,IF(計算!$O74=5,計算!$AD74,"")))))</f>
        <v/>
      </c>
      <c r="W150" s="147" t="str">
        <f>IF(計算!$O75=1,計算!$R75,IF(計算!$O75=2,計算!$U75,IF(計算!$O75=3,計算!$X75,IF(計算!$O75=4,計算!$AA75,IF(計算!$O75=5,計算!$AD75,"")))))</f>
        <v/>
      </c>
      <c r="X150" s="148">
        <f>IF(SUM(D150:W150)=0,"",SUM(D150:W150))</f>
        <v>37</v>
      </c>
    </row>
    <row r="151" spans="2:32" ht="27" customHeight="1" thickBot="1" x14ac:dyDescent="0.6">
      <c r="B151" s="257" t="s">
        <v>220</v>
      </c>
      <c r="C151" s="258"/>
      <c r="D151" s="149">
        <f>IF(D150="","",ROUND(D150*0.0258,2))</f>
        <v>0.95</v>
      </c>
      <c r="E151" s="149" t="str">
        <f t="shared" ref="E151:M151" si="33">IF(E150="","",ROUND(E150*0.0258,2))</f>
        <v/>
      </c>
      <c r="F151" s="149" t="str">
        <f t="shared" si="33"/>
        <v/>
      </c>
      <c r="G151" s="149" t="str">
        <f t="shared" si="33"/>
        <v/>
      </c>
      <c r="H151" s="149" t="str">
        <f t="shared" si="33"/>
        <v/>
      </c>
      <c r="I151" s="149" t="str">
        <f t="shared" si="33"/>
        <v/>
      </c>
      <c r="J151" s="149" t="str">
        <f t="shared" si="33"/>
        <v/>
      </c>
      <c r="K151" s="149" t="str">
        <f t="shared" si="33"/>
        <v/>
      </c>
      <c r="L151" s="149" t="str">
        <f t="shared" si="33"/>
        <v/>
      </c>
      <c r="M151" s="149" t="str">
        <f t="shared" si="33"/>
        <v/>
      </c>
      <c r="N151" s="149" t="str">
        <f t="shared" ref="N151:W151" si="34">IF(N150="","",ROUND(N150*0.0258,2))</f>
        <v/>
      </c>
      <c r="O151" s="149" t="str">
        <f t="shared" si="34"/>
        <v/>
      </c>
      <c r="P151" s="149" t="str">
        <f t="shared" si="34"/>
        <v/>
      </c>
      <c r="Q151" s="149" t="str">
        <f t="shared" si="34"/>
        <v/>
      </c>
      <c r="R151" s="149" t="str">
        <f t="shared" si="34"/>
        <v/>
      </c>
      <c r="S151" s="149" t="str">
        <f t="shared" si="34"/>
        <v/>
      </c>
      <c r="T151" s="149" t="str">
        <f t="shared" si="34"/>
        <v/>
      </c>
      <c r="U151" s="149" t="str">
        <f t="shared" si="34"/>
        <v/>
      </c>
      <c r="V151" s="149" t="str">
        <f t="shared" si="34"/>
        <v/>
      </c>
      <c r="W151" s="149" t="str">
        <f t="shared" si="34"/>
        <v/>
      </c>
      <c r="X151" s="150">
        <f>IF(SUM(D151:W151)=0,"",SUM(D151:W151))</f>
        <v>0.95</v>
      </c>
      <c r="Z151" s="74" t="s">
        <v>439</v>
      </c>
    </row>
    <row r="152" spans="2:32" ht="27" customHeight="1" x14ac:dyDescent="0.55000000000000004">
      <c r="B152" s="255" t="s">
        <v>215</v>
      </c>
      <c r="C152" s="85" t="s">
        <v>213</v>
      </c>
      <c r="D152" s="322">
        <v>4.4000000000000004</v>
      </c>
      <c r="E152" s="322"/>
      <c r="F152" s="322"/>
      <c r="G152" s="322"/>
      <c r="H152" s="322"/>
      <c r="I152" s="322"/>
      <c r="J152" s="322"/>
      <c r="K152" s="322"/>
      <c r="L152" s="322"/>
      <c r="M152" s="322"/>
      <c r="N152" s="322"/>
      <c r="O152" s="322"/>
      <c r="P152" s="322"/>
      <c r="Q152" s="322"/>
      <c r="R152" s="322"/>
      <c r="S152" s="322"/>
      <c r="T152" s="322"/>
      <c r="U152" s="322"/>
      <c r="V152" s="322"/>
      <c r="W152" s="322"/>
      <c r="X152" s="27" t="s">
        <v>10</v>
      </c>
    </row>
    <row r="153" spans="2:32" ht="27" customHeight="1" x14ac:dyDescent="0.55000000000000004">
      <c r="B153" s="256"/>
      <c r="C153" s="85" t="s">
        <v>214</v>
      </c>
      <c r="D153" s="322"/>
      <c r="E153" s="322"/>
      <c r="F153" s="322"/>
      <c r="G153" s="322"/>
      <c r="H153" s="322"/>
      <c r="I153" s="322"/>
      <c r="J153" s="322"/>
      <c r="K153" s="322"/>
      <c r="L153" s="322"/>
      <c r="M153" s="322"/>
      <c r="N153" s="322"/>
      <c r="O153" s="322"/>
      <c r="P153" s="322"/>
      <c r="Q153" s="322"/>
      <c r="R153" s="322"/>
      <c r="S153" s="322"/>
      <c r="T153" s="322"/>
      <c r="U153" s="322"/>
      <c r="V153" s="322"/>
      <c r="W153" s="322"/>
      <c r="X153" s="30" t="s">
        <v>10</v>
      </c>
    </row>
    <row r="154" spans="2:32" hidden="1" x14ac:dyDescent="0.55000000000000004">
      <c r="B154" s="110" t="s">
        <v>270</v>
      </c>
      <c r="C154" s="110"/>
      <c r="D154" s="111">
        <f t="shared" ref="D154:M154" si="35">IF(D$141="",9,IF(OR(D$141="電気式パッケージ形空調機",D$141="ルームエアコン"),1,IF(AND(D$141="ガスヒートポンプ式空調機",D$143="都市ガス",D$149="kW"),2,IF(AND(D$141="ガスヒートポンプ式空調機",D$143="都市ガス",D$149="ｍ3N/h"),3,IF(AND(D$141="ガスヒートポンプ式空調機",D$143="LPG",D$149="kW"),4,IF(AND(D$141="ガスヒートポンプ式空調機",D$143="LPG",D$149="kg/h"),5,0))))))</f>
        <v>1</v>
      </c>
      <c r="E154" s="111">
        <f t="shared" si="35"/>
        <v>9</v>
      </c>
      <c r="F154" s="111">
        <f t="shared" si="35"/>
        <v>9</v>
      </c>
      <c r="G154" s="111">
        <f t="shared" si="35"/>
        <v>9</v>
      </c>
      <c r="H154" s="111">
        <f t="shared" si="35"/>
        <v>9</v>
      </c>
      <c r="I154" s="111">
        <f t="shared" si="35"/>
        <v>9</v>
      </c>
      <c r="J154" s="111">
        <f t="shared" si="35"/>
        <v>9</v>
      </c>
      <c r="K154" s="111">
        <f t="shared" si="35"/>
        <v>9</v>
      </c>
      <c r="L154" s="111">
        <f t="shared" si="35"/>
        <v>9</v>
      </c>
      <c r="M154" s="111">
        <f t="shared" si="35"/>
        <v>9</v>
      </c>
      <c r="N154" s="111">
        <f t="shared" ref="N154:V154" si="36">IF(N$141="",9,IF(OR(N$141="電気式パッケージ形空調機",N$141="ルームエアコン"),1,IF(AND(N$141="ガスヒートポンプ式空調機",N$143="都市ガス",N$149="kW"),2,IF(AND(N$141="ガスヒートポンプ式空調機",N$143="都市ガス",N$149="ｍ3N/h"),3,IF(AND(N$141="ガスヒートポンプ式空調機",N$143="LPG",N$149="kW"),4,IF(AND(N$141="ガスヒートポンプ式空調機",N$143="LPG",N$149="kg/h"),5,0))))))</f>
        <v>9</v>
      </c>
      <c r="O154" s="111">
        <f t="shared" si="36"/>
        <v>9</v>
      </c>
      <c r="P154" s="111">
        <f t="shared" si="36"/>
        <v>9</v>
      </c>
      <c r="Q154" s="111">
        <f t="shared" si="36"/>
        <v>9</v>
      </c>
      <c r="R154" s="111">
        <f t="shared" si="36"/>
        <v>9</v>
      </c>
      <c r="S154" s="111">
        <f t="shared" si="36"/>
        <v>9</v>
      </c>
      <c r="T154" s="111">
        <f t="shared" si="36"/>
        <v>9</v>
      </c>
      <c r="U154" s="111">
        <f t="shared" si="36"/>
        <v>9</v>
      </c>
      <c r="V154" s="111">
        <f t="shared" si="36"/>
        <v>9</v>
      </c>
      <c r="W154" s="111">
        <f>IF(W$141="",9,IF(OR(W$141="電気式パッケージ形空調機",W$141="ルームエアコン"),1,IF(AND(W$141="ガスヒートポンプ式空調機",W$143="都市ガス",W$149="kW"),2,IF(AND(W$141="ガスヒートポンプ式空調機",W$143="都市ガス",W$149="ｍ3N/h"),3,IF(AND(W$141="ガスヒートポンプ式空調機",W$143="LPG",W$149="kW"),4,IF(AND(W$141="ガスヒートポンプ式空調機",W$143="LPG",W$149="kg/h"),5,0))))))</f>
        <v>9</v>
      </c>
      <c r="X154" s="94"/>
      <c r="Y154" s="112">
        <f>COUNTIF($D154:$W154,0)</f>
        <v>0</v>
      </c>
      <c r="Z154" s="157">
        <f>COUNTIF($D154:$W154,1)</f>
        <v>1</v>
      </c>
      <c r="AA154" s="157">
        <f>COUNTIF($D154:$W154,2)</f>
        <v>0</v>
      </c>
      <c r="AB154" s="157">
        <f>COUNTIF($D154:$W154,3)</f>
        <v>0</v>
      </c>
      <c r="AC154" s="112">
        <f>COUNTIF($D154:$W154,4)</f>
        <v>0</v>
      </c>
      <c r="AD154" s="112">
        <f>COUNTIF($D154:$W154,5)</f>
        <v>0</v>
      </c>
      <c r="AE154" s="112"/>
      <c r="AF154" s="99">
        <v>140</v>
      </c>
    </row>
    <row r="155" spans="2:32" hidden="1" x14ac:dyDescent="0.55000000000000004">
      <c r="B155" s="110" t="s">
        <v>271</v>
      </c>
      <c r="C155" s="110"/>
      <c r="D155" s="111">
        <f>IF(AND(D$143="",D$149=""),9,IF(AND(D$143="電気",D$149="kW"),1,IF(AND(D$143="都市ガス",D$149="kW"),2,IF(AND(D$143="都市ガス",D$149="ｍ3N/h"),3,IF(AND(D$143="LPG",D$149="kW"),4,IF(AND(D$143="LPG",D$149="kg/h"),5,0))))))</f>
        <v>1</v>
      </c>
      <c r="E155" s="111">
        <f t="shared" ref="E155:W155" si="37">IF(AND(E$143="",E$149=""),9,IF(AND(E$143="電気",E$149="kW"),1,IF(AND(E$143="都市ガス",E$149="kW"),2,IF(AND(E$143="都市ガス",E$149="ｍ3N/h"),3,IF(AND(E$143="LPG",E$149="kW"),4,IF(AND(E$143="LPG",E$149="kg/h"),5,0))))))</f>
        <v>9</v>
      </c>
      <c r="F155" s="111">
        <f t="shared" si="37"/>
        <v>9</v>
      </c>
      <c r="G155" s="111">
        <f t="shared" si="37"/>
        <v>9</v>
      </c>
      <c r="H155" s="111">
        <f t="shared" si="37"/>
        <v>9</v>
      </c>
      <c r="I155" s="111">
        <f t="shared" si="37"/>
        <v>9</v>
      </c>
      <c r="J155" s="111">
        <f t="shared" si="37"/>
        <v>9</v>
      </c>
      <c r="K155" s="111">
        <f t="shared" si="37"/>
        <v>9</v>
      </c>
      <c r="L155" s="111">
        <f t="shared" si="37"/>
        <v>9</v>
      </c>
      <c r="M155" s="111">
        <f t="shared" si="37"/>
        <v>9</v>
      </c>
      <c r="N155" s="111">
        <f t="shared" si="37"/>
        <v>9</v>
      </c>
      <c r="O155" s="111">
        <f t="shared" si="37"/>
        <v>9</v>
      </c>
      <c r="P155" s="111">
        <f t="shared" si="37"/>
        <v>9</v>
      </c>
      <c r="Q155" s="111">
        <f t="shared" si="37"/>
        <v>9</v>
      </c>
      <c r="R155" s="111">
        <f t="shared" si="37"/>
        <v>9</v>
      </c>
      <c r="S155" s="111">
        <f t="shared" si="37"/>
        <v>9</v>
      </c>
      <c r="T155" s="111">
        <f t="shared" si="37"/>
        <v>9</v>
      </c>
      <c r="U155" s="111">
        <f t="shared" si="37"/>
        <v>9</v>
      </c>
      <c r="V155" s="111">
        <f t="shared" si="37"/>
        <v>9</v>
      </c>
      <c r="W155" s="111">
        <f t="shared" si="37"/>
        <v>9</v>
      </c>
      <c r="X155" s="94"/>
      <c r="Y155" s="112">
        <f>COUNTIF($D155:$W155,0)</f>
        <v>0</v>
      </c>
      <c r="Z155" s="157">
        <f>COUNTIF($D155:$W155,1)</f>
        <v>1</v>
      </c>
      <c r="AA155" s="157">
        <f>COUNTIF($D155:$W155,2)</f>
        <v>0</v>
      </c>
      <c r="AB155" s="157">
        <f>COUNTIF($D155:$W155,3)</f>
        <v>0</v>
      </c>
      <c r="AC155" s="112">
        <f>COUNTIF($D155:$W155,4)</f>
        <v>0</v>
      </c>
      <c r="AD155" s="112">
        <f>COUNTIF($D155:$W155,5)</f>
        <v>0</v>
      </c>
      <c r="AE155" s="112"/>
      <c r="AF155" s="99">
        <v>141</v>
      </c>
    </row>
    <row r="156" spans="2:32" hidden="1" x14ac:dyDescent="0.55000000000000004">
      <c r="B156" s="113" t="s">
        <v>269</v>
      </c>
      <c r="C156" s="113"/>
      <c r="D156" s="114">
        <f>IF(OR(AND(D154=0,D155=0),D154&lt;&gt;D155),1,IF(AND(D154=9,D155=9),2,IF(D154=D155,0,"")))</f>
        <v>0</v>
      </c>
      <c r="E156" s="114">
        <f t="shared" ref="E156:M156" si="38">IF(OR(AND(E154=0,E155=0),E154&lt;&gt;E155),1,IF(AND(E154=9,E155=9),2,IF(E154=E155,0,"")))</f>
        <v>2</v>
      </c>
      <c r="F156" s="114">
        <f t="shared" si="38"/>
        <v>2</v>
      </c>
      <c r="G156" s="114">
        <f t="shared" si="38"/>
        <v>2</v>
      </c>
      <c r="H156" s="114">
        <f t="shared" si="38"/>
        <v>2</v>
      </c>
      <c r="I156" s="114">
        <f t="shared" si="38"/>
        <v>2</v>
      </c>
      <c r="J156" s="114">
        <f t="shared" si="38"/>
        <v>2</v>
      </c>
      <c r="K156" s="114">
        <f t="shared" si="38"/>
        <v>2</v>
      </c>
      <c r="L156" s="114">
        <f t="shared" si="38"/>
        <v>2</v>
      </c>
      <c r="M156" s="114">
        <f t="shared" si="38"/>
        <v>2</v>
      </c>
      <c r="N156" s="114">
        <f t="shared" ref="N156:W156" si="39">IF(OR(AND(N154=0,N155=0),N154&lt;&gt;N155),1,IF(AND(N154=9,N155=9),2,IF(N154=N155,0,"")))</f>
        <v>2</v>
      </c>
      <c r="O156" s="114">
        <f t="shared" si="39"/>
        <v>2</v>
      </c>
      <c r="P156" s="114">
        <f t="shared" si="39"/>
        <v>2</v>
      </c>
      <c r="Q156" s="114">
        <f t="shared" si="39"/>
        <v>2</v>
      </c>
      <c r="R156" s="114">
        <f t="shared" si="39"/>
        <v>2</v>
      </c>
      <c r="S156" s="114">
        <f t="shared" si="39"/>
        <v>2</v>
      </c>
      <c r="T156" s="114">
        <f t="shared" si="39"/>
        <v>2</v>
      </c>
      <c r="U156" s="114">
        <f t="shared" si="39"/>
        <v>2</v>
      </c>
      <c r="V156" s="114">
        <f t="shared" si="39"/>
        <v>2</v>
      </c>
      <c r="W156" s="114">
        <f t="shared" si="39"/>
        <v>2</v>
      </c>
      <c r="X156" s="94" t="str">
        <f>IF(Z156&gt;0,"入力確認",IF(AE158=Y156,"適合","不適合"))</f>
        <v>適合</v>
      </c>
      <c r="Y156" s="112">
        <f>COUNTIF($D156:$W156,0)</f>
        <v>1</v>
      </c>
      <c r="Z156" s="157">
        <f>COUNTIF($D156:$W156,1)</f>
        <v>0</v>
      </c>
      <c r="AA156" s="157">
        <f>COUNTIF($D156:$W156,2)</f>
        <v>19</v>
      </c>
      <c r="AB156" s="157"/>
      <c r="AC156" s="112"/>
      <c r="AD156" s="112"/>
      <c r="AE156" s="112"/>
      <c r="AF156" s="99">
        <v>142</v>
      </c>
    </row>
    <row r="157" spans="2:32" hidden="1" x14ac:dyDescent="0.55000000000000004">
      <c r="B157" s="145" t="s">
        <v>428</v>
      </c>
      <c r="C157" s="145"/>
      <c r="D157" s="146">
        <f t="shared" ref="D157:N157" si="40">IF(OR(D147&lt;0,D148&lt;0),1,IF(OR(D147&gt;0,D148&gt;0),0,2))</f>
        <v>0</v>
      </c>
      <c r="E157" s="146">
        <f t="shared" si="40"/>
        <v>2</v>
      </c>
      <c r="F157" s="146">
        <f t="shared" si="40"/>
        <v>2</v>
      </c>
      <c r="G157" s="146">
        <f t="shared" si="40"/>
        <v>2</v>
      </c>
      <c r="H157" s="146">
        <f t="shared" si="40"/>
        <v>2</v>
      </c>
      <c r="I157" s="146">
        <f t="shared" si="40"/>
        <v>2</v>
      </c>
      <c r="J157" s="146">
        <f t="shared" si="40"/>
        <v>2</v>
      </c>
      <c r="K157" s="146">
        <f t="shared" si="40"/>
        <v>2</v>
      </c>
      <c r="L157" s="146">
        <f t="shared" si="40"/>
        <v>2</v>
      </c>
      <c r="M157" s="146">
        <f t="shared" si="40"/>
        <v>2</v>
      </c>
      <c r="N157" s="146">
        <f t="shared" si="40"/>
        <v>2</v>
      </c>
      <c r="O157" s="146">
        <f>IF(OR(O147&lt;0,O148&lt;0),1,IF(OR(O147&gt;0,O148&gt;0),0,2))</f>
        <v>2</v>
      </c>
      <c r="P157" s="146">
        <f t="shared" ref="P157:W157" si="41">IF(OR(P147&lt;0,P148&lt;0),1,IF(OR(P147&gt;0,P148&gt;0),0,2))</f>
        <v>2</v>
      </c>
      <c r="Q157" s="146">
        <f t="shared" si="41"/>
        <v>2</v>
      </c>
      <c r="R157" s="146">
        <f t="shared" si="41"/>
        <v>2</v>
      </c>
      <c r="S157" s="146">
        <f t="shared" si="41"/>
        <v>2</v>
      </c>
      <c r="T157" s="146">
        <f t="shared" si="41"/>
        <v>2</v>
      </c>
      <c r="U157" s="146">
        <f t="shared" si="41"/>
        <v>2</v>
      </c>
      <c r="V157" s="146">
        <f t="shared" si="41"/>
        <v>2</v>
      </c>
      <c r="W157" s="146">
        <f t="shared" si="41"/>
        <v>2</v>
      </c>
      <c r="X157" s="94" t="str">
        <f>IF(Z157&gt;0,"入力確認",IF(AE158=Y157,"適合","不適合"))</f>
        <v>適合</v>
      </c>
      <c r="Y157" s="112">
        <f>COUNTIF($D157:$W157,0)</f>
        <v>1</v>
      </c>
      <c r="Z157" s="157">
        <f>COUNTIF($D157:$W157,1)</f>
        <v>0</v>
      </c>
      <c r="AA157" s="157">
        <f>COUNTIF($D157:$W157,2)</f>
        <v>19</v>
      </c>
      <c r="AB157" s="157"/>
      <c r="AC157" s="112"/>
      <c r="AD157" s="112"/>
      <c r="AE157" s="112"/>
      <c r="AF157" s="99">
        <v>143</v>
      </c>
    </row>
    <row r="158" spans="2:32" hidden="1" x14ac:dyDescent="0.55000000000000004">
      <c r="B158" s="96" t="s">
        <v>246</v>
      </c>
      <c r="C158" s="94"/>
      <c r="D158" s="94">
        <f t="shared" ref="D158:M158" si="42">IF(AND(D141="",D142="",D143="",D144="",D145="",D146="",D147="",D148="",D149="",D152="",D153=""),2,IF(AND(D141&lt;&gt;"",D142&lt;&gt;"",D143&lt;&gt;"",D144&lt;&gt;"",D145&lt;&gt;"",D146&lt;&gt;"",D147&lt;&gt;"",D148&lt;&gt;"",D149&lt;&gt;"",OR(D152&lt;&gt;"",D153&lt;&gt;"")),0,1))</f>
        <v>0</v>
      </c>
      <c r="E158" s="94">
        <f t="shared" si="42"/>
        <v>2</v>
      </c>
      <c r="F158" s="94">
        <f t="shared" si="42"/>
        <v>2</v>
      </c>
      <c r="G158" s="94">
        <f t="shared" si="42"/>
        <v>2</v>
      </c>
      <c r="H158" s="94">
        <f t="shared" si="42"/>
        <v>2</v>
      </c>
      <c r="I158" s="94">
        <f t="shared" si="42"/>
        <v>2</v>
      </c>
      <c r="J158" s="94">
        <f t="shared" si="42"/>
        <v>2</v>
      </c>
      <c r="K158" s="94">
        <f t="shared" si="42"/>
        <v>2</v>
      </c>
      <c r="L158" s="94">
        <f t="shared" si="42"/>
        <v>2</v>
      </c>
      <c r="M158" s="94">
        <f t="shared" si="42"/>
        <v>2</v>
      </c>
      <c r="N158" s="94">
        <f t="shared" ref="N158:W158" si="43">IF(AND(N141="",N142="",N143="",N144="",N145="",N146="",N147="",N148="",N149="",N152="",N153=""),2,IF(AND(N141&lt;&gt;"",N142&lt;&gt;"",N143&lt;&gt;"",N144&lt;&gt;"",N145&lt;&gt;"",N146&lt;&gt;"",N147&lt;&gt;"",N148&lt;&gt;"",N149&lt;&gt;"",OR(N152&lt;&gt;"",N153&lt;&gt;"")),0,1))</f>
        <v>2</v>
      </c>
      <c r="O158" s="94">
        <f>IF(AND(O141="",O142="",O143="",O144="",O145="",O146="",O147="",O148="",O149="",O152="",O153=""),2,IF(AND(O141&lt;&gt;"",O142&lt;&gt;"",O143&lt;&gt;"",O144&lt;&gt;"",O145&lt;&gt;"",O146&lt;&gt;"",O147&lt;&gt;"",O148&lt;&gt;"",O149&lt;&gt;"",OR(O152&lt;&gt;"",O153&lt;&gt;"")),0,1))</f>
        <v>2</v>
      </c>
      <c r="P158" s="94">
        <f t="shared" si="43"/>
        <v>2</v>
      </c>
      <c r="Q158" s="94">
        <f t="shared" si="43"/>
        <v>2</v>
      </c>
      <c r="R158" s="94">
        <f t="shared" si="43"/>
        <v>2</v>
      </c>
      <c r="S158" s="94">
        <f t="shared" si="43"/>
        <v>2</v>
      </c>
      <c r="T158" s="94">
        <f t="shared" si="43"/>
        <v>2</v>
      </c>
      <c r="U158" s="94">
        <f t="shared" si="43"/>
        <v>2</v>
      </c>
      <c r="V158" s="94">
        <f t="shared" si="43"/>
        <v>2</v>
      </c>
      <c r="W158" s="94">
        <f t="shared" si="43"/>
        <v>2</v>
      </c>
      <c r="X158" s="94" t="str">
        <f>IF(Z158&gt;0,"入力確認",IF(AE158=Y158,"適合","不適合"))</f>
        <v>適合</v>
      </c>
      <c r="Y158" s="112">
        <f>COUNTIF($D158:$W158,0)</f>
        <v>1</v>
      </c>
      <c r="Z158" s="157">
        <f>COUNTIF($D158:$W158,1)</f>
        <v>0</v>
      </c>
      <c r="AA158" s="157">
        <f>COUNTIF($D158:$W158,2)</f>
        <v>19</v>
      </c>
      <c r="AB158" s="157"/>
      <c r="AC158" s="112"/>
      <c r="AD158" s="112"/>
      <c r="AE158" s="144">
        <f>20-COUNTIF($D$141:$W$141,"")</f>
        <v>1</v>
      </c>
      <c r="AF158" s="99">
        <v>144</v>
      </c>
    </row>
    <row r="160" spans="2:32" ht="33" customHeight="1" x14ac:dyDescent="0.55000000000000004">
      <c r="B160" s="23" t="s">
        <v>266</v>
      </c>
      <c r="C160" s="32"/>
    </row>
    <row r="161" spans="2:25" ht="9" customHeight="1" x14ac:dyDescent="0.55000000000000004">
      <c r="B161" s="18"/>
      <c r="C161" s="32"/>
    </row>
    <row r="162" spans="2:25" ht="27" customHeight="1" x14ac:dyDescent="0.55000000000000004">
      <c r="B162" s="200" t="s">
        <v>191</v>
      </c>
      <c r="C162" s="225" t="s">
        <v>131</v>
      </c>
      <c r="D162" s="225"/>
      <c r="E162" s="225"/>
      <c r="F162" s="225"/>
      <c r="G162" s="225"/>
      <c r="H162" s="226" t="s">
        <v>132</v>
      </c>
      <c r="I162" s="226"/>
      <c r="J162" s="226"/>
      <c r="K162" s="226"/>
      <c r="L162" s="226"/>
      <c r="M162" s="226"/>
      <c r="N162" s="226"/>
      <c r="O162" s="227" t="s">
        <v>275</v>
      </c>
      <c r="P162" s="227"/>
      <c r="Q162" s="227"/>
      <c r="R162" s="227"/>
      <c r="S162" s="227"/>
      <c r="T162" s="227"/>
      <c r="U162" s="223" t="s">
        <v>190</v>
      </c>
      <c r="V162" s="224"/>
      <c r="W162" s="130"/>
      <c r="X162" s="131"/>
      <c r="Y162" s="120"/>
    </row>
    <row r="163" spans="2:25" ht="27" customHeight="1" x14ac:dyDescent="0.55000000000000004">
      <c r="B163" s="81" t="s">
        <v>286</v>
      </c>
      <c r="C163" s="301" t="s">
        <v>536</v>
      </c>
      <c r="D163" s="301"/>
      <c r="E163" s="301"/>
      <c r="F163" s="301"/>
      <c r="G163" s="301"/>
      <c r="H163" s="301" t="s">
        <v>537</v>
      </c>
      <c r="I163" s="301"/>
      <c r="J163" s="301"/>
      <c r="K163" s="301"/>
      <c r="L163" s="301"/>
      <c r="M163" s="301"/>
      <c r="N163" s="301"/>
      <c r="O163" s="301" t="s">
        <v>538</v>
      </c>
      <c r="P163" s="301"/>
      <c r="Q163" s="301"/>
      <c r="R163" s="301"/>
      <c r="S163" s="301"/>
      <c r="T163" s="301"/>
      <c r="U163" s="301" t="s">
        <v>539</v>
      </c>
      <c r="V163" s="301"/>
      <c r="W163" s="328"/>
      <c r="X163" s="131"/>
      <c r="Y163" s="329"/>
    </row>
    <row r="164" spans="2:25" ht="27" customHeight="1" x14ac:dyDescent="0.55000000000000004">
      <c r="B164" s="75" t="s">
        <v>306</v>
      </c>
      <c r="C164" s="302"/>
      <c r="D164" s="302"/>
      <c r="E164" s="302"/>
      <c r="F164" s="302"/>
      <c r="G164" s="302"/>
      <c r="H164" s="302"/>
      <c r="I164" s="302"/>
      <c r="J164" s="302"/>
      <c r="K164" s="302"/>
      <c r="L164" s="302"/>
      <c r="M164" s="302"/>
      <c r="N164" s="302"/>
      <c r="O164" s="302"/>
      <c r="P164" s="302"/>
      <c r="Q164" s="302"/>
      <c r="R164" s="302"/>
      <c r="S164" s="302"/>
      <c r="T164" s="302"/>
      <c r="U164" s="302"/>
      <c r="V164" s="302"/>
      <c r="W164" s="328"/>
      <c r="X164" s="131"/>
      <c r="Y164" s="329"/>
    </row>
    <row r="165" spans="2:25" ht="27" customHeight="1" x14ac:dyDescent="0.55000000000000004">
      <c r="B165" s="75" t="s">
        <v>288</v>
      </c>
      <c r="C165" s="302"/>
      <c r="D165" s="302"/>
      <c r="E165" s="302"/>
      <c r="F165" s="302"/>
      <c r="G165" s="302"/>
      <c r="H165" s="302"/>
      <c r="I165" s="302"/>
      <c r="J165" s="302"/>
      <c r="K165" s="302"/>
      <c r="L165" s="302"/>
      <c r="M165" s="302"/>
      <c r="N165" s="302"/>
      <c r="O165" s="302"/>
      <c r="P165" s="302"/>
      <c r="Q165" s="302"/>
      <c r="R165" s="302"/>
      <c r="S165" s="302"/>
      <c r="T165" s="302"/>
      <c r="U165" s="302"/>
      <c r="V165" s="302"/>
      <c r="W165" s="328"/>
      <c r="X165" s="131"/>
      <c r="Y165" s="329"/>
    </row>
    <row r="166" spans="2:25" ht="27" customHeight="1" x14ac:dyDescent="0.55000000000000004">
      <c r="B166" s="75" t="s">
        <v>289</v>
      </c>
      <c r="C166" s="302"/>
      <c r="D166" s="302"/>
      <c r="E166" s="302"/>
      <c r="F166" s="302"/>
      <c r="G166" s="302"/>
      <c r="H166" s="302"/>
      <c r="I166" s="302"/>
      <c r="J166" s="302"/>
      <c r="K166" s="302"/>
      <c r="L166" s="302"/>
      <c r="M166" s="302"/>
      <c r="N166" s="302"/>
      <c r="O166" s="302"/>
      <c r="P166" s="302"/>
      <c r="Q166" s="302"/>
      <c r="R166" s="302"/>
      <c r="S166" s="302"/>
      <c r="T166" s="302"/>
      <c r="U166" s="302"/>
      <c r="V166" s="302"/>
      <c r="W166" s="328"/>
      <c r="X166" s="131"/>
      <c r="Y166" s="329"/>
    </row>
    <row r="167" spans="2:25" ht="27" customHeight="1" x14ac:dyDescent="0.55000000000000004">
      <c r="B167" s="75" t="s">
        <v>290</v>
      </c>
      <c r="C167" s="302"/>
      <c r="D167" s="302"/>
      <c r="E167" s="302"/>
      <c r="F167" s="302"/>
      <c r="G167" s="302"/>
      <c r="H167" s="302"/>
      <c r="I167" s="302"/>
      <c r="J167" s="302"/>
      <c r="K167" s="302"/>
      <c r="L167" s="302"/>
      <c r="M167" s="302"/>
      <c r="N167" s="302"/>
      <c r="O167" s="302"/>
      <c r="P167" s="302"/>
      <c r="Q167" s="302"/>
      <c r="R167" s="302"/>
      <c r="S167" s="302"/>
      <c r="T167" s="302"/>
      <c r="U167" s="302"/>
      <c r="V167" s="302"/>
      <c r="W167" s="328"/>
      <c r="X167" s="131"/>
      <c r="Y167" s="329"/>
    </row>
    <row r="168" spans="2:25" ht="27" customHeight="1" x14ac:dyDescent="0.55000000000000004">
      <c r="B168" s="75" t="s">
        <v>291</v>
      </c>
      <c r="C168" s="302"/>
      <c r="D168" s="302"/>
      <c r="E168" s="302"/>
      <c r="F168" s="302"/>
      <c r="G168" s="302"/>
      <c r="H168" s="302"/>
      <c r="I168" s="302"/>
      <c r="J168" s="302"/>
      <c r="K168" s="302"/>
      <c r="L168" s="302"/>
      <c r="M168" s="302"/>
      <c r="N168" s="302"/>
      <c r="O168" s="302"/>
      <c r="P168" s="302"/>
      <c r="Q168" s="302"/>
      <c r="R168" s="302"/>
      <c r="S168" s="302"/>
      <c r="T168" s="302"/>
      <c r="U168" s="302"/>
      <c r="V168" s="302"/>
      <c r="W168" s="328"/>
      <c r="X168" s="131"/>
      <c r="Y168" s="329"/>
    </row>
    <row r="169" spans="2:25" ht="27" customHeight="1" x14ac:dyDescent="0.55000000000000004">
      <c r="B169" s="75" t="s">
        <v>292</v>
      </c>
      <c r="C169" s="302"/>
      <c r="D169" s="302"/>
      <c r="E169" s="302"/>
      <c r="F169" s="302"/>
      <c r="G169" s="302"/>
      <c r="H169" s="302"/>
      <c r="I169" s="302"/>
      <c r="J169" s="302"/>
      <c r="K169" s="302"/>
      <c r="L169" s="302"/>
      <c r="M169" s="302"/>
      <c r="N169" s="302"/>
      <c r="O169" s="302"/>
      <c r="P169" s="302"/>
      <c r="Q169" s="302"/>
      <c r="R169" s="302"/>
      <c r="S169" s="302"/>
      <c r="T169" s="302"/>
      <c r="U169" s="302"/>
      <c r="V169" s="302"/>
      <c r="W169" s="328"/>
      <c r="X169" s="131"/>
      <c r="Y169" s="329"/>
    </row>
    <row r="170" spans="2:25" ht="27" customHeight="1" x14ac:dyDescent="0.55000000000000004">
      <c r="B170" s="75" t="s">
        <v>293</v>
      </c>
      <c r="C170" s="302"/>
      <c r="D170" s="302"/>
      <c r="E170" s="302"/>
      <c r="F170" s="302"/>
      <c r="G170" s="302"/>
      <c r="H170" s="302"/>
      <c r="I170" s="302"/>
      <c r="J170" s="302"/>
      <c r="K170" s="302"/>
      <c r="L170" s="302"/>
      <c r="M170" s="302"/>
      <c r="N170" s="302"/>
      <c r="O170" s="302"/>
      <c r="P170" s="302"/>
      <c r="Q170" s="302"/>
      <c r="R170" s="302"/>
      <c r="S170" s="302"/>
      <c r="T170" s="302"/>
      <c r="U170" s="302"/>
      <c r="V170" s="302"/>
      <c r="W170" s="328"/>
      <c r="X170" s="131"/>
      <c r="Y170" s="329"/>
    </row>
    <row r="171" spans="2:25" ht="27" customHeight="1" x14ac:dyDescent="0.55000000000000004">
      <c r="B171" s="75" t="s">
        <v>294</v>
      </c>
      <c r="C171" s="302"/>
      <c r="D171" s="302"/>
      <c r="E171" s="302"/>
      <c r="F171" s="302"/>
      <c r="G171" s="302"/>
      <c r="H171" s="302"/>
      <c r="I171" s="302"/>
      <c r="J171" s="302"/>
      <c r="K171" s="302"/>
      <c r="L171" s="302"/>
      <c r="M171" s="302"/>
      <c r="N171" s="302"/>
      <c r="O171" s="302"/>
      <c r="P171" s="302"/>
      <c r="Q171" s="302"/>
      <c r="R171" s="302"/>
      <c r="S171" s="302"/>
      <c r="T171" s="302"/>
      <c r="U171" s="302"/>
      <c r="V171" s="302"/>
      <c r="W171" s="328"/>
      <c r="X171" s="131"/>
      <c r="Y171" s="329"/>
    </row>
    <row r="172" spans="2:25" ht="27" customHeight="1" x14ac:dyDescent="0.55000000000000004">
      <c r="B172" s="75" t="s">
        <v>295</v>
      </c>
      <c r="C172" s="302"/>
      <c r="D172" s="302"/>
      <c r="E172" s="302"/>
      <c r="F172" s="302"/>
      <c r="G172" s="302"/>
      <c r="H172" s="302"/>
      <c r="I172" s="302"/>
      <c r="J172" s="302"/>
      <c r="K172" s="302"/>
      <c r="L172" s="302"/>
      <c r="M172" s="302"/>
      <c r="N172" s="302"/>
      <c r="O172" s="302"/>
      <c r="P172" s="302"/>
      <c r="Q172" s="302"/>
      <c r="R172" s="302"/>
      <c r="S172" s="302"/>
      <c r="T172" s="302"/>
      <c r="U172" s="302"/>
      <c r="V172" s="302"/>
      <c r="W172" s="328"/>
      <c r="X172" s="131"/>
      <c r="Y172" s="329"/>
    </row>
    <row r="173" spans="2:25" ht="27" customHeight="1" x14ac:dyDescent="0.55000000000000004">
      <c r="B173" s="75" t="s">
        <v>351</v>
      </c>
      <c r="C173" s="302"/>
      <c r="D173" s="302"/>
      <c r="E173" s="302"/>
      <c r="F173" s="302"/>
      <c r="G173" s="302"/>
      <c r="H173" s="302"/>
      <c r="I173" s="302"/>
      <c r="J173" s="302"/>
      <c r="K173" s="302"/>
      <c r="L173" s="302"/>
      <c r="M173" s="302"/>
      <c r="N173" s="302"/>
      <c r="O173" s="302"/>
      <c r="P173" s="302"/>
      <c r="Q173" s="302"/>
      <c r="R173" s="302"/>
      <c r="S173" s="302"/>
      <c r="T173" s="302"/>
      <c r="U173" s="302"/>
      <c r="V173" s="302"/>
      <c r="W173" s="328"/>
      <c r="X173" s="131"/>
      <c r="Y173" s="329"/>
    </row>
    <row r="174" spans="2:25" ht="27" customHeight="1" x14ac:dyDescent="0.55000000000000004">
      <c r="B174" s="75" t="s">
        <v>352</v>
      </c>
      <c r="C174" s="302"/>
      <c r="D174" s="302"/>
      <c r="E174" s="302"/>
      <c r="F174" s="302"/>
      <c r="G174" s="302"/>
      <c r="H174" s="302"/>
      <c r="I174" s="302"/>
      <c r="J174" s="302"/>
      <c r="K174" s="302"/>
      <c r="L174" s="302"/>
      <c r="M174" s="302"/>
      <c r="N174" s="302"/>
      <c r="O174" s="302"/>
      <c r="P174" s="302"/>
      <c r="Q174" s="302"/>
      <c r="R174" s="302"/>
      <c r="S174" s="302"/>
      <c r="T174" s="302"/>
      <c r="U174" s="302"/>
      <c r="V174" s="302"/>
      <c r="W174" s="328"/>
      <c r="X174" s="131"/>
      <c r="Y174" s="329"/>
    </row>
    <row r="175" spans="2:25" ht="27" customHeight="1" x14ac:dyDescent="0.55000000000000004">
      <c r="B175" s="75" t="s">
        <v>353</v>
      </c>
      <c r="C175" s="302"/>
      <c r="D175" s="302"/>
      <c r="E175" s="302"/>
      <c r="F175" s="302"/>
      <c r="G175" s="302"/>
      <c r="H175" s="302"/>
      <c r="I175" s="302"/>
      <c r="J175" s="302"/>
      <c r="K175" s="302"/>
      <c r="L175" s="302"/>
      <c r="M175" s="302"/>
      <c r="N175" s="302"/>
      <c r="O175" s="302"/>
      <c r="P175" s="302"/>
      <c r="Q175" s="302"/>
      <c r="R175" s="302"/>
      <c r="S175" s="302"/>
      <c r="T175" s="302"/>
      <c r="U175" s="302"/>
      <c r="V175" s="302"/>
      <c r="W175" s="328"/>
      <c r="X175" s="131"/>
      <c r="Y175" s="329"/>
    </row>
    <row r="176" spans="2:25" ht="27" customHeight="1" x14ac:dyDescent="0.55000000000000004">
      <c r="B176" s="75" t="s">
        <v>354</v>
      </c>
      <c r="C176" s="302"/>
      <c r="D176" s="302"/>
      <c r="E176" s="302"/>
      <c r="F176" s="302"/>
      <c r="G176" s="302"/>
      <c r="H176" s="302"/>
      <c r="I176" s="302"/>
      <c r="J176" s="302"/>
      <c r="K176" s="302"/>
      <c r="L176" s="302"/>
      <c r="M176" s="302"/>
      <c r="N176" s="302"/>
      <c r="O176" s="302"/>
      <c r="P176" s="302"/>
      <c r="Q176" s="302"/>
      <c r="R176" s="302"/>
      <c r="S176" s="302"/>
      <c r="T176" s="302"/>
      <c r="U176" s="302"/>
      <c r="V176" s="302"/>
      <c r="W176" s="328"/>
      <c r="X176" s="131"/>
      <c r="Y176" s="329"/>
    </row>
    <row r="177" spans="2:25" ht="27" customHeight="1" x14ac:dyDescent="0.55000000000000004">
      <c r="B177" s="75" t="s">
        <v>355</v>
      </c>
      <c r="C177" s="302"/>
      <c r="D177" s="302"/>
      <c r="E177" s="302"/>
      <c r="F177" s="302"/>
      <c r="G177" s="302"/>
      <c r="H177" s="302"/>
      <c r="I177" s="302"/>
      <c r="J177" s="302"/>
      <c r="K177" s="302"/>
      <c r="L177" s="302"/>
      <c r="M177" s="302"/>
      <c r="N177" s="302"/>
      <c r="O177" s="302"/>
      <c r="P177" s="302"/>
      <c r="Q177" s="302"/>
      <c r="R177" s="302"/>
      <c r="S177" s="302"/>
      <c r="T177" s="302"/>
      <c r="U177" s="302"/>
      <c r="V177" s="302"/>
      <c r="W177" s="328"/>
      <c r="X177" s="131"/>
      <c r="Y177" s="329"/>
    </row>
    <row r="178" spans="2:25" ht="27" customHeight="1" x14ac:dyDescent="0.55000000000000004">
      <c r="B178" s="75" t="s">
        <v>356</v>
      </c>
      <c r="C178" s="302"/>
      <c r="D178" s="302"/>
      <c r="E178" s="302"/>
      <c r="F178" s="302"/>
      <c r="G178" s="302"/>
      <c r="H178" s="302"/>
      <c r="I178" s="302"/>
      <c r="J178" s="302"/>
      <c r="K178" s="302"/>
      <c r="L178" s="302"/>
      <c r="M178" s="302"/>
      <c r="N178" s="302"/>
      <c r="O178" s="302"/>
      <c r="P178" s="302"/>
      <c r="Q178" s="302"/>
      <c r="R178" s="302"/>
      <c r="S178" s="302"/>
      <c r="T178" s="302"/>
      <c r="U178" s="302"/>
      <c r="V178" s="302"/>
      <c r="W178" s="328"/>
      <c r="X178" s="131"/>
      <c r="Y178" s="329"/>
    </row>
    <row r="179" spans="2:25" ht="27" customHeight="1" x14ac:dyDescent="0.55000000000000004">
      <c r="B179" s="75" t="s">
        <v>357</v>
      </c>
      <c r="C179" s="302"/>
      <c r="D179" s="302"/>
      <c r="E179" s="302"/>
      <c r="F179" s="302"/>
      <c r="G179" s="302"/>
      <c r="H179" s="302"/>
      <c r="I179" s="302"/>
      <c r="J179" s="302"/>
      <c r="K179" s="302"/>
      <c r="L179" s="302"/>
      <c r="M179" s="302"/>
      <c r="N179" s="302"/>
      <c r="O179" s="302"/>
      <c r="P179" s="302"/>
      <c r="Q179" s="302"/>
      <c r="R179" s="302"/>
      <c r="S179" s="302"/>
      <c r="T179" s="302"/>
      <c r="U179" s="302"/>
      <c r="V179" s="302"/>
      <c r="W179" s="328"/>
      <c r="X179" s="131"/>
      <c r="Y179" s="329"/>
    </row>
    <row r="180" spans="2:25" ht="27" customHeight="1" x14ac:dyDescent="0.55000000000000004">
      <c r="B180" s="75" t="s">
        <v>358</v>
      </c>
      <c r="C180" s="302"/>
      <c r="D180" s="302"/>
      <c r="E180" s="302"/>
      <c r="F180" s="302"/>
      <c r="G180" s="302"/>
      <c r="H180" s="302"/>
      <c r="I180" s="302"/>
      <c r="J180" s="302"/>
      <c r="K180" s="302"/>
      <c r="L180" s="302"/>
      <c r="M180" s="302"/>
      <c r="N180" s="302"/>
      <c r="O180" s="302"/>
      <c r="P180" s="302"/>
      <c r="Q180" s="302"/>
      <c r="R180" s="302"/>
      <c r="S180" s="302"/>
      <c r="T180" s="302"/>
      <c r="U180" s="302"/>
      <c r="V180" s="302"/>
      <c r="W180" s="328"/>
      <c r="X180" s="131"/>
      <c r="Y180" s="329"/>
    </row>
    <row r="181" spans="2:25" ht="27" customHeight="1" x14ac:dyDescent="0.55000000000000004">
      <c r="B181" s="75" t="s">
        <v>359</v>
      </c>
      <c r="C181" s="302"/>
      <c r="D181" s="302"/>
      <c r="E181" s="302"/>
      <c r="F181" s="302"/>
      <c r="G181" s="302"/>
      <c r="H181" s="302"/>
      <c r="I181" s="302"/>
      <c r="J181" s="302"/>
      <c r="K181" s="302"/>
      <c r="L181" s="302"/>
      <c r="M181" s="302"/>
      <c r="N181" s="302"/>
      <c r="O181" s="302"/>
      <c r="P181" s="302"/>
      <c r="Q181" s="302"/>
      <c r="R181" s="302"/>
      <c r="S181" s="302"/>
      <c r="T181" s="302"/>
      <c r="U181" s="302"/>
      <c r="V181" s="302"/>
      <c r="W181" s="328"/>
      <c r="X181" s="131"/>
      <c r="Y181" s="329"/>
    </row>
    <row r="182" spans="2:25" ht="27" customHeight="1" x14ac:dyDescent="0.55000000000000004">
      <c r="B182" s="75" t="s">
        <v>360</v>
      </c>
      <c r="C182" s="305"/>
      <c r="D182" s="305"/>
      <c r="E182" s="305"/>
      <c r="F182" s="305"/>
      <c r="G182" s="305"/>
      <c r="H182" s="305"/>
      <c r="I182" s="305"/>
      <c r="J182" s="305"/>
      <c r="K182" s="305"/>
      <c r="L182" s="305"/>
      <c r="M182" s="305"/>
      <c r="N182" s="305"/>
      <c r="O182" s="305"/>
      <c r="P182" s="305"/>
      <c r="Q182" s="305"/>
      <c r="R182" s="305"/>
      <c r="S182" s="305"/>
      <c r="T182" s="305"/>
      <c r="U182" s="305"/>
      <c r="V182" s="305"/>
      <c r="W182" s="328"/>
      <c r="X182" s="131"/>
      <c r="Y182" s="329"/>
    </row>
    <row r="183" spans="2:25" x14ac:dyDescent="0.55000000000000004">
      <c r="B183" s="76"/>
      <c r="C183" s="77"/>
      <c r="D183" s="77"/>
      <c r="E183" s="77"/>
      <c r="F183" s="77"/>
      <c r="G183" s="77"/>
      <c r="H183" s="77"/>
      <c r="I183" s="78"/>
      <c r="J183" s="78"/>
      <c r="K183" s="78"/>
      <c r="L183" s="78"/>
      <c r="M183" s="76"/>
      <c r="N183" s="119"/>
      <c r="O183" s="119"/>
      <c r="P183" s="119"/>
      <c r="Q183" s="119"/>
      <c r="R183" s="119"/>
      <c r="S183" s="119"/>
      <c r="T183" s="119"/>
      <c r="U183" s="119"/>
      <c r="V183" s="119"/>
      <c r="W183" s="119"/>
      <c r="X183" s="119"/>
    </row>
    <row r="184" spans="2:25" ht="27" customHeight="1" x14ac:dyDescent="0.55000000000000004">
      <c r="B184" s="200" t="s">
        <v>192</v>
      </c>
      <c r="C184" s="225" t="s">
        <v>131</v>
      </c>
      <c r="D184" s="225"/>
      <c r="E184" s="225"/>
      <c r="F184" s="225"/>
      <c r="G184" s="225"/>
      <c r="H184" s="226" t="s">
        <v>132</v>
      </c>
      <c r="I184" s="226"/>
      <c r="J184" s="226"/>
      <c r="K184" s="226"/>
      <c r="L184" s="226"/>
      <c r="M184" s="226"/>
      <c r="N184" s="226"/>
      <c r="O184" s="227" t="s">
        <v>275</v>
      </c>
      <c r="P184" s="227"/>
      <c r="Q184" s="227"/>
      <c r="R184" s="227"/>
      <c r="S184" s="227"/>
      <c r="T184" s="227"/>
      <c r="U184" s="223" t="s">
        <v>190</v>
      </c>
      <c r="V184" s="224"/>
      <c r="W184" s="223" t="s">
        <v>212</v>
      </c>
      <c r="X184" s="224"/>
    </row>
    <row r="185" spans="2:25" ht="27" customHeight="1" x14ac:dyDescent="0.55000000000000004">
      <c r="B185" s="121" t="s">
        <v>296</v>
      </c>
      <c r="C185" s="301" t="s">
        <v>536</v>
      </c>
      <c r="D185" s="301"/>
      <c r="E185" s="301"/>
      <c r="F185" s="301"/>
      <c r="G185" s="301"/>
      <c r="H185" s="301" t="s">
        <v>540</v>
      </c>
      <c r="I185" s="301"/>
      <c r="J185" s="301"/>
      <c r="K185" s="301"/>
      <c r="L185" s="301"/>
      <c r="M185" s="301"/>
      <c r="N185" s="301"/>
      <c r="O185" s="301" t="s">
        <v>541</v>
      </c>
      <c r="P185" s="301"/>
      <c r="Q185" s="301"/>
      <c r="R185" s="301"/>
      <c r="S185" s="301"/>
      <c r="T185" s="301"/>
      <c r="U185" s="301" t="s">
        <v>539</v>
      </c>
      <c r="V185" s="301"/>
      <c r="W185" s="307" t="s">
        <v>238</v>
      </c>
      <c r="X185" s="308"/>
    </row>
    <row r="186" spans="2:25" ht="27" customHeight="1" x14ac:dyDescent="0.55000000000000004">
      <c r="B186" s="122" t="s">
        <v>307</v>
      </c>
      <c r="C186" s="302"/>
      <c r="D186" s="302"/>
      <c r="E186" s="302"/>
      <c r="F186" s="302"/>
      <c r="G186" s="302"/>
      <c r="H186" s="302"/>
      <c r="I186" s="302"/>
      <c r="J186" s="302"/>
      <c r="K186" s="302"/>
      <c r="L186" s="302"/>
      <c r="M186" s="302"/>
      <c r="N186" s="302"/>
      <c r="O186" s="302"/>
      <c r="P186" s="302"/>
      <c r="Q186" s="302"/>
      <c r="R186" s="302"/>
      <c r="S186" s="302"/>
      <c r="T186" s="302"/>
      <c r="U186" s="302"/>
      <c r="V186" s="302"/>
      <c r="W186" s="309"/>
      <c r="X186" s="310"/>
    </row>
    <row r="187" spans="2:25" ht="27" customHeight="1" x14ac:dyDescent="0.55000000000000004">
      <c r="B187" s="122" t="s">
        <v>298</v>
      </c>
      <c r="C187" s="302"/>
      <c r="D187" s="302"/>
      <c r="E187" s="302"/>
      <c r="F187" s="302"/>
      <c r="G187" s="302"/>
      <c r="H187" s="302"/>
      <c r="I187" s="302"/>
      <c r="J187" s="302"/>
      <c r="K187" s="302"/>
      <c r="L187" s="302"/>
      <c r="M187" s="302"/>
      <c r="N187" s="302"/>
      <c r="O187" s="302"/>
      <c r="P187" s="302"/>
      <c r="Q187" s="302"/>
      <c r="R187" s="302"/>
      <c r="S187" s="302"/>
      <c r="T187" s="302"/>
      <c r="U187" s="302"/>
      <c r="V187" s="302"/>
      <c r="W187" s="309"/>
      <c r="X187" s="310"/>
    </row>
    <row r="188" spans="2:25" ht="27" customHeight="1" x14ac:dyDescent="0.55000000000000004">
      <c r="B188" s="122" t="s">
        <v>299</v>
      </c>
      <c r="C188" s="302"/>
      <c r="D188" s="302"/>
      <c r="E188" s="302"/>
      <c r="F188" s="302"/>
      <c r="G188" s="302"/>
      <c r="H188" s="302"/>
      <c r="I188" s="302"/>
      <c r="J188" s="302"/>
      <c r="K188" s="302"/>
      <c r="L188" s="302"/>
      <c r="M188" s="302"/>
      <c r="N188" s="302"/>
      <c r="O188" s="302"/>
      <c r="P188" s="302"/>
      <c r="Q188" s="302"/>
      <c r="R188" s="302"/>
      <c r="S188" s="302"/>
      <c r="T188" s="302"/>
      <c r="U188" s="302"/>
      <c r="V188" s="302"/>
      <c r="W188" s="309"/>
      <c r="X188" s="310"/>
    </row>
    <row r="189" spans="2:25" ht="27" customHeight="1" x14ac:dyDescent="0.55000000000000004">
      <c r="B189" s="122" t="s">
        <v>300</v>
      </c>
      <c r="C189" s="302"/>
      <c r="D189" s="302"/>
      <c r="E189" s="302"/>
      <c r="F189" s="302"/>
      <c r="G189" s="302"/>
      <c r="H189" s="302"/>
      <c r="I189" s="302"/>
      <c r="J189" s="302"/>
      <c r="K189" s="302"/>
      <c r="L189" s="302"/>
      <c r="M189" s="302"/>
      <c r="N189" s="302"/>
      <c r="O189" s="302"/>
      <c r="P189" s="302"/>
      <c r="Q189" s="302"/>
      <c r="R189" s="302"/>
      <c r="S189" s="302"/>
      <c r="T189" s="302"/>
      <c r="U189" s="302"/>
      <c r="V189" s="302"/>
      <c r="W189" s="309"/>
      <c r="X189" s="310"/>
    </row>
    <row r="190" spans="2:25" ht="27" customHeight="1" x14ac:dyDescent="0.55000000000000004">
      <c r="B190" s="122" t="s">
        <v>301</v>
      </c>
      <c r="C190" s="302"/>
      <c r="D190" s="302"/>
      <c r="E190" s="302"/>
      <c r="F190" s="302"/>
      <c r="G190" s="302"/>
      <c r="H190" s="302"/>
      <c r="I190" s="302"/>
      <c r="J190" s="302"/>
      <c r="K190" s="302"/>
      <c r="L190" s="302"/>
      <c r="M190" s="302"/>
      <c r="N190" s="302"/>
      <c r="O190" s="302"/>
      <c r="P190" s="302"/>
      <c r="Q190" s="302"/>
      <c r="R190" s="302"/>
      <c r="S190" s="302"/>
      <c r="T190" s="302"/>
      <c r="U190" s="302"/>
      <c r="V190" s="302"/>
      <c r="W190" s="309"/>
      <c r="X190" s="310"/>
    </row>
    <row r="191" spans="2:25" ht="27" customHeight="1" x14ac:dyDescent="0.55000000000000004">
      <c r="B191" s="122" t="s">
        <v>302</v>
      </c>
      <c r="C191" s="302"/>
      <c r="D191" s="302"/>
      <c r="E191" s="302"/>
      <c r="F191" s="302"/>
      <c r="G191" s="302"/>
      <c r="H191" s="302"/>
      <c r="I191" s="302"/>
      <c r="J191" s="302"/>
      <c r="K191" s="302"/>
      <c r="L191" s="302"/>
      <c r="M191" s="302"/>
      <c r="N191" s="302"/>
      <c r="O191" s="302"/>
      <c r="P191" s="302"/>
      <c r="Q191" s="302"/>
      <c r="R191" s="302"/>
      <c r="S191" s="302"/>
      <c r="T191" s="302"/>
      <c r="U191" s="302"/>
      <c r="V191" s="302"/>
      <c r="W191" s="309"/>
      <c r="X191" s="310"/>
    </row>
    <row r="192" spans="2:25" ht="27" customHeight="1" x14ac:dyDescent="0.55000000000000004">
      <c r="B192" s="122" t="s">
        <v>303</v>
      </c>
      <c r="C192" s="302"/>
      <c r="D192" s="302"/>
      <c r="E192" s="302"/>
      <c r="F192" s="302"/>
      <c r="G192" s="302"/>
      <c r="H192" s="302"/>
      <c r="I192" s="302"/>
      <c r="J192" s="302"/>
      <c r="K192" s="302"/>
      <c r="L192" s="302"/>
      <c r="M192" s="302"/>
      <c r="N192" s="302"/>
      <c r="O192" s="302"/>
      <c r="P192" s="302"/>
      <c r="Q192" s="302"/>
      <c r="R192" s="302"/>
      <c r="S192" s="302"/>
      <c r="T192" s="302"/>
      <c r="U192" s="302"/>
      <c r="V192" s="302"/>
      <c r="W192" s="309"/>
      <c r="X192" s="310"/>
    </row>
    <row r="193" spans="2:24" ht="27" customHeight="1" x14ac:dyDescent="0.55000000000000004">
      <c r="B193" s="122" t="s">
        <v>304</v>
      </c>
      <c r="C193" s="302"/>
      <c r="D193" s="302"/>
      <c r="E193" s="302"/>
      <c r="F193" s="302"/>
      <c r="G193" s="302"/>
      <c r="H193" s="302"/>
      <c r="I193" s="302"/>
      <c r="J193" s="302"/>
      <c r="K193" s="302"/>
      <c r="L193" s="302"/>
      <c r="M193" s="302"/>
      <c r="N193" s="302"/>
      <c r="O193" s="302"/>
      <c r="P193" s="302"/>
      <c r="Q193" s="302"/>
      <c r="R193" s="302"/>
      <c r="S193" s="302"/>
      <c r="T193" s="302"/>
      <c r="U193" s="302"/>
      <c r="V193" s="302"/>
      <c r="W193" s="309"/>
      <c r="X193" s="310"/>
    </row>
    <row r="194" spans="2:24" ht="27" customHeight="1" x14ac:dyDescent="0.55000000000000004">
      <c r="B194" s="122" t="s">
        <v>305</v>
      </c>
      <c r="C194" s="302"/>
      <c r="D194" s="302"/>
      <c r="E194" s="302"/>
      <c r="F194" s="302"/>
      <c r="G194" s="302"/>
      <c r="H194" s="302"/>
      <c r="I194" s="302"/>
      <c r="J194" s="302"/>
      <c r="K194" s="302"/>
      <c r="L194" s="302"/>
      <c r="M194" s="302"/>
      <c r="N194" s="302"/>
      <c r="O194" s="302"/>
      <c r="P194" s="302"/>
      <c r="Q194" s="302"/>
      <c r="R194" s="302"/>
      <c r="S194" s="302"/>
      <c r="T194" s="302"/>
      <c r="U194" s="302"/>
      <c r="V194" s="302"/>
      <c r="W194" s="309"/>
      <c r="X194" s="310"/>
    </row>
    <row r="195" spans="2:24" ht="27" customHeight="1" x14ac:dyDescent="0.55000000000000004">
      <c r="B195" s="122" t="s">
        <v>361</v>
      </c>
      <c r="C195" s="302"/>
      <c r="D195" s="302"/>
      <c r="E195" s="302"/>
      <c r="F195" s="302"/>
      <c r="G195" s="302"/>
      <c r="H195" s="302"/>
      <c r="I195" s="302"/>
      <c r="J195" s="302"/>
      <c r="K195" s="302"/>
      <c r="L195" s="302"/>
      <c r="M195" s="302"/>
      <c r="N195" s="302"/>
      <c r="O195" s="302"/>
      <c r="P195" s="302"/>
      <c r="Q195" s="302"/>
      <c r="R195" s="302"/>
      <c r="S195" s="302"/>
      <c r="T195" s="302"/>
      <c r="U195" s="302"/>
      <c r="V195" s="302"/>
      <c r="W195" s="309"/>
      <c r="X195" s="310"/>
    </row>
    <row r="196" spans="2:24" ht="27" customHeight="1" x14ac:dyDescent="0.55000000000000004">
      <c r="B196" s="122" t="s">
        <v>362</v>
      </c>
      <c r="C196" s="302"/>
      <c r="D196" s="302"/>
      <c r="E196" s="302"/>
      <c r="F196" s="302"/>
      <c r="G196" s="302"/>
      <c r="H196" s="302"/>
      <c r="I196" s="302"/>
      <c r="J196" s="302"/>
      <c r="K196" s="302"/>
      <c r="L196" s="302"/>
      <c r="M196" s="302"/>
      <c r="N196" s="302"/>
      <c r="O196" s="302"/>
      <c r="P196" s="302"/>
      <c r="Q196" s="302"/>
      <c r="R196" s="302"/>
      <c r="S196" s="302"/>
      <c r="T196" s="302"/>
      <c r="U196" s="302"/>
      <c r="V196" s="302"/>
      <c r="W196" s="309"/>
      <c r="X196" s="310"/>
    </row>
    <row r="197" spans="2:24" ht="27" customHeight="1" x14ac:dyDescent="0.55000000000000004">
      <c r="B197" s="122" t="s">
        <v>363</v>
      </c>
      <c r="C197" s="302"/>
      <c r="D197" s="302"/>
      <c r="E197" s="302"/>
      <c r="F197" s="302"/>
      <c r="G197" s="302"/>
      <c r="H197" s="302"/>
      <c r="I197" s="302"/>
      <c r="J197" s="302"/>
      <c r="K197" s="302"/>
      <c r="L197" s="302"/>
      <c r="M197" s="302"/>
      <c r="N197" s="302"/>
      <c r="O197" s="302"/>
      <c r="P197" s="302"/>
      <c r="Q197" s="302"/>
      <c r="R197" s="302"/>
      <c r="S197" s="302"/>
      <c r="T197" s="302"/>
      <c r="U197" s="302"/>
      <c r="V197" s="302"/>
      <c r="W197" s="309"/>
      <c r="X197" s="310"/>
    </row>
    <row r="198" spans="2:24" ht="27" customHeight="1" x14ac:dyDescent="0.55000000000000004">
      <c r="B198" s="122" t="s">
        <v>364</v>
      </c>
      <c r="C198" s="302"/>
      <c r="D198" s="302"/>
      <c r="E198" s="302"/>
      <c r="F198" s="302"/>
      <c r="G198" s="302"/>
      <c r="H198" s="302"/>
      <c r="I198" s="302"/>
      <c r="J198" s="302"/>
      <c r="K198" s="302"/>
      <c r="L198" s="302"/>
      <c r="M198" s="302"/>
      <c r="N198" s="302"/>
      <c r="O198" s="302"/>
      <c r="P198" s="302"/>
      <c r="Q198" s="302"/>
      <c r="R198" s="302"/>
      <c r="S198" s="302"/>
      <c r="T198" s="302"/>
      <c r="U198" s="302"/>
      <c r="V198" s="302"/>
      <c r="W198" s="309"/>
      <c r="X198" s="310"/>
    </row>
    <row r="199" spans="2:24" ht="27" customHeight="1" x14ac:dyDescent="0.55000000000000004">
      <c r="B199" s="122" t="s">
        <v>365</v>
      </c>
      <c r="C199" s="302"/>
      <c r="D199" s="302"/>
      <c r="E199" s="302"/>
      <c r="F199" s="302"/>
      <c r="G199" s="302"/>
      <c r="H199" s="302"/>
      <c r="I199" s="302"/>
      <c r="J199" s="302"/>
      <c r="K199" s="302"/>
      <c r="L199" s="302"/>
      <c r="M199" s="302"/>
      <c r="N199" s="302"/>
      <c r="O199" s="302"/>
      <c r="P199" s="302"/>
      <c r="Q199" s="302"/>
      <c r="R199" s="302"/>
      <c r="S199" s="302"/>
      <c r="T199" s="302"/>
      <c r="U199" s="302"/>
      <c r="V199" s="302"/>
      <c r="W199" s="309"/>
      <c r="X199" s="310"/>
    </row>
    <row r="200" spans="2:24" ht="27" customHeight="1" x14ac:dyDescent="0.55000000000000004">
      <c r="B200" s="122" t="s">
        <v>366</v>
      </c>
      <c r="C200" s="302"/>
      <c r="D200" s="302"/>
      <c r="E200" s="302"/>
      <c r="F200" s="302"/>
      <c r="G200" s="302"/>
      <c r="H200" s="302"/>
      <c r="I200" s="302"/>
      <c r="J200" s="302"/>
      <c r="K200" s="302"/>
      <c r="L200" s="302"/>
      <c r="M200" s="302"/>
      <c r="N200" s="302"/>
      <c r="O200" s="302"/>
      <c r="P200" s="302"/>
      <c r="Q200" s="302"/>
      <c r="R200" s="302"/>
      <c r="S200" s="302"/>
      <c r="T200" s="302"/>
      <c r="U200" s="302"/>
      <c r="V200" s="302"/>
      <c r="W200" s="309"/>
      <c r="X200" s="310"/>
    </row>
    <row r="201" spans="2:24" ht="27" customHeight="1" x14ac:dyDescent="0.55000000000000004">
      <c r="B201" s="122" t="s">
        <v>367</v>
      </c>
      <c r="C201" s="302"/>
      <c r="D201" s="302"/>
      <c r="E201" s="302"/>
      <c r="F201" s="302"/>
      <c r="G201" s="302"/>
      <c r="H201" s="302"/>
      <c r="I201" s="302"/>
      <c r="J201" s="302"/>
      <c r="K201" s="302"/>
      <c r="L201" s="302"/>
      <c r="M201" s="302"/>
      <c r="N201" s="302"/>
      <c r="O201" s="302"/>
      <c r="P201" s="302"/>
      <c r="Q201" s="302"/>
      <c r="R201" s="302"/>
      <c r="S201" s="302"/>
      <c r="T201" s="302"/>
      <c r="U201" s="302"/>
      <c r="V201" s="302"/>
      <c r="W201" s="309"/>
      <c r="X201" s="310"/>
    </row>
    <row r="202" spans="2:24" ht="27" customHeight="1" x14ac:dyDescent="0.55000000000000004">
      <c r="B202" s="122" t="s">
        <v>368</v>
      </c>
      <c r="C202" s="302"/>
      <c r="D202" s="302"/>
      <c r="E202" s="302"/>
      <c r="F202" s="302"/>
      <c r="G202" s="302"/>
      <c r="H202" s="302"/>
      <c r="I202" s="302"/>
      <c r="J202" s="302"/>
      <c r="K202" s="302"/>
      <c r="L202" s="302"/>
      <c r="M202" s="302"/>
      <c r="N202" s="302"/>
      <c r="O202" s="302"/>
      <c r="P202" s="302"/>
      <c r="Q202" s="302"/>
      <c r="R202" s="302"/>
      <c r="S202" s="302"/>
      <c r="T202" s="302"/>
      <c r="U202" s="302"/>
      <c r="V202" s="302"/>
      <c r="W202" s="309"/>
      <c r="X202" s="310"/>
    </row>
    <row r="203" spans="2:24" ht="27" customHeight="1" x14ac:dyDescent="0.55000000000000004">
      <c r="B203" s="122" t="s">
        <v>369</v>
      </c>
      <c r="C203" s="302"/>
      <c r="D203" s="302"/>
      <c r="E203" s="302"/>
      <c r="F203" s="302"/>
      <c r="G203" s="302"/>
      <c r="H203" s="302"/>
      <c r="I203" s="302"/>
      <c r="J203" s="302"/>
      <c r="K203" s="302"/>
      <c r="L203" s="302"/>
      <c r="M203" s="302"/>
      <c r="N203" s="302"/>
      <c r="O203" s="302"/>
      <c r="P203" s="302"/>
      <c r="Q203" s="302"/>
      <c r="R203" s="302"/>
      <c r="S203" s="302"/>
      <c r="T203" s="302"/>
      <c r="U203" s="302"/>
      <c r="V203" s="302"/>
      <c r="W203" s="309"/>
      <c r="X203" s="310"/>
    </row>
    <row r="204" spans="2:24" ht="27" customHeight="1" x14ac:dyDescent="0.55000000000000004">
      <c r="B204" s="123" t="s">
        <v>370</v>
      </c>
      <c r="C204" s="305"/>
      <c r="D204" s="305"/>
      <c r="E204" s="305"/>
      <c r="F204" s="305"/>
      <c r="G204" s="305"/>
      <c r="H204" s="305"/>
      <c r="I204" s="305"/>
      <c r="J204" s="305"/>
      <c r="K204" s="305"/>
      <c r="L204" s="305"/>
      <c r="M204" s="305"/>
      <c r="N204" s="305"/>
      <c r="O204" s="305"/>
      <c r="P204" s="305"/>
      <c r="Q204" s="305"/>
      <c r="R204" s="305"/>
      <c r="S204" s="305"/>
      <c r="T204" s="305"/>
      <c r="U204" s="305"/>
      <c r="V204" s="305"/>
      <c r="W204" s="312"/>
      <c r="X204" s="313"/>
    </row>
    <row r="205" spans="2:24" x14ac:dyDescent="0.55000000000000004">
      <c r="B205" s="31"/>
      <c r="C205" s="32"/>
    </row>
  </sheetData>
  <sheetProtection algorithmName="SHA-512" hashValue="pWd57vu3OodBfBnXyY8CsndI7INKGzElIYpoP2GkdGmb35KnnL1zRxSPrMz7nxhvPRVwcl+oBfrROlHg/1WFqw==" saltValue="xeSWnLJW58xg8AI/+RuWdw==" spinCount="100000" sheet="1" objects="1" scenarios="1" selectLockedCells="1" selectUnlockedCells="1"/>
  <mergeCells count="423">
    <mergeCell ref="F25:G25"/>
    <mergeCell ref="G113:H113"/>
    <mergeCell ref="B131:B132"/>
    <mergeCell ref="B152:B153"/>
    <mergeCell ref="B150:C150"/>
    <mergeCell ref="B151:C151"/>
    <mergeCell ref="B129:C129"/>
    <mergeCell ref="B130:C130"/>
    <mergeCell ref="B145:B146"/>
    <mergeCell ref="B124:B125"/>
    <mergeCell ref="B126:B128"/>
    <mergeCell ref="C78:G78"/>
    <mergeCell ref="C79:G79"/>
    <mergeCell ref="C80:G80"/>
    <mergeCell ref="C81:G81"/>
    <mergeCell ref="C82:G82"/>
    <mergeCell ref="C83:G83"/>
    <mergeCell ref="C84:G84"/>
    <mergeCell ref="C85:G85"/>
    <mergeCell ref="C73:G73"/>
    <mergeCell ref="C74:G74"/>
    <mergeCell ref="B39:C39"/>
    <mergeCell ref="H71:N71"/>
    <mergeCell ref="H72:N72"/>
    <mergeCell ref="B40:C40"/>
    <mergeCell ref="B42:C42"/>
    <mergeCell ref="B44:C44"/>
    <mergeCell ref="B45:C45"/>
    <mergeCell ref="B46:C46"/>
    <mergeCell ref="B47:C47"/>
    <mergeCell ref="B28:C28"/>
    <mergeCell ref="B29:C29"/>
    <mergeCell ref="B31:C31"/>
    <mergeCell ref="B32:C32"/>
    <mergeCell ref="B33:C33"/>
    <mergeCell ref="B43:C43"/>
    <mergeCell ref="B30:C30"/>
    <mergeCell ref="B34:C34"/>
    <mergeCell ref="B35:C35"/>
    <mergeCell ref="B41:C41"/>
    <mergeCell ref="B50:C50"/>
    <mergeCell ref="B51:C51"/>
    <mergeCell ref="H82:N82"/>
    <mergeCell ref="H83:N83"/>
    <mergeCell ref="H84:N84"/>
    <mergeCell ref="H85:N85"/>
    <mergeCell ref="H86:N86"/>
    <mergeCell ref="H87:N87"/>
    <mergeCell ref="U68:V68"/>
    <mergeCell ref="O68:T68"/>
    <mergeCell ref="C68:G68"/>
    <mergeCell ref="H68:N68"/>
    <mergeCell ref="C69:G69"/>
    <mergeCell ref="C70:G70"/>
    <mergeCell ref="C71:G71"/>
    <mergeCell ref="C72:G72"/>
    <mergeCell ref="O69:T69"/>
    <mergeCell ref="O70:T70"/>
    <mergeCell ref="O71:T71"/>
    <mergeCell ref="O72:T72"/>
    <mergeCell ref="U69:V69"/>
    <mergeCell ref="U70:V70"/>
    <mergeCell ref="U71:V71"/>
    <mergeCell ref="U72:V72"/>
    <mergeCell ref="H69:N69"/>
    <mergeCell ref="H70:N70"/>
    <mergeCell ref="H76:N76"/>
    <mergeCell ref="H77:N77"/>
    <mergeCell ref="H88:N88"/>
    <mergeCell ref="C77:G77"/>
    <mergeCell ref="O73:T73"/>
    <mergeCell ref="O74:T74"/>
    <mergeCell ref="O75:T75"/>
    <mergeCell ref="O76:T76"/>
    <mergeCell ref="O77:T77"/>
    <mergeCell ref="O78:T78"/>
    <mergeCell ref="O79:T79"/>
    <mergeCell ref="O80:T80"/>
    <mergeCell ref="O81:T81"/>
    <mergeCell ref="O82:T82"/>
    <mergeCell ref="O83:T83"/>
    <mergeCell ref="O84:T84"/>
    <mergeCell ref="O85:T85"/>
    <mergeCell ref="O86:T86"/>
    <mergeCell ref="O87:T87"/>
    <mergeCell ref="O88:T88"/>
    <mergeCell ref="C75:G75"/>
    <mergeCell ref="H79:N79"/>
    <mergeCell ref="C76:G76"/>
    <mergeCell ref="C86:G86"/>
    <mergeCell ref="C87:G87"/>
    <mergeCell ref="C88:G88"/>
    <mergeCell ref="H78:N78"/>
    <mergeCell ref="U73:V73"/>
    <mergeCell ref="U74:V74"/>
    <mergeCell ref="U75:V75"/>
    <mergeCell ref="U76:V76"/>
    <mergeCell ref="U77:V77"/>
    <mergeCell ref="U78:V78"/>
    <mergeCell ref="U79:V79"/>
    <mergeCell ref="U80:V80"/>
    <mergeCell ref="U81:V81"/>
    <mergeCell ref="U82:V82"/>
    <mergeCell ref="U83:V83"/>
    <mergeCell ref="U84:V84"/>
    <mergeCell ref="U85:V85"/>
    <mergeCell ref="U86:V86"/>
    <mergeCell ref="U87:V87"/>
    <mergeCell ref="U88:V88"/>
    <mergeCell ref="H73:N73"/>
    <mergeCell ref="H74:N74"/>
    <mergeCell ref="H75:N75"/>
    <mergeCell ref="W90:X90"/>
    <mergeCell ref="W91:X91"/>
    <mergeCell ref="W92:X92"/>
    <mergeCell ref="W93:X93"/>
    <mergeCell ref="W94:X94"/>
    <mergeCell ref="W95:X95"/>
    <mergeCell ref="W96:X96"/>
    <mergeCell ref="U94:V94"/>
    <mergeCell ref="H80:N80"/>
    <mergeCell ref="H81:N81"/>
    <mergeCell ref="W97:X97"/>
    <mergeCell ref="W98:X98"/>
    <mergeCell ref="W99:X99"/>
    <mergeCell ref="W100:X100"/>
    <mergeCell ref="W101:X101"/>
    <mergeCell ref="W102:X102"/>
    <mergeCell ref="W103:X103"/>
    <mergeCell ref="W104:X104"/>
    <mergeCell ref="W105:X105"/>
    <mergeCell ref="W106:X106"/>
    <mergeCell ref="W107:X107"/>
    <mergeCell ref="W108:X108"/>
    <mergeCell ref="W109:X109"/>
    <mergeCell ref="W110:X110"/>
    <mergeCell ref="C90:G90"/>
    <mergeCell ref="H90:N90"/>
    <mergeCell ref="O90:T90"/>
    <mergeCell ref="U90:V90"/>
    <mergeCell ref="C91:G91"/>
    <mergeCell ref="H91:N91"/>
    <mergeCell ref="O91:T91"/>
    <mergeCell ref="U91:V91"/>
    <mergeCell ref="C92:G92"/>
    <mergeCell ref="H92:N92"/>
    <mergeCell ref="O92:T92"/>
    <mergeCell ref="U92:V92"/>
    <mergeCell ref="C93:G93"/>
    <mergeCell ref="H93:N93"/>
    <mergeCell ref="O93:T93"/>
    <mergeCell ref="U93:V93"/>
    <mergeCell ref="C94:G94"/>
    <mergeCell ref="H94:N94"/>
    <mergeCell ref="O94:T94"/>
    <mergeCell ref="C95:G95"/>
    <mergeCell ref="H95:N95"/>
    <mergeCell ref="O95:T95"/>
    <mergeCell ref="U95:V95"/>
    <mergeCell ref="C96:G96"/>
    <mergeCell ref="H96:N96"/>
    <mergeCell ref="O96:T96"/>
    <mergeCell ref="U96:V96"/>
    <mergeCell ref="O97:T97"/>
    <mergeCell ref="U97:V97"/>
    <mergeCell ref="C98:G98"/>
    <mergeCell ref="H98:N98"/>
    <mergeCell ref="O98:T98"/>
    <mergeCell ref="U98:V98"/>
    <mergeCell ref="C99:G99"/>
    <mergeCell ref="H99:N99"/>
    <mergeCell ref="O99:T99"/>
    <mergeCell ref="U99:V99"/>
    <mergeCell ref="C97:G97"/>
    <mergeCell ref="H97:N97"/>
    <mergeCell ref="O100:T100"/>
    <mergeCell ref="U100:V100"/>
    <mergeCell ref="C101:G101"/>
    <mergeCell ref="H101:N101"/>
    <mergeCell ref="O101:T101"/>
    <mergeCell ref="U101:V101"/>
    <mergeCell ref="C102:G102"/>
    <mergeCell ref="H102:N102"/>
    <mergeCell ref="O102:T102"/>
    <mergeCell ref="U102:V102"/>
    <mergeCell ref="C100:G100"/>
    <mergeCell ref="H100:N100"/>
    <mergeCell ref="C103:G103"/>
    <mergeCell ref="H103:N103"/>
    <mergeCell ref="O103:T103"/>
    <mergeCell ref="U103:V103"/>
    <mergeCell ref="C104:G104"/>
    <mergeCell ref="H104:N104"/>
    <mergeCell ref="O104:T104"/>
    <mergeCell ref="U104:V104"/>
    <mergeCell ref="C105:G105"/>
    <mergeCell ref="H105:N105"/>
    <mergeCell ref="O105:T105"/>
    <mergeCell ref="U105:V105"/>
    <mergeCell ref="C106:G106"/>
    <mergeCell ref="H106:N106"/>
    <mergeCell ref="O106:T106"/>
    <mergeCell ref="U106:V106"/>
    <mergeCell ref="C107:G107"/>
    <mergeCell ref="H107:N107"/>
    <mergeCell ref="O107:T107"/>
    <mergeCell ref="U107:V107"/>
    <mergeCell ref="C108:G108"/>
    <mergeCell ref="H108:N108"/>
    <mergeCell ref="O108:T108"/>
    <mergeCell ref="U108:V108"/>
    <mergeCell ref="C109:G109"/>
    <mergeCell ref="H109:N109"/>
    <mergeCell ref="O109:T109"/>
    <mergeCell ref="U109:V109"/>
    <mergeCell ref="C110:G110"/>
    <mergeCell ref="H110:N110"/>
    <mergeCell ref="O110:T110"/>
    <mergeCell ref="U110:V110"/>
    <mergeCell ref="C162:G162"/>
    <mergeCell ref="H162:N162"/>
    <mergeCell ref="O162:T162"/>
    <mergeCell ref="U162:V162"/>
    <mergeCell ref="B121:C121"/>
    <mergeCell ref="B141:C141"/>
    <mergeCell ref="B140:C140"/>
    <mergeCell ref="B119:C119"/>
    <mergeCell ref="B120:C120"/>
    <mergeCell ref="B122:C122"/>
    <mergeCell ref="B113:F113"/>
    <mergeCell ref="B123:C123"/>
    <mergeCell ref="B147:B149"/>
    <mergeCell ref="B142:C142"/>
    <mergeCell ref="B143:C143"/>
    <mergeCell ref="B144:C144"/>
    <mergeCell ref="F116:G116"/>
    <mergeCell ref="C163:G163"/>
    <mergeCell ref="H163:N163"/>
    <mergeCell ref="O163:T163"/>
    <mergeCell ref="U163:V163"/>
    <mergeCell ref="C164:G164"/>
    <mergeCell ref="H164:N164"/>
    <mergeCell ref="O164:T164"/>
    <mergeCell ref="U164:V164"/>
    <mergeCell ref="C165:G165"/>
    <mergeCell ref="H165:N165"/>
    <mergeCell ref="O165:T165"/>
    <mergeCell ref="U165:V165"/>
    <mergeCell ref="C166:G166"/>
    <mergeCell ref="H166:N166"/>
    <mergeCell ref="O166:T166"/>
    <mergeCell ref="U166:V166"/>
    <mergeCell ref="C167:G167"/>
    <mergeCell ref="H167:N167"/>
    <mergeCell ref="O167:T167"/>
    <mergeCell ref="U167:V167"/>
    <mergeCell ref="C168:G168"/>
    <mergeCell ref="H168:N168"/>
    <mergeCell ref="O168:T168"/>
    <mergeCell ref="U168:V168"/>
    <mergeCell ref="C169:G169"/>
    <mergeCell ref="H169:N169"/>
    <mergeCell ref="O169:T169"/>
    <mergeCell ref="U169:V169"/>
    <mergeCell ref="C170:G170"/>
    <mergeCell ref="H170:N170"/>
    <mergeCell ref="O170:T170"/>
    <mergeCell ref="U170:V170"/>
    <mergeCell ref="C171:G171"/>
    <mergeCell ref="H171:N171"/>
    <mergeCell ref="O171:T171"/>
    <mergeCell ref="U171:V171"/>
    <mergeCell ref="C172:G172"/>
    <mergeCell ref="H172:N172"/>
    <mergeCell ref="O172:T172"/>
    <mergeCell ref="U172:V172"/>
    <mergeCell ref="C173:G173"/>
    <mergeCell ref="H173:N173"/>
    <mergeCell ref="O173:T173"/>
    <mergeCell ref="U173:V173"/>
    <mergeCell ref="C174:G174"/>
    <mergeCell ref="H174:N174"/>
    <mergeCell ref="O174:T174"/>
    <mergeCell ref="U174:V174"/>
    <mergeCell ref="C175:G175"/>
    <mergeCell ref="H175:N175"/>
    <mergeCell ref="O175:T175"/>
    <mergeCell ref="U175:V175"/>
    <mergeCell ref="C176:G176"/>
    <mergeCell ref="H176:N176"/>
    <mergeCell ref="O176:T176"/>
    <mergeCell ref="U176:V176"/>
    <mergeCell ref="C177:G177"/>
    <mergeCell ref="H177:N177"/>
    <mergeCell ref="O177:T177"/>
    <mergeCell ref="U177:V177"/>
    <mergeCell ref="C178:G178"/>
    <mergeCell ref="H178:N178"/>
    <mergeCell ref="O178:T178"/>
    <mergeCell ref="U178:V178"/>
    <mergeCell ref="C179:G179"/>
    <mergeCell ref="H179:N179"/>
    <mergeCell ref="O179:T179"/>
    <mergeCell ref="U179:V179"/>
    <mergeCell ref="C180:G180"/>
    <mergeCell ref="H180:N180"/>
    <mergeCell ref="O180:T180"/>
    <mergeCell ref="U180:V180"/>
    <mergeCell ref="O181:T181"/>
    <mergeCell ref="U181:V181"/>
    <mergeCell ref="C182:G182"/>
    <mergeCell ref="H182:N182"/>
    <mergeCell ref="O182:T182"/>
    <mergeCell ref="U182:V182"/>
    <mergeCell ref="C184:G184"/>
    <mergeCell ref="H184:N184"/>
    <mergeCell ref="O184:T184"/>
    <mergeCell ref="U184:V184"/>
    <mergeCell ref="C181:G181"/>
    <mergeCell ref="H181:N181"/>
    <mergeCell ref="O185:T185"/>
    <mergeCell ref="U185:V185"/>
    <mergeCell ref="C186:G186"/>
    <mergeCell ref="H186:N186"/>
    <mergeCell ref="O186:T186"/>
    <mergeCell ref="U186:V186"/>
    <mergeCell ref="C187:G187"/>
    <mergeCell ref="H187:N187"/>
    <mergeCell ref="O187:T187"/>
    <mergeCell ref="U187:V187"/>
    <mergeCell ref="C185:G185"/>
    <mergeCell ref="H185:N185"/>
    <mergeCell ref="O188:T188"/>
    <mergeCell ref="U188:V188"/>
    <mergeCell ref="C189:G189"/>
    <mergeCell ref="H189:N189"/>
    <mergeCell ref="O189:T189"/>
    <mergeCell ref="U189:V189"/>
    <mergeCell ref="C190:G190"/>
    <mergeCell ref="H190:N190"/>
    <mergeCell ref="O190:T190"/>
    <mergeCell ref="U190:V190"/>
    <mergeCell ref="C188:G188"/>
    <mergeCell ref="H188:N188"/>
    <mergeCell ref="O191:T191"/>
    <mergeCell ref="U191:V191"/>
    <mergeCell ref="C192:G192"/>
    <mergeCell ref="H192:N192"/>
    <mergeCell ref="O192:T192"/>
    <mergeCell ref="U192:V192"/>
    <mergeCell ref="C193:G193"/>
    <mergeCell ref="H193:N193"/>
    <mergeCell ref="O193:T193"/>
    <mergeCell ref="U193:V193"/>
    <mergeCell ref="C191:G191"/>
    <mergeCell ref="H191:N191"/>
    <mergeCell ref="O194:T194"/>
    <mergeCell ref="U194:V194"/>
    <mergeCell ref="C195:G195"/>
    <mergeCell ref="H195:N195"/>
    <mergeCell ref="O195:T195"/>
    <mergeCell ref="U195:V195"/>
    <mergeCell ref="U201:V201"/>
    <mergeCell ref="C196:G196"/>
    <mergeCell ref="H196:N196"/>
    <mergeCell ref="O196:T196"/>
    <mergeCell ref="U196:V196"/>
    <mergeCell ref="C194:G194"/>
    <mergeCell ref="H194:N194"/>
    <mergeCell ref="O197:T197"/>
    <mergeCell ref="U197:V197"/>
    <mergeCell ref="C198:G198"/>
    <mergeCell ref="H198:N198"/>
    <mergeCell ref="O198:T198"/>
    <mergeCell ref="U198:V198"/>
    <mergeCell ref="U202:V202"/>
    <mergeCell ref="C200:G200"/>
    <mergeCell ref="H200:N200"/>
    <mergeCell ref="W193:X193"/>
    <mergeCell ref="W194:X194"/>
    <mergeCell ref="W195:X195"/>
    <mergeCell ref="W196:X196"/>
    <mergeCell ref="W197:X197"/>
    <mergeCell ref="W198:X198"/>
    <mergeCell ref="W199:X199"/>
    <mergeCell ref="W200:X200"/>
    <mergeCell ref="W201:X201"/>
    <mergeCell ref="W202:X202"/>
    <mergeCell ref="C199:G199"/>
    <mergeCell ref="H199:N199"/>
    <mergeCell ref="O199:T199"/>
    <mergeCell ref="U199:V199"/>
    <mergeCell ref="C197:G197"/>
    <mergeCell ref="H197:N197"/>
    <mergeCell ref="O200:T200"/>
    <mergeCell ref="U200:V200"/>
    <mergeCell ref="C201:G201"/>
    <mergeCell ref="H201:N201"/>
    <mergeCell ref="O201:T201"/>
    <mergeCell ref="H25:O25"/>
    <mergeCell ref="H116:O116"/>
    <mergeCell ref="W203:X203"/>
    <mergeCell ref="W204:X204"/>
    <mergeCell ref="O203:T203"/>
    <mergeCell ref="U203:V203"/>
    <mergeCell ref="C204:G204"/>
    <mergeCell ref="H204:N204"/>
    <mergeCell ref="O204:T204"/>
    <mergeCell ref="U204:V204"/>
    <mergeCell ref="C203:G203"/>
    <mergeCell ref="H203:N203"/>
    <mergeCell ref="W184:X184"/>
    <mergeCell ref="W185:X185"/>
    <mergeCell ref="W186:X186"/>
    <mergeCell ref="W187:X187"/>
    <mergeCell ref="W188:X188"/>
    <mergeCell ref="W189:X189"/>
    <mergeCell ref="W190:X190"/>
    <mergeCell ref="W191:X191"/>
    <mergeCell ref="W192:X192"/>
    <mergeCell ref="C202:G202"/>
    <mergeCell ref="H202:N202"/>
    <mergeCell ref="O202:T202"/>
  </mergeCells>
  <phoneticPr fontId="12"/>
  <conditionalFormatting sqref="D47:W47">
    <cfRule type="expression" dxfId="252" priority="28">
      <formula>D54=1</formula>
    </cfRule>
    <cfRule type="expression" dxfId="251" priority="43">
      <formula>D47="---"</formula>
    </cfRule>
    <cfRule type="expression" dxfId="250" priority="63">
      <formula>D47&gt;0.4</formula>
    </cfRule>
  </conditionalFormatting>
  <conditionalFormatting sqref="D48:W48">
    <cfRule type="expression" dxfId="249" priority="23">
      <formula>OR(D42="継続",D48="")</formula>
    </cfRule>
    <cfRule type="expression" dxfId="248" priority="39">
      <formula>AND(D48&lt;&gt;"継続",D48&lt;40)</formula>
    </cfRule>
  </conditionalFormatting>
  <conditionalFormatting sqref="D49:W49">
    <cfRule type="expression" dxfId="247" priority="24">
      <formula>OR(D42="継続",D49="")</formula>
    </cfRule>
    <cfRule type="expression" dxfId="246" priority="41">
      <formula>AND(D42&lt;&gt;"継続",D49&lt;40)</formula>
    </cfRule>
  </conditionalFormatting>
  <conditionalFormatting sqref="H25">
    <cfRule type="expression" dxfId="245" priority="10">
      <formula>$H$25="換気設備の導入は必須です。換気設備について入力してください。"</formula>
    </cfRule>
    <cfRule type="expression" dxfId="244" priority="11">
      <formula>H25="旧設備の入力をご確認ください。"</formula>
    </cfRule>
    <cfRule type="expression" dxfId="243" priority="64">
      <formula>H25="新設備の入力をご確認ください。"</formula>
    </cfRule>
  </conditionalFormatting>
  <conditionalFormatting sqref="I43:W43">
    <cfRule type="expression" dxfId="242" priority="27">
      <formula>I$57=1</formula>
    </cfRule>
  </conditionalFormatting>
  <conditionalFormatting sqref="D119:W119">
    <cfRule type="expression" dxfId="241" priority="32">
      <formula>OR(D136=1,D137=1)</formula>
    </cfRule>
  </conditionalFormatting>
  <conditionalFormatting sqref="D140:W140">
    <cfRule type="expression" dxfId="240" priority="36">
      <formula>OR(D157=1,D158=1)</formula>
    </cfRule>
  </conditionalFormatting>
  <conditionalFormatting sqref="E120:W120">
    <cfRule type="expression" dxfId="239" priority="33">
      <formula>E135=1</formula>
    </cfRule>
  </conditionalFormatting>
  <conditionalFormatting sqref="E122:W122">
    <cfRule type="expression" dxfId="238" priority="34">
      <formula>E135=1</formula>
    </cfRule>
  </conditionalFormatting>
  <conditionalFormatting sqref="E128:W128">
    <cfRule type="expression" dxfId="237" priority="35">
      <formula>E135=1</formula>
    </cfRule>
  </conditionalFormatting>
  <conditionalFormatting sqref="D141:W141">
    <cfRule type="expression" dxfId="236" priority="31">
      <formula>D156=1</formula>
    </cfRule>
  </conditionalFormatting>
  <conditionalFormatting sqref="D143:W143">
    <cfRule type="expression" dxfId="235" priority="30">
      <formula>D156=1</formula>
    </cfRule>
  </conditionalFormatting>
  <conditionalFormatting sqref="D149:W149">
    <cfRule type="expression" dxfId="234" priority="29">
      <formula>D156=1</formula>
    </cfRule>
  </conditionalFormatting>
  <conditionalFormatting sqref="H116">
    <cfRule type="expression" dxfId="233" priority="12">
      <formula>$H$116="新設備の入力をご確認ください。"</formula>
    </cfRule>
    <cfRule type="expression" dxfId="232" priority="14">
      <formula>$H$116="旧設備の入力をご確認ください。"</formula>
    </cfRule>
  </conditionalFormatting>
  <conditionalFormatting sqref="D28:W28">
    <cfRule type="expression" dxfId="231" priority="17">
      <formula>D36=1</formula>
    </cfRule>
  </conditionalFormatting>
  <conditionalFormatting sqref="D39:W39">
    <cfRule type="expression" dxfId="230" priority="21">
      <formula>D62=1</formula>
    </cfRule>
  </conditionalFormatting>
  <conditionalFormatting sqref="W91">
    <cfRule type="expression" dxfId="229" priority="83">
      <formula>$D$56=2</formula>
    </cfRule>
  </conditionalFormatting>
  <conditionalFormatting sqref="H25">
    <cfRule type="expression" dxfId="228" priority="80">
      <formula>$H$25="換気設備導入の要件を満たしていないため、申請できません。"</formula>
    </cfRule>
  </conditionalFormatting>
  <conditionalFormatting sqref="H116">
    <cfRule type="expression" dxfId="227" priority="13">
      <formula>$H$116="省エネ設備更新の要件を満たしていないため、申請できません。"</formula>
    </cfRule>
  </conditionalFormatting>
  <conditionalFormatting sqref="X151">
    <cfRule type="expression" dxfId="226" priority="25">
      <formula>AND($AE$158&lt;&gt;0,$X$130&lt;=$X$151)</formula>
    </cfRule>
  </conditionalFormatting>
  <conditionalFormatting sqref="I40:W40 D41:W41 I42:W43">
    <cfRule type="expression" dxfId="225" priority="37">
      <formula>OR(D$41="補器（排気）",D$41="補器（給気）")</formula>
    </cfRule>
    <cfRule type="expression" dxfId="224" priority="38">
      <formula>D$41="給気"</formula>
    </cfRule>
  </conditionalFormatting>
  <conditionalFormatting sqref="D30:W30 F29:W29">
    <cfRule type="expression" dxfId="223" priority="81">
      <formula>D$30="給気"</formula>
    </cfRule>
    <cfRule type="expression" dxfId="222" priority="82">
      <formula>OR(D$30="補器（排気）",D$30="補器（給気）")</formula>
    </cfRule>
  </conditionalFormatting>
  <conditionalFormatting sqref="W92">
    <cfRule type="expression" dxfId="221" priority="84">
      <formula>$E$56=2</formula>
    </cfRule>
  </conditionalFormatting>
  <conditionalFormatting sqref="W93">
    <cfRule type="expression" dxfId="220" priority="85">
      <formula>$F$56=2</formula>
    </cfRule>
  </conditionalFormatting>
  <conditionalFormatting sqref="W94">
    <cfRule type="expression" dxfId="219" priority="86">
      <formula>$G$56=2</formula>
    </cfRule>
  </conditionalFormatting>
  <conditionalFormatting sqref="W95">
    <cfRule type="expression" dxfId="218" priority="87">
      <formula>$H$56=2</formula>
    </cfRule>
  </conditionalFormatting>
  <conditionalFormatting sqref="W96">
    <cfRule type="expression" dxfId="217" priority="88">
      <formula>$I$56=2</formula>
    </cfRule>
  </conditionalFormatting>
  <conditionalFormatting sqref="W97">
    <cfRule type="expression" dxfId="216" priority="89">
      <formula>$J$56=2</formula>
    </cfRule>
  </conditionalFormatting>
  <conditionalFormatting sqref="W98">
    <cfRule type="expression" dxfId="215" priority="90">
      <formula>$K$56=2</formula>
    </cfRule>
  </conditionalFormatting>
  <conditionalFormatting sqref="W99">
    <cfRule type="expression" dxfId="214" priority="91">
      <formula>$L$56=2</formula>
    </cfRule>
  </conditionalFormatting>
  <conditionalFormatting sqref="W100">
    <cfRule type="expression" dxfId="213" priority="92">
      <formula>$M$56=2</formula>
    </cfRule>
  </conditionalFormatting>
  <conditionalFormatting sqref="W101">
    <cfRule type="expression" dxfId="212" priority="93">
      <formula>$N$56=2</formula>
    </cfRule>
  </conditionalFormatting>
  <conditionalFormatting sqref="W102">
    <cfRule type="expression" dxfId="211" priority="94">
      <formula>$O$56=2</formula>
    </cfRule>
  </conditionalFormatting>
  <conditionalFormatting sqref="W103">
    <cfRule type="expression" dxfId="210" priority="96">
      <formula>$P$56=2</formula>
    </cfRule>
  </conditionalFormatting>
  <conditionalFormatting sqref="W104">
    <cfRule type="expression" dxfId="209" priority="97">
      <formula>$Q$56=2</formula>
    </cfRule>
  </conditionalFormatting>
  <conditionalFormatting sqref="W105">
    <cfRule type="expression" dxfId="208" priority="99">
      <formula>$R$56=2</formula>
    </cfRule>
  </conditionalFormatting>
  <conditionalFormatting sqref="W106">
    <cfRule type="expression" dxfId="207" priority="100">
      <formula>$S$56=2</formula>
    </cfRule>
  </conditionalFormatting>
  <conditionalFormatting sqref="W107">
    <cfRule type="expression" dxfId="206" priority="106">
      <formula>$T$56=2</formula>
    </cfRule>
  </conditionalFormatting>
  <conditionalFormatting sqref="W108">
    <cfRule type="expression" dxfId="205" priority="107">
      <formula>$U$56=2</formula>
    </cfRule>
  </conditionalFormatting>
  <conditionalFormatting sqref="W109">
    <cfRule type="expression" dxfId="204" priority="108">
      <formula>$V$56=2</formula>
    </cfRule>
  </conditionalFormatting>
  <conditionalFormatting sqref="W110">
    <cfRule type="expression" dxfId="203" priority="109">
      <formula>$W$56=2</formula>
    </cfRule>
  </conditionalFormatting>
  <conditionalFormatting sqref="X45:Y45">
    <cfRule type="expression" dxfId="202" priority="22">
      <formula>AND($X$63="不適合",$AA$62&lt;&gt;20)</formula>
    </cfRule>
  </conditionalFormatting>
  <conditionalFormatting sqref="H25:O25">
    <cfRule type="expression" dxfId="201" priority="79">
      <formula>$H$25="新設備の導入がない計画は申請できません。"</formula>
    </cfRule>
  </conditionalFormatting>
  <conditionalFormatting sqref="D129:X132 D141:X153 C164:V182 C186:X204 E120:X128">
    <cfRule type="expression" dxfId="200" priority="9">
      <formula>$G$113&lt;&gt;"はい"</formula>
    </cfRule>
  </conditionalFormatting>
  <conditionalFormatting sqref="I40:W40 I42:W42">
    <cfRule type="expression" dxfId="199" priority="115">
      <formula>I$52=1</formula>
    </cfRule>
    <cfRule type="expression" dxfId="198" priority="116">
      <formula>I$57=1</formula>
    </cfRule>
  </conditionalFormatting>
  <conditionalFormatting sqref="D40:H40">
    <cfRule type="expression" dxfId="197" priority="7">
      <formula>D$48=1</formula>
    </cfRule>
    <cfRule type="expression" dxfId="196" priority="8">
      <formula>D$43=1</formula>
    </cfRule>
  </conditionalFormatting>
  <conditionalFormatting sqref="D42:H42">
    <cfRule type="expression" dxfId="195" priority="4">
      <formula>D$48=1</formula>
    </cfRule>
    <cfRule type="expression" dxfId="194" priority="6">
      <formula>D$43=1</formula>
    </cfRule>
  </conditionalFormatting>
  <conditionalFormatting sqref="D43:H43">
    <cfRule type="expression" dxfId="193" priority="5">
      <formula>D$48=1</formula>
    </cfRule>
  </conditionalFormatting>
  <conditionalFormatting sqref="D120">
    <cfRule type="expression" dxfId="192" priority="3">
      <formula>D135=1</formula>
    </cfRule>
  </conditionalFormatting>
  <conditionalFormatting sqref="D122">
    <cfRule type="expression" dxfId="191" priority="2">
      <formula>D135=1</formula>
    </cfRule>
  </conditionalFormatting>
  <conditionalFormatting sqref="D128">
    <cfRule type="expression" dxfId="190" priority="1">
      <formula>D135=1</formula>
    </cfRule>
  </conditionalFormatting>
  <dataValidations count="4">
    <dataValidation allowBlank="1" showErrorMessage="1" sqref="D121:W121 D145:W148 D142:W142 D131:W132 D152:W153 D124:W125"/>
    <dataValidation allowBlank="1" showErrorMessage="1" promptTitle="『機器仕様入力書』　記入時のご注意" prompt="本シートご利用の場合は、省エネ計算シートの設備欄には記入しないでください。" sqref="D150:W151 D44:W51 D129:W130 D31:W35 D126:W127"/>
    <dataValidation allowBlank="1" sqref="C19:C20"/>
    <dataValidation type="list" allowBlank="1" showInputMessage="1" showErrorMessage="1" sqref="G113">
      <formula1>"実施を選択,はい,いいえ"</formula1>
    </dataValidation>
  </dataValidations>
  <pageMargins left="0.6692913385826772" right="0.31496062992125984" top="0.46" bottom="0.22" header="0.22" footer="0.16"/>
  <pageSetup paperSize="9" scale="32" fitToHeight="0" orientation="portrait" r:id="rId1"/>
  <headerFooter>
    <oddHeader>&amp;C&amp;20換気量・省エネ計算シート</oddHeader>
  </headerFooter>
  <rowBreaks count="1" manualBreakCount="1">
    <brk id="111" max="24" man="1"/>
  </rowBreaks>
  <drawing r:id="rId2"/>
  <legacyDrawing r:id="rId3"/>
  <extLst>
    <ext xmlns:x14="http://schemas.microsoft.com/office/spreadsheetml/2009/9/main" uri="{CCE6A557-97BC-4b89-ADB6-D9C93CAAB3DF}">
      <x14:dataValidations xmlns:xm="http://schemas.microsoft.com/office/excel/2006/main" count="19">
        <x14:dataValidation type="list" allowBlank="1" showErrorMessage="1" promptTitle="『機器仕様入力書』　記入時のご注意" prompt="本シートご利用の場合は、省エネ計算シートの設備欄には記入しないでください。">
          <x14:formula1>
            <xm:f>計算!$X$4:$X$6</xm:f>
          </x14:formula1>
          <xm:sqref>D149:W149 E128:W128</xm:sqref>
        </x14:dataValidation>
        <x14:dataValidation type="list" allowBlank="1">
          <x14:formula1>
            <xm:f>計算!$R$4:$R$9</xm:f>
          </x14:formula1>
          <xm:sqref>I40:W40</xm:sqref>
        </x14:dataValidation>
        <x14:dataValidation type="list" allowBlank="1" showInputMessage="1" showErrorMessage="1">
          <x14:formula1>
            <xm:f>計算!$T$4:$T$7</xm:f>
          </x14:formula1>
          <xm:sqref>I42:W42</xm:sqref>
        </x14:dataValidation>
        <x14:dataValidation type="list" allowBlank="1" showInputMessage="1" showErrorMessage="1">
          <x14:formula1>
            <xm:f>計算!$U$4:$U$6</xm:f>
          </x14:formula1>
          <xm:sqref>D141:W141 E120:W120</xm:sqref>
        </x14:dataValidation>
        <x14:dataValidation type="list" allowBlank="1" showErrorMessage="1">
          <x14:formula1>
            <xm:f>計算!$AA$4:$AA$6</xm:f>
          </x14:formula1>
          <xm:sqref>D143:W143 E122:W122</xm:sqref>
        </x14:dataValidation>
        <x14:dataValidation type="list" allowBlank="1" showErrorMessage="1">
          <x14:formula1>
            <xm:f>計算!$S$4:$S$8</xm:f>
          </x14:formula1>
          <xm:sqref>F29:W29</xm:sqref>
        </x14:dataValidation>
        <x14:dataValidation type="list" allowBlank="1" showInputMessage="1" showErrorMessage="1">
          <x14:formula1>
            <xm:f>計算!$V$4:$V$6</xm:f>
          </x14:formula1>
          <xm:sqref>W91:X110 Y163:Y182 W186:X204</xm:sqref>
        </x14:dataValidation>
        <x14:dataValidation type="list" allowBlank="1" showErrorMessage="1">
          <x14:formula1>
            <xm:f>計算!$Z$3:$Z$14</xm:f>
          </x14:formula1>
          <xm:sqref>I43:W43</xm:sqref>
        </x14:dataValidation>
        <x14:dataValidation type="list" allowBlank="1" showErrorMessage="1">
          <x14:formula1>
            <xm:f>計算!$Z$4:$Z$14</xm:f>
          </x14:formula1>
          <xm:sqref>D144:W144 E123:W123</xm:sqref>
        </x14:dataValidation>
        <x14:dataValidation type="list" allowBlank="1" showErrorMessage="1">
          <x14:formula1>
            <xm:f>計算!$T$20:$T$23</xm:f>
          </x14:formula1>
          <xm:sqref>D30:W30 D41:W41</xm:sqref>
        </x14:dataValidation>
        <x14:dataValidation type="list" allowBlank="1" showErrorMessage="1">
          <x14:formula1>
            <xm:f>'\\fs00001\総務部\東京都地球温暖化防止活動推進センター\事業支援チーム\Ｒ４\200_個人用\和田\[◆換気量・省エネ計算シート（R4_Ver5.5）_記入例.xlsx]計算'!#REF!</xm:f>
          </x14:formula1>
          <xm:sqref>D29:E29</xm:sqref>
        </x14:dataValidation>
        <x14:dataValidation type="list" allowBlank="1" showErrorMessage="1">
          <x14:formula1>
            <xm:f>'\\fs00001\総務部\東京都地球温暖化防止活動推進センター\事業支援チーム\Ｒ４\200_個人用\和田\[◆換気量・省エネ計算シート（R4_Ver5.5）_記入例.xlsx]計算'!#REF!</xm:f>
          </x14:formula1>
          <xm:sqref>D43:H43</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D42:H42</xm:sqref>
        </x14:dataValidation>
        <x14:dataValidation type="list" allowBlank="1">
          <x14:formula1>
            <xm:f>'\\fs00001\総務部\東京都地球温暖化防止活動推進センター\事業支援チーム\Ｒ４\200_個人用\和田\[◆換気量・省エネ計算シート（R4_Ver5.5）_記入例.xlsx]計算'!#REF!</xm:f>
          </x14:formula1>
          <xm:sqref>D40:H40</xm:sqref>
        </x14:dataValidation>
        <x14:dataValidation type="list" allowBlank="1" showErrorMessage="1">
          <x14:formula1>
            <xm:f>'\\fs00001\総務部\東京都地球温暖化防止活動推進センター\事業支援チーム\Ｒ４\200_個人用\和田\[◆換気量・省エネ計算シート（R4_Ver5.5）_記入例.xlsx]計算'!#REF!</xm:f>
          </x14:formula1>
          <xm:sqref>D123</xm:sqref>
        </x14:dataValidation>
        <x14:dataValidation type="list" allowBlank="1" showErrorMessage="1">
          <x14:formula1>
            <xm:f>'\\fs00001\総務部\東京都地球温暖化防止活動推進センター\事業支援チーム\Ｒ４\200_個人用\和田\[◆換気量・省エネ計算シート（R4_Ver5.5）_記入例.xlsx]計算'!#REF!</xm:f>
          </x14:formula1>
          <xm:sqref>D122</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D120</xm:sqref>
        </x14:dataValidation>
        <x14:dataValidation type="list" allowBlank="1" showErrorMessage="1" promptTitle="『機器仕様入力書』　記入時のご注意" prompt="本シートご利用の場合は、省エネ計算シートの設備欄には記入しないでください。">
          <x14:formula1>
            <xm:f>'\\fs00001\総務部\東京都地球温暖化防止活動推進センター\事業支援チーム\Ｒ４\200_個人用\和田\[◆換気量・省エネ計算シート（R4_Ver5.5）_記入例.xlsx]計算'!#REF!</xm:f>
          </x14:formula1>
          <xm:sqref>D128</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W185:X185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AF205"/>
  <sheetViews>
    <sheetView view="pageBreakPreview" zoomScale="70" zoomScaleNormal="80" zoomScaleSheetLayoutView="70" workbookViewId="0">
      <selection sqref="A1:XFD1048576"/>
    </sheetView>
  </sheetViews>
  <sheetFormatPr defaultColWidth="8.83203125" defaultRowHeight="19.2" x14ac:dyDescent="0.55000000000000004"/>
  <cols>
    <col min="1" max="1" width="7.5" style="18" customWidth="1"/>
    <col min="2" max="2" width="11.4140625" style="19" customWidth="1"/>
    <col min="3" max="3" width="4.6640625" style="19" customWidth="1"/>
    <col min="4" max="4" width="8.83203125" style="18" customWidth="1"/>
    <col min="5" max="15" width="8.83203125" style="18"/>
    <col min="16" max="25" width="8.83203125" style="18" customWidth="1"/>
    <col min="26" max="26" width="4.08203125" style="155" customWidth="1"/>
    <col min="27" max="28" width="4.1640625" style="155" customWidth="1"/>
    <col min="29" max="30" width="3.58203125" style="18" customWidth="1"/>
    <col min="31" max="31" width="3.83203125" style="18" customWidth="1"/>
    <col min="32" max="33" width="6.08203125" style="18" customWidth="1"/>
    <col min="34" max="69" width="3.9140625" style="18" customWidth="1"/>
    <col min="70" max="16384" width="8.83203125" style="18"/>
  </cols>
  <sheetData>
    <row r="1" spans="2:28" s="115" customFormat="1" ht="19.5" customHeight="1" x14ac:dyDescent="0.55000000000000004">
      <c r="B1" s="116"/>
      <c r="C1" s="116"/>
      <c r="D1" s="116"/>
      <c r="E1" s="116"/>
      <c r="F1" s="116"/>
      <c r="G1" s="116"/>
      <c r="H1" s="116"/>
      <c r="I1" s="116"/>
      <c r="J1" s="116"/>
      <c r="K1" s="116"/>
      <c r="L1" s="116"/>
      <c r="M1" s="116"/>
      <c r="N1" s="116"/>
      <c r="O1" s="116"/>
      <c r="P1" s="116"/>
      <c r="Q1" s="116"/>
      <c r="R1" s="116"/>
      <c r="S1" s="116"/>
      <c r="T1" s="116"/>
      <c r="U1" s="116"/>
      <c r="V1" s="116"/>
      <c r="W1" s="116"/>
      <c r="X1" s="116"/>
      <c r="Y1" s="117"/>
      <c r="Z1" s="153"/>
      <c r="AA1" s="154"/>
      <c r="AB1" s="154"/>
    </row>
    <row r="2" spans="2:28" x14ac:dyDescent="0.55000000000000004">
      <c r="B2" s="48" t="s">
        <v>177</v>
      </c>
      <c r="C2" s="18"/>
    </row>
    <row r="3" spans="2:28" s="59" customFormat="1" x14ac:dyDescent="0.55000000000000004">
      <c r="B3" s="108" t="s">
        <v>475</v>
      </c>
      <c r="K3" s="18"/>
      <c r="Z3" s="61"/>
      <c r="AA3" s="61"/>
      <c r="AB3" s="61"/>
    </row>
    <row r="4" spans="2:28" s="59" customFormat="1" x14ac:dyDescent="0.55000000000000004">
      <c r="B4" s="108" t="s">
        <v>485</v>
      </c>
      <c r="K4" s="18"/>
      <c r="Z4" s="61"/>
      <c r="AA4" s="61"/>
      <c r="AB4" s="61"/>
    </row>
    <row r="5" spans="2:28" s="59" customFormat="1" x14ac:dyDescent="0.55000000000000004">
      <c r="B5" s="108" t="s">
        <v>511</v>
      </c>
      <c r="K5" s="18"/>
      <c r="Z5" s="61"/>
      <c r="AA5" s="61"/>
      <c r="AB5" s="61"/>
    </row>
    <row r="6" spans="2:28" s="59" customFormat="1" x14ac:dyDescent="0.55000000000000004">
      <c r="B6" s="108" t="s">
        <v>512</v>
      </c>
      <c r="K6" s="18"/>
      <c r="Z6" s="61"/>
      <c r="AA6" s="61"/>
      <c r="AB6" s="61"/>
    </row>
    <row r="7" spans="2:28" s="59" customFormat="1" x14ac:dyDescent="0.55000000000000004">
      <c r="B7" s="108" t="s">
        <v>505</v>
      </c>
      <c r="K7" s="18"/>
      <c r="Z7" s="61"/>
      <c r="AA7" s="61"/>
      <c r="AB7" s="61"/>
    </row>
    <row r="8" spans="2:28" s="59" customFormat="1" x14ac:dyDescent="0.55000000000000004">
      <c r="B8" s="108" t="s">
        <v>506</v>
      </c>
      <c r="K8" s="18"/>
      <c r="Z8" s="61"/>
      <c r="AA8" s="61"/>
      <c r="AB8" s="61"/>
    </row>
    <row r="9" spans="2:28" s="59" customFormat="1" x14ac:dyDescent="0.55000000000000004">
      <c r="B9" s="108" t="s">
        <v>507</v>
      </c>
      <c r="G9" s="97"/>
      <c r="H9" s="97"/>
      <c r="K9" s="18"/>
      <c r="Z9" s="61"/>
      <c r="AA9" s="61"/>
      <c r="AB9" s="61"/>
    </row>
    <row r="10" spans="2:28" s="59" customFormat="1" x14ac:dyDescent="0.55000000000000004">
      <c r="B10" s="143" t="s">
        <v>508</v>
      </c>
      <c r="C10" s="97"/>
      <c r="D10" s="97"/>
      <c r="E10" s="97"/>
      <c r="F10" s="97"/>
      <c r="G10" s="97"/>
      <c r="H10" s="97"/>
      <c r="I10" s="106"/>
      <c r="J10" s="106"/>
      <c r="K10" s="107"/>
      <c r="L10" s="106"/>
      <c r="Z10" s="61"/>
      <c r="AA10" s="61"/>
      <c r="AB10" s="61"/>
    </row>
    <row r="11" spans="2:28" s="59" customFormat="1" x14ac:dyDescent="0.55000000000000004">
      <c r="B11" s="136" t="s">
        <v>261</v>
      </c>
      <c r="C11" s="106"/>
      <c r="D11" s="106"/>
      <c r="E11" s="106"/>
      <c r="F11" s="106"/>
      <c r="G11" s="106"/>
      <c r="H11" s="106"/>
      <c r="I11" s="106"/>
      <c r="J11" s="106"/>
      <c r="K11" s="107"/>
      <c r="L11" s="106"/>
      <c r="Z11" s="61"/>
      <c r="AA11" s="61"/>
      <c r="AB11" s="61"/>
    </row>
    <row r="12" spans="2:28" s="59" customFormat="1" x14ac:dyDescent="0.55000000000000004">
      <c r="B12" s="108" t="s">
        <v>509</v>
      </c>
      <c r="K12" s="18"/>
      <c r="Z12" s="61"/>
      <c r="AA12" s="61"/>
      <c r="AB12" s="61"/>
    </row>
    <row r="13" spans="2:28" s="59" customFormat="1" x14ac:dyDescent="0.55000000000000004">
      <c r="B13" s="108" t="s">
        <v>407</v>
      </c>
      <c r="K13" s="18"/>
      <c r="Z13" s="61"/>
      <c r="AA13" s="61"/>
      <c r="AB13" s="61"/>
    </row>
    <row r="14" spans="2:28" s="59" customFormat="1" x14ac:dyDescent="0.55000000000000004">
      <c r="B14" s="108" t="s">
        <v>224</v>
      </c>
      <c r="K14" s="18"/>
      <c r="Z14" s="61"/>
      <c r="AA14" s="61"/>
      <c r="AB14" s="61"/>
    </row>
    <row r="15" spans="2:28" s="59" customFormat="1" x14ac:dyDescent="0.55000000000000004">
      <c r="B15" s="108" t="s">
        <v>225</v>
      </c>
      <c r="K15" s="18"/>
      <c r="Z15" s="61"/>
      <c r="AA15" s="61"/>
      <c r="AB15" s="61"/>
    </row>
    <row r="16" spans="2:28" s="59" customFormat="1" x14ac:dyDescent="0.55000000000000004">
      <c r="B16" s="108" t="s">
        <v>226</v>
      </c>
      <c r="K16" s="18"/>
      <c r="Z16" s="61"/>
      <c r="AA16" s="61"/>
      <c r="AB16" s="61"/>
    </row>
    <row r="17" spans="2:28" s="59" customFormat="1" x14ac:dyDescent="0.55000000000000004">
      <c r="B17" s="108" t="s">
        <v>510</v>
      </c>
      <c r="K17" s="18"/>
      <c r="Z17" s="61"/>
      <c r="AA17" s="61"/>
      <c r="AB17" s="61"/>
    </row>
    <row r="18" spans="2:28" s="59" customFormat="1" x14ac:dyDescent="0.55000000000000004">
      <c r="B18" s="74"/>
      <c r="K18" s="18"/>
      <c r="Z18" s="61"/>
      <c r="AA18" s="61"/>
      <c r="AB18" s="61"/>
    </row>
    <row r="19" spans="2:28" ht="19.5" customHeight="1" x14ac:dyDescent="0.55000000000000004">
      <c r="B19" s="87" t="s">
        <v>178</v>
      </c>
      <c r="C19" s="20"/>
      <c r="D19" s="46" t="s">
        <v>228</v>
      </c>
    </row>
    <row r="20" spans="2:28" ht="19.5" customHeight="1" x14ac:dyDescent="0.55000000000000004">
      <c r="C20" s="21"/>
      <c r="D20" s="47" t="s">
        <v>134</v>
      </c>
    </row>
    <row r="21" spans="2:28" ht="19.5" customHeight="1" x14ac:dyDescent="0.55000000000000004">
      <c r="C21" s="22"/>
      <c r="D21" s="47" t="s">
        <v>135</v>
      </c>
    </row>
    <row r="22" spans="2:28" ht="19.5" customHeight="1" x14ac:dyDescent="0.55000000000000004">
      <c r="D22" s="19"/>
    </row>
    <row r="23" spans="2:28" x14ac:dyDescent="0.55000000000000004">
      <c r="AA23" s="196"/>
    </row>
    <row r="25" spans="2:28" ht="42.75" customHeight="1" x14ac:dyDescent="0.55000000000000004">
      <c r="B25" s="23" t="s">
        <v>205</v>
      </c>
      <c r="C25" s="24"/>
      <c r="F25" s="252" t="s">
        <v>415</v>
      </c>
      <c r="G25" s="224"/>
      <c r="H25" s="217" t="str">
        <f>IF(X36="入力確認","旧設備の入力をご確認ください。",IF(X62="入力確認","新設備の入力をご確認ください。",IF(AND(AC52=0,AC54=0,AC55=0,AC58=0,AC60=0),"換気設備の導入は必須です。換気設備について入力してください。",IF(X53="非適合","新設備の導入がない計画は申請できません。",IF(AND(X52="適合",X53="適合",X54="適合",X55="適合",X57="適合",X59="適合",X61="適合",X63="適合"),"換気設備導入の要件を満たしています。","換気設備導入の要件を満たしていないため、申請できません。")))))</f>
        <v>旧設備の入力をご確認ください。</v>
      </c>
      <c r="I25" s="218"/>
      <c r="J25" s="218"/>
      <c r="K25" s="218"/>
      <c r="L25" s="218"/>
      <c r="M25" s="218"/>
      <c r="N25" s="218"/>
      <c r="O25" s="219"/>
      <c r="X25" s="103"/>
    </row>
    <row r="26" spans="2:28" ht="18.75" customHeight="1" x14ac:dyDescent="0.55000000000000004">
      <c r="B26" s="23"/>
      <c r="C26" s="24"/>
    </row>
    <row r="27" spans="2:28" ht="42" customHeight="1" thickBot="1" x14ac:dyDescent="0.6">
      <c r="B27" s="152" t="s">
        <v>431</v>
      </c>
      <c r="C27" s="25"/>
    </row>
    <row r="28" spans="2:28" x14ac:dyDescent="0.55000000000000004">
      <c r="B28" s="225" t="s">
        <v>130</v>
      </c>
      <c r="C28" s="225"/>
      <c r="D28" s="26" t="s">
        <v>153</v>
      </c>
      <c r="E28" s="26" t="s">
        <v>154</v>
      </c>
      <c r="F28" s="26" t="s">
        <v>155</v>
      </c>
      <c r="G28" s="26" t="s">
        <v>156</v>
      </c>
      <c r="H28" s="26" t="s">
        <v>157</v>
      </c>
      <c r="I28" s="26" t="s">
        <v>158</v>
      </c>
      <c r="J28" s="26" t="s">
        <v>159</v>
      </c>
      <c r="K28" s="26" t="s">
        <v>160</v>
      </c>
      <c r="L28" s="26" t="s">
        <v>161</v>
      </c>
      <c r="M28" s="26" t="s">
        <v>162</v>
      </c>
      <c r="N28" s="26" t="s">
        <v>340</v>
      </c>
      <c r="O28" s="26" t="s">
        <v>163</v>
      </c>
      <c r="P28" s="26" t="s">
        <v>164</v>
      </c>
      <c r="Q28" s="26" t="s">
        <v>165</v>
      </c>
      <c r="R28" s="26" t="s">
        <v>166</v>
      </c>
      <c r="S28" s="26" t="s">
        <v>167</v>
      </c>
      <c r="T28" s="26" t="s">
        <v>168</v>
      </c>
      <c r="U28" s="26" t="s">
        <v>169</v>
      </c>
      <c r="V28" s="26" t="s">
        <v>170</v>
      </c>
      <c r="W28" s="177" t="s">
        <v>171</v>
      </c>
      <c r="X28" s="180" t="s">
        <v>479</v>
      </c>
      <c r="Y28" s="181" t="s">
        <v>480</v>
      </c>
      <c r="AB28" s="74" t="s">
        <v>433</v>
      </c>
    </row>
    <row r="29" spans="2:28" ht="63" customHeight="1" x14ac:dyDescent="0.55000000000000004">
      <c r="B29" s="230" t="s">
        <v>1</v>
      </c>
      <c r="C29" s="230"/>
      <c r="D29" s="287" t="s">
        <v>513</v>
      </c>
      <c r="E29" s="287" t="s">
        <v>513</v>
      </c>
      <c r="F29" s="287"/>
      <c r="G29" s="287"/>
      <c r="H29" s="287"/>
      <c r="I29" s="287"/>
      <c r="J29" s="287"/>
      <c r="K29" s="287"/>
      <c r="L29" s="287"/>
      <c r="M29" s="287"/>
      <c r="N29" s="287"/>
      <c r="O29" s="287"/>
      <c r="P29" s="287"/>
      <c r="Q29" s="287"/>
      <c r="R29" s="287"/>
      <c r="S29" s="287"/>
      <c r="T29" s="287"/>
      <c r="U29" s="287"/>
      <c r="V29" s="287"/>
      <c r="W29" s="288"/>
      <c r="X29" s="182" t="s">
        <v>10</v>
      </c>
      <c r="Y29" s="183" t="s">
        <v>10</v>
      </c>
      <c r="AA29" s="18"/>
      <c r="AB29" s="187" t="s">
        <v>486</v>
      </c>
    </row>
    <row r="30" spans="2:28" ht="26.25" customHeight="1" thickBot="1" x14ac:dyDescent="0.6">
      <c r="B30" s="230" t="s">
        <v>483</v>
      </c>
      <c r="C30" s="230"/>
      <c r="D30" s="289" t="s">
        <v>477</v>
      </c>
      <c r="E30" s="289" t="s">
        <v>477</v>
      </c>
      <c r="F30" s="289"/>
      <c r="G30" s="289"/>
      <c r="H30" s="289"/>
      <c r="I30" s="289"/>
      <c r="J30" s="289"/>
      <c r="K30" s="289"/>
      <c r="L30" s="289"/>
      <c r="M30" s="289"/>
      <c r="N30" s="289"/>
      <c r="O30" s="289"/>
      <c r="P30" s="289"/>
      <c r="Q30" s="289"/>
      <c r="R30" s="289"/>
      <c r="S30" s="289"/>
      <c r="T30" s="289"/>
      <c r="U30" s="289"/>
      <c r="V30" s="289"/>
      <c r="W30" s="289"/>
      <c r="X30" s="178" t="s">
        <v>10</v>
      </c>
      <c r="Y30" s="179" t="s">
        <v>10</v>
      </c>
    </row>
    <row r="31" spans="2:28" ht="27" customHeight="1" x14ac:dyDescent="0.55000000000000004">
      <c r="B31" s="230" t="s">
        <v>3</v>
      </c>
      <c r="C31" s="230"/>
      <c r="D31" s="290">
        <v>1</v>
      </c>
      <c r="E31" s="290">
        <v>1</v>
      </c>
      <c r="F31" s="290"/>
      <c r="G31" s="290"/>
      <c r="H31" s="290"/>
      <c r="I31" s="290"/>
      <c r="J31" s="290"/>
      <c r="K31" s="290"/>
      <c r="L31" s="290"/>
      <c r="M31" s="290"/>
      <c r="N31" s="290"/>
      <c r="O31" s="290"/>
      <c r="P31" s="290"/>
      <c r="Q31" s="290"/>
      <c r="R31" s="290"/>
      <c r="S31" s="290"/>
      <c r="T31" s="290"/>
      <c r="U31" s="290"/>
      <c r="V31" s="290"/>
      <c r="W31" s="291"/>
      <c r="X31" s="171">
        <f>IF(SUMIF($D$30:$W$30,"排気",$D$31:$W$31)=0,"",SUMIF($D$30:$W$30,"排気",$D$31:$W$31))</f>
        <v>2</v>
      </c>
      <c r="Y31" s="172" t="str">
        <f>IF(SUMIF($D$30:$W$30,"給気",$D$31:$W$31)=0,"",SUMIF($D$30:$W$30,"給気",$D$31:$W$31))</f>
        <v/>
      </c>
    </row>
    <row r="32" spans="2:28" ht="27" customHeight="1" x14ac:dyDescent="0.55000000000000004">
      <c r="B32" s="246" t="s">
        <v>4</v>
      </c>
      <c r="C32" s="246"/>
      <c r="D32" s="292">
        <v>500</v>
      </c>
      <c r="E32" s="292"/>
      <c r="F32" s="292"/>
      <c r="G32" s="292"/>
      <c r="H32" s="292"/>
      <c r="I32" s="292"/>
      <c r="J32" s="292"/>
      <c r="K32" s="292"/>
      <c r="L32" s="292"/>
      <c r="M32" s="292"/>
      <c r="N32" s="292"/>
      <c r="O32" s="292"/>
      <c r="P32" s="292"/>
      <c r="Q32" s="292"/>
      <c r="R32" s="292"/>
      <c r="S32" s="292"/>
      <c r="T32" s="292"/>
      <c r="U32" s="292"/>
      <c r="V32" s="292"/>
      <c r="W32" s="293"/>
      <c r="X32" s="173">
        <f>IF(AC36=0,"",X34)</f>
        <v>500</v>
      </c>
      <c r="Y32" s="174" t="str">
        <f>IF(AD36=0,"",Y34)</f>
        <v/>
      </c>
    </row>
    <row r="33" spans="2:31" ht="27" customHeight="1" thickBot="1" x14ac:dyDescent="0.6">
      <c r="B33" s="230" t="s">
        <v>5</v>
      </c>
      <c r="C33" s="230"/>
      <c r="D33" s="294">
        <v>25</v>
      </c>
      <c r="E33" s="295">
        <v>40</v>
      </c>
      <c r="F33" s="294"/>
      <c r="G33" s="295"/>
      <c r="H33" s="294"/>
      <c r="I33" s="295"/>
      <c r="J33" s="294"/>
      <c r="K33" s="295"/>
      <c r="L33" s="294"/>
      <c r="M33" s="295"/>
      <c r="N33" s="295"/>
      <c r="O33" s="295"/>
      <c r="P33" s="295"/>
      <c r="Q33" s="295"/>
      <c r="R33" s="295"/>
      <c r="S33" s="295"/>
      <c r="T33" s="295"/>
      <c r="U33" s="295"/>
      <c r="V33" s="295"/>
      <c r="W33" s="296"/>
      <c r="X33" s="176">
        <f>IF(AC36=0,"",X35)</f>
        <v>65</v>
      </c>
      <c r="Y33" s="175" t="str">
        <f>IF(AD36=0,"",Y35)</f>
        <v/>
      </c>
    </row>
    <row r="34" spans="2:31" ht="27" hidden="1" customHeight="1" x14ac:dyDescent="0.55000000000000004">
      <c r="B34" s="246" t="s">
        <v>481</v>
      </c>
      <c r="C34" s="246"/>
      <c r="D34" s="292">
        <f t="shared" ref="D34:W34" si="0">D31*D32</f>
        <v>500</v>
      </c>
      <c r="E34" s="292">
        <f t="shared" si="0"/>
        <v>0</v>
      </c>
      <c r="F34" s="292">
        <f t="shared" si="0"/>
        <v>0</v>
      </c>
      <c r="G34" s="292">
        <f t="shared" si="0"/>
        <v>0</v>
      </c>
      <c r="H34" s="292">
        <f t="shared" si="0"/>
        <v>0</v>
      </c>
      <c r="I34" s="292">
        <f t="shared" si="0"/>
        <v>0</v>
      </c>
      <c r="J34" s="292">
        <f t="shared" si="0"/>
        <v>0</v>
      </c>
      <c r="K34" s="292">
        <f t="shared" si="0"/>
        <v>0</v>
      </c>
      <c r="L34" s="292">
        <f t="shared" si="0"/>
        <v>0</v>
      </c>
      <c r="M34" s="292">
        <f t="shared" si="0"/>
        <v>0</v>
      </c>
      <c r="N34" s="292">
        <f t="shared" si="0"/>
        <v>0</v>
      </c>
      <c r="O34" s="292">
        <f t="shared" si="0"/>
        <v>0</v>
      </c>
      <c r="P34" s="292">
        <f t="shared" si="0"/>
        <v>0</v>
      </c>
      <c r="Q34" s="292">
        <f t="shared" si="0"/>
        <v>0</v>
      </c>
      <c r="R34" s="292">
        <f t="shared" si="0"/>
        <v>0</v>
      </c>
      <c r="S34" s="292">
        <f t="shared" si="0"/>
        <v>0</v>
      </c>
      <c r="T34" s="292">
        <f t="shared" si="0"/>
        <v>0</v>
      </c>
      <c r="U34" s="292">
        <f t="shared" si="0"/>
        <v>0</v>
      </c>
      <c r="V34" s="292">
        <f t="shared" si="0"/>
        <v>0</v>
      </c>
      <c r="W34" s="293">
        <f t="shared" si="0"/>
        <v>0</v>
      </c>
      <c r="X34" s="189">
        <f>IF(SUMIF($D$30:$W$30,"排気",$D$34:$W$34)=0,0,SUMIF($D$30:$W$30,"排気",$D$34:$W$34))</f>
        <v>500</v>
      </c>
      <c r="Y34" s="190">
        <f>IF(SUMIF($D$30:$W$30,"給気",$D$34:$W$34)=0,0,SUMIF($D$30:$W$30,"給気",$D$34:$W$34))</f>
        <v>0</v>
      </c>
    </row>
    <row r="35" spans="2:31" ht="27" hidden="1" customHeight="1" thickBot="1" x14ac:dyDescent="0.6">
      <c r="B35" s="230" t="s">
        <v>482</v>
      </c>
      <c r="C35" s="230"/>
      <c r="D35" s="292">
        <f>D31*D33</f>
        <v>25</v>
      </c>
      <c r="E35" s="292">
        <f t="shared" ref="E35:W35" si="1">E31*E33</f>
        <v>40</v>
      </c>
      <c r="F35" s="292">
        <f t="shared" si="1"/>
        <v>0</v>
      </c>
      <c r="G35" s="292">
        <f t="shared" si="1"/>
        <v>0</v>
      </c>
      <c r="H35" s="292">
        <f t="shared" si="1"/>
        <v>0</v>
      </c>
      <c r="I35" s="292">
        <f t="shared" si="1"/>
        <v>0</v>
      </c>
      <c r="J35" s="292">
        <f t="shared" si="1"/>
        <v>0</v>
      </c>
      <c r="K35" s="292">
        <f t="shared" si="1"/>
        <v>0</v>
      </c>
      <c r="L35" s="292">
        <f t="shared" si="1"/>
        <v>0</v>
      </c>
      <c r="M35" s="292">
        <f t="shared" si="1"/>
        <v>0</v>
      </c>
      <c r="N35" s="292">
        <f t="shared" si="1"/>
        <v>0</v>
      </c>
      <c r="O35" s="292">
        <f t="shared" si="1"/>
        <v>0</v>
      </c>
      <c r="P35" s="292">
        <f t="shared" si="1"/>
        <v>0</v>
      </c>
      <c r="Q35" s="292">
        <f t="shared" si="1"/>
        <v>0</v>
      </c>
      <c r="R35" s="292">
        <f t="shared" si="1"/>
        <v>0</v>
      </c>
      <c r="S35" s="292">
        <f t="shared" si="1"/>
        <v>0</v>
      </c>
      <c r="T35" s="292">
        <f t="shared" si="1"/>
        <v>0</v>
      </c>
      <c r="U35" s="292">
        <f t="shared" si="1"/>
        <v>0</v>
      </c>
      <c r="V35" s="292">
        <f t="shared" si="1"/>
        <v>0</v>
      </c>
      <c r="W35" s="293">
        <f t="shared" si="1"/>
        <v>0</v>
      </c>
      <c r="X35" s="191">
        <f>IF(SUMIF($D$30:$W$30,"排気",$D$35:$W$35)=0,0,SUMIF($D$30:$W$30,"排気",$D$35:$W$35))</f>
        <v>65</v>
      </c>
      <c r="Y35" s="192">
        <f>IF(SUMIF($D$30:$W$30,"給気",$D$35:$W$35)=0,0,SUMIF($D$30:$W$30,"給気",$D$35:$W$35))</f>
        <v>0</v>
      </c>
    </row>
    <row r="36" spans="2:31" hidden="1" x14ac:dyDescent="0.55000000000000004">
      <c r="B36" s="96" t="s">
        <v>443</v>
      </c>
      <c r="C36" s="94"/>
      <c r="D36" s="94">
        <f>IF(AND(D29="",D30="",D31="",D32="",D33=""),2,IF(AND(D29&lt;&gt;"",D30&lt;&gt;"",D31&lt;&gt;"",D32&lt;&gt;"",D33&lt;&gt;""),0,1))</f>
        <v>0</v>
      </c>
      <c r="E36" s="94">
        <f t="shared" ref="E36:W36" si="2">IF(AND(E29="",E30="",E31="",E32="",E33=""),2,IF(AND(E29&lt;&gt;"",E30&lt;&gt;"",E31&lt;&gt;"",E32&lt;&gt;"",E33&lt;&gt;""),0,1))</f>
        <v>1</v>
      </c>
      <c r="F36" s="94">
        <f t="shared" si="2"/>
        <v>2</v>
      </c>
      <c r="G36" s="94">
        <f t="shared" si="2"/>
        <v>2</v>
      </c>
      <c r="H36" s="94">
        <f t="shared" si="2"/>
        <v>2</v>
      </c>
      <c r="I36" s="94">
        <f t="shared" si="2"/>
        <v>2</v>
      </c>
      <c r="J36" s="94">
        <f t="shared" si="2"/>
        <v>2</v>
      </c>
      <c r="K36" s="94">
        <f t="shared" si="2"/>
        <v>2</v>
      </c>
      <c r="L36" s="94">
        <f t="shared" si="2"/>
        <v>2</v>
      </c>
      <c r="M36" s="94">
        <f t="shared" si="2"/>
        <v>2</v>
      </c>
      <c r="N36" s="94">
        <f t="shared" si="2"/>
        <v>2</v>
      </c>
      <c r="O36" s="94">
        <f t="shared" si="2"/>
        <v>2</v>
      </c>
      <c r="P36" s="94">
        <f t="shared" si="2"/>
        <v>2</v>
      </c>
      <c r="Q36" s="94">
        <f t="shared" si="2"/>
        <v>2</v>
      </c>
      <c r="R36" s="94">
        <f t="shared" si="2"/>
        <v>2</v>
      </c>
      <c r="S36" s="94">
        <f t="shared" si="2"/>
        <v>2</v>
      </c>
      <c r="T36" s="94">
        <f t="shared" si="2"/>
        <v>2</v>
      </c>
      <c r="U36" s="94">
        <f t="shared" si="2"/>
        <v>2</v>
      </c>
      <c r="V36" s="94">
        <f t="shared" si="2"/>
        <v>2</v>
      </c>
      <c r="W36" s="94">
        <f t="shared" si="2"/>
        <v>2</v>
      </c>
      <c r="X36" s="94" t="str">
        <f>IF(Z36&gt;0,"入力確認",IF(AB36=Y36,"適合","不適合"))</f>
        <v>入力確認</v>
      </c>
      <c r="Y36" s="18">
        <f>COUNTIF($D36:$W36,0)</f>
        <v>1</v>
      </c>
      <c r="Z36" s="155">
        <f>COUNTIF($D36:$W36,1)</f>
        <v>1</v>
      </c>
      <c r="AA36" s="155">
        <f>COUNTIF($D36:$W36,2)</f>
        <v>18</v>
      </c>
      <c r="AB36" s="18">
        <f>20-COUNTIF($D$29:$W$29,"")</f>
        <v>2</v>
      </c>
      <c r="AC36" s="18">
        <f>COUNTIF($D$30:$W$30,"排気")</f>
        <v>2</v>
      </c>
      <c r="AD36" s="18">
        <f>COUNTIF($D$30:$W$30,"給気")</f>
        <v>0</v>
      </c>
      <c r="AE36" s="99">
        <v>34</v>
      </c>
    </row>
    <row r="38" spans="2:31" ht="42" customHeight="1" thickBot="1" x14ac:dyDescent="0.6">
      <c r="B38" s="152" t="s">
        <v>432</v>
      </c>
      <c r="C38" s="25"/>
    </row>
    <row r="39" spans="2:31" x14ac:dyDescent="0.55000000000000004">
      <c r="B39" s="225" t="s">
        <v>129</v>
      </c>
      <c r="C39" s="225"/>
      <c r="D39" s="26" t="s">
        <v>276</v>
      </c>
      <c r="E39" s="26" t="s">
        <v>277</v>
      </c>
      <c r="F39" s="26" t="s">
        <v>278</v>
      </c>
      <c r="G39" s="26" t="s">
        <v>279</v>
      </c>
      <c r="H39" s="26" t="s">
        <v>280</v>
      </c>
      <c r="I39" s="26" t="s">
        <v>281</v>
      </c>
      <c r="J39" s="26" t="s">
        <v>282</v>
      </c>
      <c r="K39" s="26" t="s">
        <v>283</v>
      </c>
      <c r="L39" s="26" t="s">
        <v>284</v>
      </c>
      <c r="M39" s="26" t="s">
        <v>285</v>
      </c>
      <c r="N39" s="26" t="s">
        <v>341</v>
      </c>
      <c r="O39" s="26" t="s">
        <v>342</v>
      </c>
      <c r="P39" s="26" t="s">
        <v>343</v>
      </c>
      <c r="Q39" s="26" t="s">
        <v>344</v>
      </c>
      <c r="R39" s="26" t="s">
        <v>345</v>
      </c>
      <c r="S39" s="26" t="s">
        <v>346</v>
      </c>
      <c r="T39" s="26" t="s">
        <v>347</v>
      </c>
      <c r="U39" s="26" t="s">
        <v>348</v>
      </c>
      <c r="V39" s="26" t="s">
        <v>349</v>
      </c>
      <c r="W39" s="26" t="s">
        <v>350</v>
      </c>
      <c r="X39" s="180" t="s">
        <v>479</v>
      </c>
      <c r="Y39" s="181" t="s">
        <v>480</v>
      </c>
      <c r="Z39" s="18"/>
      <c r="AA39" s="74" t="s">
        <v>434</v>
      </c>
    </row>
    <row r="40" spans="2:31" ht="63" customHeight="1" x14ac:dyDescent="0.55000000000000004">
      <c r="B40" s="230" t="s">
        <v>1</v>
      </c>
      <c r="C40" s="230"/>
      <c r="D40" s="287" t="s">
        <v>208</v>
      </c>
      <c r="E40" s="287" t="s">
        <v>208</v>
      </c>
      <c r="F40" s="287" t="s">
        <v>208</v>
      </c>
      <c r="G40" s="287" t="s">
        <v>208</v>
      </c>
      <c r="H40" s="287" t="s">
        <v>208</v>
      </c>
      <c r="I40" s="287"/>
      <c r="J40" s="287"/>
      <c r="K40" s="287"/>
      <c r="L40" s="287"/>
      <c r="M40" s="287"/>
      <c r="N40" s="287"/>
      <c r="O40" s="287"/>
      <c r="P40" s="287"/>
      <c r="Q40" s="287"/>
      <c r="R40" s="287"/>
      <c r="S40" s="287"/>
      <c r="T40" s="287"/>
      <c r="U40" s="287"/>
      <c r="V40" s="287"/>
      <c r="W40" s="287"/>
      <c r="X40" s="182" t="s">
        <v>10</v>
      </c>
      <c r="Y40" s="183" t="s">
        <v>10</v>
      </c>
      <c r="Z40" s="18"/>
      <c r="AB40" s="186" t="s">
        <v>486</v>
      </c>
    </row>
    <row r="41" spans="2:31" ht="26.25" customHeight="1" x14ac:dyDescent="0.55000000000000004">
      <c r="B41" s="230" t="s">
        <v>483</v>
      </c>
      <c r="C41" s="230"/>
      <c r="D41" s="289" t="s">
        <v>477</v>
      </c>
      <c r="E41" s="289" t="s">
        <v>477</v>
      </c>
      <c r="F41" s="289" t="s">
        <v>477</v>
      </c>
      <c r="G41" s="289" t="s">
        <v>477</v>
      </c>
      <c r="H41" s="289" t="s">
        <v>477</v>
      </c>
      <c r="I41" s="289"/>
      <c r="J41" s="289"/>
      <c r="K41" s="289"/>
      <c r="L41" s="289"/>
      <c r="M41" s="289"/>
      <c r="N41" s="289"/>
      <c r="O41" s="289"/>
      <c r="P41" s="289"/>
      <c r="Q41" s="289"/>
      <c r="R41" s="289"/>
      <c r="S41" s="289"/>
      <c r="T41" s="289"/>
      <c r="U41" s="289"/>
      <c r="V41" s="289"/>
      <c r="W41" s="289"/>
      <c r="X41" s="182" t="s">
        <v>10</v>
      </c>
      <c r="Y41" s="183" t="s">
        <v>10</v>
      </c>
      <c r="AA41" s="74"/>
    </row>
    <row r="42" spans="2:31" ht="27" customHeight="1" x14ac:dyDescent="0.55000000000000004">
      <c r="B42" s="247" t="s">
        <v>9</v>
      </c>
      <c r="C42" s="248"/>
      <c r="D42" s="297" t="s">
        <v>93</v>
      </c>
      <c r="E42" s="297" t="s">
        <v>92</v>
      </c>
      <c r="F42" s="297" t="s">
        <v>91</v>
      </c>
      <c r="G42" s="297" t="s">
        <v>91</v>
      </c>
      <c r="H42" s="297" t="s">
        <v>91</v>
      </c>
      <c r="I42" s="297"/>
      <c r="J42" s="297"/>
      <c r="K42" s="297"/>
      <c r="L42" s="297"/>
      <c r="M42" s="297"/>
      <c r="N42" s="297"/>
      <c r="O42" s="297"/>
      <c r="P42" s="297"/>
      <c r="Q42" s="297"/>
      <c r="R42" s="297"/>
      <c r="S42" s="297"/>
      <c r="T42" s="297"/>
      <c r="U42" s="297"/>
      <c r="V42" s="297"/>
      <c r="W42" s="297"/>
      <c r="X42" s="182" t="s">
        <v>10</v>
      </c>
      <c r="Y42" s="183" t="s">
        <v>10</v>
      </c>
      <c r="Z42" s="18"/>
      <c r="AA42" s="74"/>
    </row>
    <row r="43" spans="2:31" ht="27" customHeight="1" thickBot="1" x14ac:dyDescent="0.6">
      <c r="B43" s="250" t="s">
        <v>116</v>
      </c>
      <c r="C43" s="251"/>
      <c r="D43" s="298" t="s">
        <v>98</v>
      </c>
      <c r="E43" s="298" t="s">
        <v>98</v>
      </c>
      <c r="F43" s="298" t="s">
        <v>98</v>
      </c>
      <c r="G43" s="298" t="s">
        <v>98</v>
      </c>
      <c r="H43" s="298" t="s">
        <v>108</v>
      </c>
      <c r="I43" s="289"/>
      <c r="J43" s="289"/>
      <c r="K43" s="289"/>
      <c r="L43" s="289"/>
      <c r="M43" s="289"/>
      <c r="N43" s="289"/>
      <c r="O43" s="289"/>
      <c r="P43" s="289"/>
      <c r="Q43" s="289"/>
      <c r="R43" s="289"/>
      <c r="S43" s="289"/>
      <c r="T43" s="289"/>
      <c r="U43" s="289"/>
      <c r="V43" s="289"/>
      <c r="W43" s="289"/>
      <c r="X43" s="178" t="s">
        <v>10</v>
      </c>
      <c r="Y43" s="179" t="s">
        <v>10</v>
      </c>
      <c r="Z43" s="18"/>
      <c r="AA43" s="74"/>
    </row>
    <row r="44" spans="2:31" ht="27" customHeight="1" x14ac:dyDescent="0.55000000000000004">
      <c r="B44" s="230" t="s">
        <v>3</v>
      </c>
      <c r="C44" s="230"/>
      <c r="D44" s="290">
        <v>1</v>
      </c>
      <c r="E44" s="290">
        <v>1</v>
      </c>
      <c r="F44" s="290">
        <v>1</v>
      </c>
      <c r="G44" s="290">
        <v>1</v>
      </c>
      <c r="H44" s="290">
        <v>1</v>
      </c>
      <c r="I44" s="290"/>
      <c r="J44" s="290"/>
      <c r="K44" s="290"/>
      <c r="L44" s="290"/>
      <c r="M44" s="290"/>
      <c r="N44" s="290"/>
      <c r="O44" s="290"/>
      <c r="P44" s="290"/>
      <c r="Q44" s="290"/>
      <c r="R44" s="290"/>
      <c r="S44" s="290"/>
      <c r="T44" s="290"/>
      <c r="U44" s="290"/>
      <c r="V44" s="290"/>
      <c r="W44" s="290"/>
      <c r="X44" s="171">
        <f>IF(SUMIF($D$41:$W$41,"排気",$D$44:$W$44)=0,"",SUMIF($D$41:$W$41,"排気",$D$44:$W$44))</f>
        <v>5</v>
      </c>
      <c r="Y44" s="172" t="str">
        <f>IF(SUMIF($D$41:$W$41,"給気",$D$44:$W$44)=0,"",SUMIF($D$41:$W$41,"給気",$D$44:$W$44))</f>
        <v/>
      </c>
      <c r="Z44" s="18"/>
    </row>
    <row r="45" spans="2:31" ht="27" customHeight="1" x14ac:dyDescent="0.55000000000000004">
      <c r="B45" s="246" t="s">
        <v>4</v>
      </c>
      <c r="C45" s="246"/>
      <c r="D45" s="292">
        <v>600</v>
      </c>
      <c r="E45" s="292">
        <v>600</v>
      </c>
      <c r="F45" s="292">
        <v>600</v>
      </c>
      <c r="G45" s="292">
        <v>1080</v>
      </c>
      <c r="H45" s="292">
        <v>1080</v>
      </c>
      <c r="I45" s="292"/>
      <c r="J45" s="292"/>
      <c r="K45" s="292"/>
      <c r="L45" s="292"/>
      <c r="M45" s="292"/>
      <c r="N45" s="292"/>
      <c r="O45" s="292"/>
      <c r="P45" s="292"/>
      <c r="Q45" s="292"/>
      <c r="R45" s="292"/>
      <c r="S45" s="292"/>
      <c r="T45" s="292"/>
      <c r="U45" s="292"/>
      <c r="V45" s="292"/>
      <c r="W45" s="292"/>
      <c r="X45" s="173">
        <f>IF(AC63=0,"",X50)</f>
        <v>3960</v>
      </c>
      <c r="Y45" s="174" t="str">
        <f>IF(AD63=0,"",Y50)</f>
        <v/>
      </c>
      <c r="Z45" s="18"/>
      <c r="AA45" s="74" t="s">
        <v>487</v>
      </c>
    </row>
    <row r="46" spans="2:31" ht="27" customHeight="1" thickBot="1" x14ac:dyDescent="0.6">
      <c r="B46" s="230" t="s">
        <v>5</v>
      </c>
      <c r="C46" s="230"/>
      <c r="D46" s="294">
        <v>20</v>
      </c>
      <c r="E46" s="295">
        <v>20</v>
      </c>
      <c r="F46" s="295">
        <v>20</v>
      </c>
      <c r="G46" s="295">
        <v>26</v>
      </c>
      <c r="H46" s="295">
        <v>26</v>
      </c>
      <c r="I46" s="295"/>
      <c r="J46" s="295"/>
      <c r="K46" s="295"/>
      <c r="L46" s="295"/>
      <c r="M46" s="295"/>
      <c r="N46" s="295"/>
      <c r="O46" s="295"/>
      <c r="P46" s="295"/>
      <c r="Q46" s="295"/>
      <c r="R46" s="295"/>
      <c r="S46" s="295"/>
      <c r="T46" s="295"/>
      <c r="U46" s="295"/>
      <c r="V46" s="295"/>
      <c r="W46" s="295"/>
      <c r="X46" s="176">
        <f>IF(AC63=0,"",X51)</f>
        <v>112</v>
      </c>
      <c r="Y46" s="175" t="str">
        <f>IF(AD63=0,"",Y51)</f>
        <v/>
      </c>
      <c r="Z46" s="18"/>
    </row>
    <row r="47" spans="2:31" ht="27" customHeight="1" x14ac:dyDescent="0.55000000000000004">
      <c r="B47" s="249" t="s">
        <v>13</v>
      </c>
      <c r="C47" s="249"/>
      <c r="D47" s="28">
        <f t="shared" ref="D47:W47" si="3">IF(D40="高効率換気設備",IF(ISERROR(D46/D45),"",D46/D45),"---")</f>
        <v>3.3333333333333333E-2</v>
      </c>
      <c r="E47" s="29">
        <f t="shared" si="3"/>
        <v>3.3333333333333333E-2</v>
      </c>
      <c r="F47" s="29">
        <f t="shared" si="3"/>
        <v>3.3333333333333333E-2</v>
      </c>
      <c r="G47" s="29">
        <f t="shared" si="3"/>
        <v>2.4074074074074074E-2</v>
      </c>
      <c r="H47" s="29">
        <f t="shared" si="3"/>
        <v>2.4074074074074074E-2</v>
      </c>
      <c r="I47" s="29" t="str">
        <f t="shared" si="3"/>
        <v>---</v>
      </c>
      <c r="J47" s="29" t="str">
        <f t="shared" si="3"/>
        <v>---</v>
      </c>
      <c r="K47" s="29" t="str">
        <f t="shared" si="3"/>
        <v>---</v>
      </c>
      <c r="L47" s="29" t="str">
        <f t="shared" si="3"/>
        <v>---</v>
      </c>
      <c r="M47" s="29" t="str">
        <f t="shared" si="3"/>
        <v>---</v>
      </c>
      <c r="N47" s="29" t="str">
        <f t="shared" si="3"/>
        <v>---</v>
      </c>
      <c r="O47" s="29" t="str">
        <f t="shared" si="3"/>
        <v>---</v>
      </c>
      <c r="P47" s="29" t="str">
        <f t="shared" si="3"/>
        <v>---</v>
      </c>
      <c r="Q47" s="29" t="str">
        <f t="shared" si="3"/>
        <v>---</v>
      </c>
      <c r="R47" s="29" t="str">
        <f t="shared" si="3"/>
        <v>---</v>
      </c>
      <c r="S47" s="29" t="str">
        <f t="shared" si="3"/>
        <v>---</v>
      </c>
      <c r="T47" s="29" t="str">
        <f t="shared" si="3"/>
        <v>---</v>
      </c>
      <c r="U47" s="29" t="str">
        <f t="shared" si="3"/>
        <v>---</v>
      </c>
      <c r="V47" s="29" t="str">
        <f t="shared" si="3"/>
        <v>---</v>
      </c>
      <c r="W47" s="29" t="str">
        <f t="shared" si="3"/>
        <v>---</v>
      </c>
      <c r="X47" s="184" t="s">
        <v>10</v>
      </c>
      <c r="Y47" s="185" t="s">
        <v>10</v>
      </c>
      <c r="Z47" s="18"/>
    </row>
    <row r="48" spans="2:31" ht="27" customHeight="1" x14ac:dyDescent="0.55000000000000004">
      <c r="B48" s="42" t="s">
        <v>95</v>
      </c>
      <c r="C48" s="199" t="s">
        <v>7</v>
      </c>
      <c r="D48" s="299"/>
      <c r="E48" s="300"/>
      <c r="F48" s="300"/>
      <c r="G48" s="300"/>
      <c r="H48" s="300"/>
      <c r="I48" s="300"/>
      <c r="J48" s="300"/>
      <c r="K48" s="300"/>
      <c r="L48" s="300"/>
      <c r="M48" s="300"/>
      <c r="N48" s="300"/>
      <c r="O48" s="300"/>
      <c r="P48" s="300"/>
      <c r="Q48" s="300"/>
      <c r="R48" s="300"/>
      <c r="S48" s="300"/>
      <c r="T48" s="300"/>
      <c r="U48" s="300"/>
      <c r="V48" s="300"/>
      <c r="W48" s="300"/>
      <c r="X48" s="182" t="s">
        <v>10</v>
      </c>
      <c r="Y48" s="183" t="s">
        <v>10</v>
      </c>
      <c r="Z48" s="18"/>
      <c r="AB48" s="74" t="s">
        <v>440</v>
      </c>
    </row>
    <row r="49" spans="2:31" ht="27" customHeight="1" x14ac:dyDescent="0.55000000000000004">
      <c r="B49" s="43" t="s">
        <v>12</v>
      </c>
      <c r="C49" s="199" t="s">
        <v>8</v>
      </c>
      <c r="D49" s="299"/>
      <c r="E49" s="300"/>
      <c r="F49" s="300"/>
      <c r="G49" s="300"/>
      <c r="H49" s="300"/>
      <c r="I49" s="300"/>
      <c r="J49" s="300"/>
      <c r="K49" s="300"/>
      <c r="L49" s="300"/>
      <c r="M49" s="300"/>
      <c r="N49" s="300"/>
      <c r="O49" s="300"/>
      <c r="P49" s="300"/>
      <c r="Q49" s="300"/>
      <c r="R49" s="300"/>
      <c r="S49" s="300"/>
      <c r="T49" s="300"/>
      <c r="U49" s="300"/>
      <c r="V49" s="300"/>
      <c r="W49" s="300"/>
      <c r="X49" s="182" t="s">
        <v>10</v>
      </c>
      <c r="Y49" s="183" t="s">
        <v>10</v>
      </c>
      <c r="Z49" s="18"/>
    </row>
    <row r="50" spans="2:31" ht="27" hidden="1" customHeight="1" x14ac:dyDescent="0.55000000000000004">
      <c r="B50" s="246" t="s">
        <v>481</v>
      </c>
      <c r="C50" s="246"/>
      <c r="D50" s="292">
        <f>D44*D45</f>
        <v>600</v>
      </c>
      <c r="E50" s="292">
        <f t="shared" ref="E50:W50" si="4">E44*E45</f>
        <v>600</v>
      </c>
      <c r="F50" s="292">
        <f t="shared" si="4"/>
        <v>600</v>
      </c>
      <c r="G50" s="292">
        <f t="shared" si="4"/>
        <v>1080</v>
      </c>
      <c r="H50" s="292">
        <f t="shared" si="4"/>
        <v>1080</v>
      </c>
      <c r="I50" s="292">
        <f t="shared" si="4"/>
        <v>0</v>
      </c>
      <c r="J50" s="292">
        <f t="shared" si="4"/>
        <v>0</v>
      </c>
      <c r="K50" s="292">
        <f t="shared" si="4"/>
        <v>0</v>
      </c>
      <c r="L50" s="292">
        <f t="shared" si="4"/>
        <v>0</v>
      </c>
      <c r="M50" s="292">
        <f t="shared" si="4"/>
        <v>0</v>
      </c>
      <c r="N50" s="292">
        <f t="shared" si="4"/>
        <v>0</v>
      </c>
      <c r="O50" s="292">
        <f t="shared" si="4"/>
        <v>0</v>
      </c>
      <c r="P50" s="292">
        <f t="shared" si="4"/>
        <v>0</v>
      </c>
      <c r="Q50" s="292">
        <f t="shared" si="4"/>
        <v>0</v>
      </c>
      <c r="R50" s="292">
        <f t="shared" si="4"/>
        <v>0</v>
      </c>
      <c r="S50" s="292">
        <f t="shared" si="4"/>
        <v>0</v>
      </c>
      <c r="T50" s="292">
        <f t="shared" si="4"/>
        <v>0</v>
      </c>
      <c r="U50" s="292">
        <f t="shared" si="4"/>
        <v>0</v>
      </c>
      <c r="V50" s="292">
        <f t="shared" si="4"/>
        <v>0</v>
      </c>
      <c r="W50" s="292">
        <f t="shared" si="4"/>
        <v>0</v>
      </c>
      <c r="X50" s="182">
        <f>IF(SUMIF($D$41:$W$41,"排気",$D$50:$W$50)=0,0,SUMIF($D$41:$W$41,"排気",$D$50:$W$50))</f>
        <v>3960</v>
      </c>
      <c r="Y50" s="183">
        <f>IF(SUMIF($D$41:$W$41,"給気",$D$50:$W$50)=0,0,SUMIF($D$41:$W$41,"給気",$D$50:$W$50))</f>
        <v>0</v>
      </c>
    </row>
    <row r="51" spans="2:31" ht="27" hidden="1" customHeight="1" thickBot="1" x14ac:dyDescent="0.6">
      <c r="B51" s="230" t="s">
        <v>482</v>
      </c>
      <c r="C51" s="230"/>
      <c r="D51" s="292">
        <f>D44*D46</f>
        <v>20</v>
      </c>
      <c r="E51" s="292">
        <f t="shared" ref="E51:W51" si="5">E44*E46</f>
        <v>20</v>
      </c>
      <c r="F51" s="292">
        <f t="shared" si="5"/>
        <v>20</v>
      </c>
      <c r="G51" s="292">
        <f t="shared" si="5"/>
        <v>26</v>
      </c>
      <c r="H51" s="292">
        <f t="shared" si="5"/>
        <v>26</v>
      </c>
      <c r="I51" s="292">
        <f t="shared" si="5"/>
        <v>0</v>
      </c>
      <c r="J51" s="292">
        <f t="shared" si="5"/>
        <v>0</v>
      </c>
      <c r="K51" s="292">
        <f t="shared" si="5"/>
        <v>0</v>
      </c>
      <c r="L51" s="292">
        <f t="shared" si="5"/>
        <v>0</v>
      </c>
      <c r="M51" s="292">
        <f t="shared" si="5"/>
        <v>0</v>
      </c>
      <c r="N51" s="292">
        <f t="shared" si="5"/>
        <v>0</v>
      </c>
      <c r="O51" s="292">
        <f t="shared" si="5"/>
        <v>0</v>
      </c>
      <c r="P51" s="292">
        <f t="shared" si="5"/>
        <v>0</v>
      </c>
      <c r="Q51" s="292">
        <f t="shared" si="5"/>
        <v>0</v>
      </c>
      <c r="R51" s="292">
        <f t="shared" si="5"/>
        <v>0</v>
      </c>
      <c r="S51" s="292">
        <f t="shared" si="5"/>
        <v>0</v>
      </c>
      <c r="T51" s="292">
        <f t="shared" si="5"/>
        <v>0</v>
      </c>
      <c r="U51" s="292">
        <f t="shared" si="5"/>
        <v>0</v>
      </c>
      <c r="V51" s="292">
        <f t="shared" si="5"/>
        <v>0</v>
      </c>
      <c r="W51" s="292">
        <f t="shared" si="5"/>
        <v>0</v>
      </c>
      <c r="X51" s="178">
        <f>IF(SUMIF($D$41:$W$41,"排気",$D$51:$W$51)=0,0,SUMIF($D$41:$W$41,"排気",$D$51:$W$51))</f>
        <v>112</v>
      </c>
      <c r="Y51" s="179">
        <f>IF(SUMIF($D$41:$W$41,"給気",$D$51:$W$51)=0,0,SUMIF($D$41:$W$41,"給気",$D$51:$W$51))</f>
        <v>0</v>
      </c>
    </row>
    <row r="52" spans="2:31" hidden="1" x14ac:dyDescent="0.55000000000000004">
      <c r="B52" s="109" t="s">
        <v>267</v>
      </c>
      <c r="C52" s="109"/>
      <c r="D52" s="109">
        <f t="shared" ref="D52:W52" si="6">IF(D$40&lt;&gt;"機械換気（換気扇等）",2,IF(AND(D$40="機械換気（換気扇等）",D$42="継続"),0,1))</f>
        <v>2</v>
      </c>
      <c r="E52" s="109">
        <f t="shared" si="6"/>
        <v>2</v>
      </c>
      <c r="F52" s="109">
        <f t="shared" si="6"/>
        <v>2</v>
      </c>
      <c r="G52" s="109">
        <f t="shared" si="6"/>
        <v>2</v>
      </c>
      <c r="H52" s="109">
        <f t="shared" si="6"/>
        <v>2</v>
      </c>
      <c r="I52" s="109">
        <f t="shared" si="6"/>
        <v>2</v>
      </c>
      <c r="J52" s="109">
        <f t="shared" si="6"/>
        <v>2</v>
      </c>
      <c r="K52" s="109">
        <f t="shared" si="6"/>
        <v>2</v>
      </c>
      <c r="L52" s="109">
        <f t="shared" si="6"/>
        <v>2</v>
      </c>
      <c r="M52" s="109">
        <f t="shared" si="6"/>
        <v>2</v>
      </c>
      <c r="N52" s="109">
        <f t="shared" si="6"/>
        <v>2</v>
      </c>
      <c r="O52" s="109">
        <f t="shared" si="6"/>
        <v>2</v>
      </c>
      <c r="P52" s="109">
        <f t="shared" si="6"/>
        <v>2</v>
      </c>
      <c r="Q52" s="109">
        <f>IF(Q$40&lt;&gt;"機械換気（換気扇等）",2,IF(AND(Q$40="機械換気（換気扇等）",Q$42="継続"),0,1))</f>
        <v>2</v>
      </c>
      <c r="R52" s="109">
        <f>IF(R$40&lt;&gt;"機械換気（換気扇等）",2,IF(AND(R$40="機械換気（換気扇等）",R$42="継続"),0,1))</f>
        <v>2</v>
      </c>
      <c r="S52" s="109">
        <f t="shared" si="6"/>
        <v>2</v>
      </c>
      <c r="T52" s="109">
        <f t="shared" si="6"/>
        <v>2</v>
      </c>
      <c r="U52" s="109">
        <f t="shared" si="6"/>
        <v>2</v>
      </c>
      <c r="V52" s="109">
        <f t="shared" si="6"/>
        <v>2</v>
      </c>
      <c r="W52" s="109">
        <f t="shared" si="6"/>
        <v>2</v>
      </c>
      <c r="X52" s="94" t="str">
        <f>IF(AC52=Y52,"適合","非適合")</f>
        <v>適合</v>
      </c>
      <c r="Y52" s="18">
        <f>COUNTIF($D52:$W52,0)</f>
        <v>0</v>
      </c>
      <c r="Z52" s="155">
        <f>COUNTIF($D52:$W52,1)</f>
        <v>0</v>
      </c>
      <c r="AA52" s="155">
        <f>COUNTIF($D52:$W52,2)</f>
        <v>20</v>
      </c>
      <c r="AC52" s="18">
        <f>COUNTIF($D$40:$W$40,"機械換気（換気扇等）")</f>
        <v>0</v>
      </c>
      <c r="AE52" s="99">
        <v>50</v>
      </c>
    </row>
    <row r="53" spans="2:31" hidden="1" x14ac:dyDescent="0.55000000000000004">
      <c r="B53" s="165" t="s">
        <v>462</v>
      </c>
      <c r="C53" s="165"/>
      <c r="D53" s="165">
        <f>IF(OR(D41="補器（排気）",D41="補器（給気）",D42="継続"),0,IF(D42="新設",1,IF(D42="増設",2,IF(D42="更新",3,9))))</f>
        <v>3</v>
      </c>
      <c r="E53" s="165">
        <f t="shared" ref="E53:W53" si="7">IF(OR(E41="補器（排気）",E41="補器（給気）",E42="継続"),0,IF(E42="新設",1,IF(E42="増設",2,IF(E42="更新",3,9))))</f>
        <v>2</v>
      </c>
      <c r="F53" s="165">
        <f t="shared" si="7"/>
        <v>1</v>
      </c>
      <c r="G53" s="165">
        <f t="shared" si="7"/>
        <v>1</v>
      </c>
      <c r="H53" s="165">
        <f t="shared" si="7"/>
        <v>1</v>
      </c>
      <c r="I53" s="165">
        <f t="shared" si="7"/>
        <v>9</v>
      </c>
      <c r="J53" s="165">
        <f t="shared" si="7"/>
        <v>9</v>
      </c>
      <c r="K53" s="165">
        <f t="shared" si="7"/>
        <v>9</v>
      </c>
      <c r="L53" s="165">
        <f t="shared" si="7"/>
        <v>9</v>
      </c>
      <c r="M53" s="165">
        <f t="shared" si="7"/>
        <v>9</v>
      </c>
      <c r="N53" s="165">
        <f t="shared" si="7"/>
        <v>9</v>
      </c>
      <c r="O53" s="165">
        <f t="shared" si="7"/>
        <v>9</v>
      </c>
      <c r="P53" s="165">
        <f t="shared" si="7"/>
        <v>9</v>
      </c>
      <c r="Q53" s="165">
        <f t="shared" si="7"/>
        <v>9</v>
      </c>
      <c r="R53" s="165">
        <f t="shared" si="7"/>
        <v>9</v>
      </c>
      <c r="S53" s="165">
        <f t="shared" si="7"/>
        <v>9</v>
      </c>
      <c r="T53" s="165">
        <f t="shared" si="7"/>
        <v>9</v>
      </c>
      <c r="U53" s="165">
        <f t="shared" si="7"/>
        <v>9</v>
      </c>
      <c r="V53" s="165">
        <f t="shared" si="7"/>
        <v>9</v>
      </c>
      <c r="W53" s="165">
        <f t="shared" si="7"/>
        <v>9</v>
      </c>
      <c r="X53" s="94" t="str">
        <f>IF(Y53=AD53,"非適合","適合")</f>
        <v>適合</v>
      </c>
      <c r="Y53" s="18">
        <f>COUNTIF($D53:$W53,0)</f>
        <v>0</v>
      </c>
      <c r="Z53" s="155">
        <f>COUNTIF($D53:$W53,1)</f>
        <v>3</v>
      </c>
      <c r="AA53" s="155">
        <f>COUNTIF($D53:$W53,2)</f>
        <v>1</v>
      </c>
      <c r="AB53" s="155">
        <f>COUNTIF($D53:$W53,3)</f>
        <v>1</v>
      </c>
      <c r="AC53" s="155">
        <f>COUNTIF($D53:$W53,9)</f>
        <v>15</v>
      </c>
      <c r="AD53" s="18">
        <f>20-COUNTIF($D$40:$W$40,"")</f>
        <v>5</v>
      </c>
      <c r="AE53" s="99">
        <v>52</v>
      </c>
    </row>
    <row r="54" spans="2:31" hidden="1" x14ac:dyDescent="0.55000000000000004">
      <c r="B54" s="96" t="s">
        <v>260</v>
      </c>
      <c r="C54" s="94"/>
      <c r="D54" s="94">
        <f t="shared" ref="D54:W54" si="8">IF(D47="---",2,IF(AND(D40="高効率換気設備",D47&lt;=0.4),0,1))</f>
        <v>0</v>
      </c>
      <c r="E54" s="94">
        <f t="shared" si="8"/>
        <v>0</v>
      </c>
      <c r="F54" s="94">
        <f t="shared" si="8"/>
        <v>0</v>
      </c>
      <c r="G54" s="94">
        <f t="shared" si="8"/>
        <v>0</v>
      </c>
      <c r="H54" s="94">
        <f t="shared" si="8"/>
        <v>0</v>
      </c>
      <c r="I54" s="94">
        <f t="shared" si="8"/>
        <v>2</v>
      </c>
      <c r="J54" s="94">
        <f t="shared" si="8"/>
        <v>2</v>
      </c>
      <c r="K54" s="94">
        <f t="shared" si="8"/>
        <v>2</v>
      </c>
      <c r="L54" s="94">
        <f t="shared" si="8"/>
        <v>2</v>
      </c>
      <c r="M54" s="94">
        <f t="shared" si="8"/>
        <v>2</v>
      </c>
      <c r="N54" s="94">
        <f t="shared" si="8"/>
        <v>2</v>
      </c>
      <c r="O54" s="94">
        <f t="shared" si="8"/>
        <v>2</v>
      </c>
      <c r="P54" s="94">
        <f t="shared" si="8"/>
        <v>2</v>
      </c>
      <c r="Q54" s="94">
        <f t="shared" si="8"/>
        <v>2</v>
      </c>
      <c r="R54" s="94">
        <f t="shared" si="8"/>
        <v>2</v>
      </c>
      <c r="S54" s="94">
        <f t="shared" si="8"/>
        <v>2</v>
      </c>
      <c r="T54" s="94">
        <f t="shared" si="8"/>
        <v>2</v>
      </c>
      <c r="U54" s="94">
        <f t="shared" si="8"/>
        <v>2</v>
      </c>
      <c r="V54" s="94">
        <f t="shared" si="8"/>
        <v>2</v>
      </c>
      <c r="W54" s="94">
        <f t="shared" si="8"/>
        <v>2</v>
      </c>
      <c r="X54" s="94" t="str">
        <f>IF(AC54=Y54,"適合","非適合")</f>
        <v>適合</v>
      </c>
      <c r="Y54" s="18">
        <f>COUNTIF($D54:$W54,0)</f>
        <v>5</v>
      </c>
      <c r="Z54" s="155">
        <f>COUNTIF($D54:$W54,1)</f>
        <v>0</v>
      </c>
      <c r="AA54" s="155">
        <f>COUNTIF($D54:$W54,2)</f>
        <v>15</v>
      </c>
      <c r="AB54" s="155">
        <f>COUNTIF($D$47:$W$47,"---")</f>
        <v>15</v>
      </c>
      <c r="AC54" s="18">
        <f>COUNTIF($D$40:$W$40,"高効率換気設備")</f>
        <v>5</v>
      </c>
      <c r="AE54" s="99">
        <v>53</v>
      </c>
    </row>
    <row r="55" spans="2:31" hidden="1" x14ac:dyDescent="0.55000000000000004">
      <c r="B55" s="94" t="s">
        <v>245</v>
      </c>
      <c r="C55" s="94"/>
      <c r="D55" s="94">
        <f>IF(D$40&lt;&gt;"換気・空調一体型設備",2,IF(D$40="換気・空調一体型設備",0,1))</f>
        <v>2</v>
      </c>
      <c r="E55" s="94">
        <f t="shared" ref="E55:W55" si="9">IF(E$40&lt;&gt;"換気・空調一体型設備",2,IF(E$40="換気・空調一体型設備",0,1))</f>
        <v>2</v>
      </c>
      <c r="F55" s="94">
        <f t="shared" si="9"/>
        <v>2</v>
      </c>
      <c r="G55" s="94">
        <f t="shared" si="9"/>
        <v>2</v>
      </c>
      <c r="H55" s="94">
        <f t="shared" si="9"/>
        <v>2</v>
      </c>
      <c r="I55" s="94">
        <f t="shared" si="9"/>
        <v>2</v>
      </c>
      <c r="J55" s="94">
        <f t="shared" si="9"/>
        <v>2</v>
      </c>
      <c r="K55" s="94">
        <f t="shared" si="9"/>
        <v>2</v>
      </c>
      <c r="L55" s="94">
        <f t="shared" si="9"/>
        <v>2</v>
      </c>
      <c r="M55" s="94">
        <f t="shared" si="9"/>
        <v>2</v>
      </c>
      <c r="N55" s="94">
        <f t="shared" si="9"/>
        <v>2</v>
      </c>
      <c r="O55" s="94">
        <f t="shared" si="9"/>
        <v>2</v>
      </c>
      <c r="P55" s="94">
        <f t="shared" si="9"/>
        <v>2</v>
      </c>
      <c r="Q55" s="94">
        <f t="shared" si="9"/>
        <v>2</v>
      </c>
      <c r="R55" s="94">
        <f t="shared" si="9"/>
        <v>2</v>
      </c>
      <c r="S55" s="94">
        <f t="shared" si="9"/>
        <v>2</v>
      </c>
      <c r="T55" s="94">
        <f t="shared" si="9"/>
        <v>2</v>
      </c>
      <c r="U55" s="94">
        <f t="shared" si="9"/>
        <v>2</v>
      </c>
      <c r="V55" s="94">
        <f t="shared" si="9"/>
        <v>2</v>
      </c>
      <c r="W55" s="94">
        <f t="shared" si="9"/>
        <v>2</v>
      </c>
      <c r="X55" s="94" t="str">
        <f>IF(AC55=Y55,"適合","非適合")</f>
        <v>適合</v>
      </c>
      <c r="Y55" s="18">
        <f>COUNTIF($D55:$W55,0)</f>
        <v>0</v>
      </c>
      <c r="Z55" s="155">
        <f>COUNTIF($D55:$W55,1)</f>
        <v>0</v>
      </c>
      <c r="AA55" s="155">
        <f>COUNTIF($D55:$W55,2)</f>
        <v>20</v>
      </c>
      <c r="AC55" s="18">
        <f>COUNTIF($D$40:$W$40,"換気・空調一体型設備")</f>
        <v>0</v>
      </c>
      <c r="AE55" s="99">
        <v>54</v>
      </c>
    </row>
    <row r="56" spans="2:31" hidden="1" x14ac:dyDescent="0.55000000000000004">
      <c r="B56" s="94" t="s">
        <v>274</v>
      </c>
      <c r="C56" s="94"/>
      <c r="D56" s="94">
        <f t="shared" ref="D56:W56" si="10">IF(AND(D55=0,OR(D42="新設",D42="増設",D42="更新")),0,2)</f>
        <v>2</v>
      </c>
      <c r="E56" s="94">
        <f t="shared" si="10"/>
        <v>2</v>
      </c>
      <c r="F56" s="94">
        <f t="shared" si="10"/>
        <v>2</v>
      </c>
      <c r="G56" s="94">
        <f t="shared" si="10"/>
        <v>2</v>
      </c>
      <c r="H56" s="94">
        <f t="shared" si="10"/>
        <v>2</v>
      </c>
      <c r="I56" s="94">
        <f t="shared" si="10"/>
        <v>2</v>
      </c>
      <c r="J56" s="94">
        <f t="shared" si="10"/>
        <v>2</v>
      </c>
      <c r="K56" s="94">
        <f t="shared" si="10"/>
        <v>2</v>
      </c>
      <c r="L56" s="94">
        <f t="shared" si="10"/>
        <v>2</v>
      </c>
      <c r="M56" s="94">
        <f t="shared" si="10"/>
        <v>2</v>
      </c>
      <c r="N56" s="94">
        <f t="shared" si="10"/>
        <v>2</v>
      </c>
      <c r="O56" s="94">
        <f t="shared" si="10"/>
        <v>2</v>
      </c>
      <c r="P56" s="94">
        <f t="shared" si="10"/>
        <v>2</v>
      </c>
      <c r="Q56" s="94">
        <f t="shared" si="10"/>
        <v>2</v>
      </c>
      <c r="R56" s="94">
        <f t="shared" si="10"/>
        <v>2</v>
      </c>
      <c r="S56" s="94">
        <f t="shared" si="10"/>
        <v>2</v>
      </c>
      <c r="T56" s="94">
        <f t="shared" si="10"/>
        <v>2</v>
      </c>
      <c r="U56" s="94">
        <f t="shared" si="10"/>
        <v>2</v>
      </c>
      <c r="V56" s="94">
        <f t="shared" si="10"/>
        <v>2</v>
      </c>
      <c r="W56" s="94">
        <f t="shared" si="10"/>
        <v>2</v>
      </c>
      <c r="X56" s="94"/>
      <c r="AE56" s="99">
        <v>55</v>
      </c>
    </row>
    <row r="57" spans="2:31" hidden="1" x14ac:dyDescent="0.55000000000000004">
      <c r="B57" s="109" t="s">
        <v>268</v>
      </c>
      <c r="C57" s="109"/>
      <c r="D57" s="109">
        <f>IF(AND(D$40&lt;&gt;"熱交換型換気設備",D$40&lt;&gt;"顕熱交換器"),2,IF(AND(OR(D$40="熱交換型換気設備",D$40="顕熱交換器"),OR(D$42="継続",D$43="工場",D$43="倉庫")),0,1))</f>
        <v>2</v>
      </c>
      <c r="E57" s="109">
        <f t="shared" ref="E57:W57" si="11">IF(AND(E$40&lt;&gt;"熱交換型換気設備",E$40&lt;&gt;"顕熱交換器"),2,IF(AND(OR(E$40="熱交換型換気設備",E$40="顕熱交換器"),OR(E$42="継続",E$43="工場",E$43="倉庫")),0,1))</f>
        <v>2</v>
      </c>
      <c r="F57" s="109">
        <f t="shared" si="11"/>
        <v>2</v>
      </c>
      <c r="G57" s="109">
        <f t="shared" si="11"/>
        <v>2</v>
      </c>
      <c r="H57" s="109">
        <f t="shared" si="11"/>
        <v>2</v>
      </c>
      <c r="I57" s="109">
        <f t="shared" si="11"/>
        <v>2</v>
      </c>
      <c r="J57" s="109">
        <f t="shared" si="11"/>
        <v>2</v>
      </c>
      <c r="K57" s="109">
        <f t="shared" si="11"/>
        <v>2</v>
      </c>
      <c r="L57" s="109">
        <f t="shared" si="11"/>
        <v>2</v>
      </c>
      <c r="M57" s="109">
        <f t="shared" si="11"/>
        <v>2</v>
      </c>
      <c r="N57" s="109">
        <f t="shared" si="11"/>
        <v>2</v>
      </c>
      <c r="O57" s="109">
        <f t="shared" si="11"/>
        <v>2</v>
      </c>
      <c r="P57" s="109">
        <f t="shared" si="11"/>
        <v>2</v>
      </c>
      <c r="Q57" s="109">
        <f t="shared" si="11"/>
        <v>2</v>
      </c>
      <c r="R57" s="109">
        <f t="shared" si="11"/>
        <v>2</v>
      </c>
      <c r="S57" s="109">
        <f t="shared" si="11"/>
        <v>2</v>
      </c>
      <c r="T57" s="109">
        <f t="shared" si="11"/>
        <v>2</v>
      </c>
      <c r="U57" s="109">
        <f t="shared" si="11"/>
        <v>2</v>
      </c>
      <c r="V57" s="109">
        <f t="shared" si="11"/>
        <v>2</v>
      </c>
      <c r="W57" s="109">
        <f t="shared" si="11"/>
        <v>2</v>
      </c>
      <c r="X57" s="94" t="str">
        <f>IF(AB57+AC57=Y57,"適合","非適合")</f>
        <v>適合</v>
      </c>
      <c r="Y57" s="18">
        <f t="shared" ref="Y57:Y62" si="12">COUNTIF($D57:$W57,0)</f>
        <v>0</v>
      </c>
      <c r="Z57" s="155">
        <f t="shared" ref="Z57:Z62" si="13">COUNTIF($D57:$W57,1)</f>
        <v>0</v>
      </c>
      <c r="AA57" s="155">
        <f t="shared" ref="AA57:AA62" si="14">COUNTIF($D57:$W57,2)</f>
        <v>20</v>
      </c>
      <c r="AB57" s="155">
        <f>COUNTIF($D$40:$W$40,"熱交換型換気設備")</f>
        <v>0</v>
      </c>
      <c r="AC57" s="18">
        <f>COUNTIF($D$40:$W$40,"顕熱交換器")</f>
        <v>0</v>
      </c>
      <c r="AE57" s="99">
        <v>56</v>
      </c>
    </row>
    <row r="58" spans="2:31" hidden="1" x14ac:dyDescent="0.55000000000000004">
      <c r="B58" s="94" t="s">
        <v>247</v>
      </c>
      <c r="C58" s="94"/>
      <c r="D58" s="94">
        <f t="shared" ref="D58:W59" si="15">IF(D$40&lt;&gt;"顕熱交換器",2,IF(OR(D$42="継続",AND(D$40="顕熱交換器",OR(D$43="工場",D$43="倉庫",D$43="私学学校"),D48&gt;=40)),0,1))</f>
        <v>2</v>
      </c>
      <c r="E58" s="94">
        <f t="shared" si="15"/>
        <v>2</v>
      </c>
      <c r="F58" s="94">
        <f t="shared" si="15"/>
        <v>2</v>
      </c>
      <c r="G58" s="94">
        <f t="shared" si="15"/>
        <v>2</v>
      </c>
      <c r="H58" s="94">
        <f t="shared" si="15"/>
        <v>2</v>
      </c>
      <c r="I58" s="94">
        <f t="shared" si="15"/>
        <v>2</v>
      </c>
      <c r="J58" s="94">
        <f t="shared" si="15"/>
        <v>2</v>
      </c>
      <c r="K58" s="94">
        <f t="shared" si="15"/>
        <v>2</v>
      </c>
      <c r="L58" s="94">
        <f t="shared" si="15"/>
        <v>2</v>
      </c>
      <c r="M58" s="94">
        <f t="shared" si="15"/>
        <v>2</v>
      </c>
      <c r="N58" s="94">
        <f t="shared" si="15"/>
        <v>2</v>
      </c>
      <c r="O58" s="94">
        <f t="shared" si="15"/>
        <v>2</v>
      </c>
      <c r="P58" s="94">
        <f t="shared" si="15"/>
        <v>2</v>
      </c>
      <c r="Q58" s="94">
        <f t="shared" si="15"/>
        <v>2</v>
      </c>
      <c r="R58" s="94">
        <f t="shared" si="15"/>
        <v>2</v>
      </c>
      <c r="S58" s="94">
        <f t="shared" si="15"/>
        <v>2</v>
      </c>
      <c r="T58" s="94">
        <f t="shared" si="15"/>
        <v>2</v>
      </c>
      <c r="U58" s="94">
        <f t="shared" si="15"/>
        <v>2</v>
      </c>
      <c r="V58" s="94">
        <f t="shared" si="15"/>
        <v>2</v>
      </c>
      <c r="W58" s="94">
        <f t="shared" si="15"/>
        <v>2</v>
      </c>
      <c r="X58" s="94"/>
      <c r="Y58" s="18">
        <f t="shared" si="12"/>
        <v>0</v>
      </c>
      <c r="Z58" s="155">
        <f t="shared" si="13"/>
        <v>0</v>
      </c>
      <c r="AA58" s="155">
        <f t="shared" si="14"/>
        <v>20</v>
      </c>
      <c r="AC58" s="18">
        <f>COUNTIF($D$40:$W$40,"顕熱交換器")</f>
        <v>0</v>
      </c>
      <c r="AE58" s="99">
        <v>57</v>
      </c>
    </row>
    <row r="59" spans="2:31" hidden="1" x14ac:dyDescent="0.55000000000000004">
      <c r="B59" s="94" t="s">
        <v>248</v>
      </c>
      <c r="C59" s="94"/>
      <c r="D59" s="94">
        <f t="shared" si="15"/>
        <v>2</v>
      </c>
      <c r="E59" s="94">
        <f t="shared" si="15"/>
        <v>2</v>
      </c>
      <c r="F59" s="94">
        <f t="shared" si="15"/>
        <v>2</v>
      </c>
      <c r="G59" s="94">
        <f t="shared" si="15"/>
        <v>2</v>
      </c>
      <c r="H59" s="94">
        <f t="shared" si="15"/>
        <v>2</v>
      </c>
      <c r="I59" s="94">
        <f t="shared" si="15"/>
        <v>2</v>
      </c>
      <c r="J59" s="94">
        <f t="shared" si="15"/>
        <v>2</v>
      </c>
      <c r="K59" s="94">
        <f t="shared" si="15"/>
        <v>2</v>
      </c>
      <c r="L59" s="94">
        <f t="shared" si="15"/>
        <v>2</v>
      </c>
      <c r="M59" s="94">
        <f t="shared" si="15"/>
        <v>2</v>
      </c>
      <c r="N59" s="94">
        <f t="shared" si="15"/>
        <v>2</v>
      </c>
      <c r="O59" s="94">
        <f t="shared" si="15"/>
        <v>2</v>
      </c>
      <c r="P59" s="94">
        <f t="shared" si="15"/>
        <v>2</v>
      </c>
      <c r="Q59" s="94">
        <f t="shared" si="15"/>
        <v>2</v>
      </c>
      <c r="R59" s="94">
        <f t="shared" si="15"/>
        <v>2</v>
      </c>
      <c r="S59" s="94">
        <f t="shared" si="15"/>
        <v>2</v>
      </c>
      <c r="T59" s="94">
        <f t="shared" si="15"/>
        <v>2</v>
      </c>
      <c r="U59" s="94">
        <f t="shared" si="15"/>
        <v>2</v>
      </c>
      <c r="V59" s="94">
        <f t="shared" si="15"/>
        <v>2</v>
      </c>
      <c r="W59" s="94">
        <f t="shared" si="15"/>
        <v>2</v>
      </c>
      <c r="X59" s="94" t="str">
        <f>IF(AND(AC58=Y58,AC58=Y59),"適合","非適合")</f>
        <v>適合</v>
      </c>
      <c r="Y59" s="18">
        <f t="shared" si="12"/>
        <v>0</v>
      </c>
      <c r="Z59" s="155">
        <f t="shared" si="13"/>
        <v>0</v>
      </c>
      <c r="AA59" s="155">
        <f t="shared" si="14"/>
        <v>20</v>
      </c>
      <c r="AE59" s="99">
        <v>58</v>
      </c>
    </row>
    <row r="60" spans="2:31" hidden="1" x14ac:dyDescent="0.55000000000000004">
      <c r="B60" s="96" t="s">
        <v>243</v>
      </c>
      <c r="C60" s="94"/>
      <c r="D60" s="94">
        <f t="shared" ref="D60:W61" si="16">IF(D$40&lt;&gt;"熱交換型換気設備",2,IF(OR(D$42="継続",AND(D$40="熱交換型換気設備",OR(D$43="工場",D$43="倉庫",D$43="私学学校"),D48&gt;=40)),0,1))</f>
        <v>2</v>
      </c>
      <c r="E60" s="94">
        <f t="shared" si="16"/>
        <v>2</v>
      </c>
      <c r="F60" s="94">
        <f t="shared" si="16"/>
        <v>2</v>
      </c>
      <c r="G60" s="94">
        <f t="shared" si="16"/>
        <v>2</v>
      </c>
      <c r="H60" s="94">
        <f t="shared" si="16"/>
        <v>2</v>
      </c>
      <c r="I60" s="94">
        <f t="shared" si="16"/>
        <v>2</v>
      </c>
      <c r="J60" s="94">
        <f t="shared" si="16"/>
        <v>2</v>
      </c>
      <c r="K60" s="94">
        <f t="shared" si="16"/>
        <v>2</v>
      </c>
      <c r="L60" s="94">
        <f t="shared" si="16"/>
        <v>2</v>
      </c>
      <c r="M60" s="94">
        <f t="shared" si="16"/>
        <v>2</v>
      </c>
      <c r="N60" s="94">
        <f t="shared" si="16"/>
        <v>2</v>
      </c>
      <c r="O60" s="94">
        <f t="shared" si="16"/>
        <v>2</v>
      </c>
      <c r="P60" s="94">
        <f t="shared" si="16"/>
        <v>2</v>
      </c>
      <c r="Q60" s="94">
        <f t="shared" si="16"/>
        <v>2</v>
      </c>
      <c r="R60" s="94">
        <f t="shared" si="16"/>
        <v>2</v>
      </c>
      <c r="S60" s="94">
        <f t="shared" si="16"/>
        <v>2</v>
      </c>
      <c r="T60" s="94">
        <f t="shared" si="16"/>
        <v>2</v>
      </c>
      <c r="U60" s="94">
        <f t="shared" si="16"/>
        <v>2</v>
      </c>
      <c r="V60" s="94">
        <f t="shared" si="16"/>
        <v>2</v>
      </c>
      <c r="W60" s="94">
        <f t="shared" si="16"/>
        <v>2</v>
      </c>
      <c r="X60" s="94"/>
      <c r="Y60" s="18">
        <f t="shared" si="12"/>
        <v>0</v>
      </c>
      <c r="Z60" s="155">
        <f t="shared" si="13"/>
        <v>0</v>
      </c>
      <c r="AA60" s="155">
        <f t="shared" si="14"/>
        <v>20</v>
      </c>
      <c r="AB60" s="155">
        <f>COUNT($D48:$W48)</f>
        <v>0</v>
      </c>
      <c r="AC60" s="18">
        <f>COUNTIF($D$40:$W$40,"熱交換型換気設備")</f>
        <v>0</v>
      </c>
      <c r="AE60" s="99">
        <v>59</v>
      </c>
    </row>
    <row r="61" spans="2:31" hidden="1" x14ac:dyDescent="0.55000000000000004">
      <c r="B61" s="96" t="s">
        <v>244</v>
      </c>
      <c r="C61" s="94"/>
      <c r="D61" s="94">
        <f t="shared" si="16"/>
        <v>2</v>
      </c>
      <c r="E61" s="94">
        <f t="shared" si="16"/>
        <v>2</v>
      </c>
      <c r="F61" s="94">
        <f t="shared" si="16"/>
        <v>2</v>
      </c>
      <c r="G61" s="94">
        <f t="shared" si="16"/>
        <v>2</v>
      </c>
      <c r="H61" s="94">
        <f t="shared" si="16"/>
        <v>2</v>
      </c>
      <c r="I61" s="94">
        <f t="shared" si="16"/>
        <v>2</v>
      </c>
      <c r="J61" s="94">
        <f t="shared" si="16"/>
        <v>2</v>
      </c>
      <c r="K61" s="94">
        <f t="shared" si="16"/>
        <v>2</v>
      </c>
      <c r="L61" s="94">
        <f t="shared" si="16"/>
        <v>2</v>
      </c>
      <c r="M61" s="94">
        <f t="shared" si="16"/>
        <v>2</v>
      </c>
      <c r="N61" s="94">
        <f t="shared" si="16"/>
        <v>2</v>
      </c>
      <c r="O61" s="94">
        <f t="shared" si="16"/>
        <v>2</v>
      </c>
      <c r="P61" s="94">
        <f t="shared" si="16"/>
        <v>2</v>
      </c>
      <c r="Q61" s="94">
        <f t="shared" si="16"/>
        <v>2</v>
      </c>
      <c r="R61" s="94">
        <f t="shared" si="16"/>
        <v>2</v>
      </c>
      <c r="S61" s="94">
        <f t="shared" si="16"/>
        <v>2</v>
      </c>
      <c r="T61" s="94">
        <f t="shared" si="16"/>
        <v>2</v>
      </c>
      <c r="U61" s="94">
        <f t="shared" si="16"/>
        <v>2</v>
      </c>
      <c r="V61" s="94">
        <f t="shared" si="16"/>
        <v>2</v>
      </c>
      <c r="W61" s="94">
        <f t="shared" si="16"/>
        <v>2</v>
      </c>
      <c r="X61" s="94" t="str">
        <f>IF(AND(AC60=Y60,AC60=Y61),"適合","非適合")</f>
        <v>適合</v>
      </c>
      <c r="Y61" s="18">
        <f t="shared" si="12"/>
        <v>0</v>
      </c>
      <c r="Z61" s="155">
        <f t="shared" si="13"/>
        <v>0</v>
      </c>
      <c r="AA61" s="155">
        <f t="shared" si="14"/>
        <v>20</v>
      </c>
      <c r="AB61" s="155">
        <f>COUNT($D49:$W49)</f>
        <v>0</v>
      </c>
      <c r="AE61" s="99">
        <v>60</v>
      </c>
    </row>
    <row r="62" spans="2:31" hidden="1" x14ac:dyDescent="0.55000000000000004">
      <c r="B62" s="96" t="s">
        <v>246</v>
      </c>
      <c r="C62" s="94"/>
      <c r="D62" s="94">
        <f t="shared" ref="D62:W62" si="17">IF(AND(D40="",D41="",D42="",D43="",D44="",D45="",D46="",D48="",D49=""),2,IF(AND(D40&lt;&gt;"",D41&lt;&gt;"",D42&lt;&gt;"",D43&lt;&gt;"",D44&lt;&gt;"",D45&lt;&gt;"",D46&lt;&gt;"",D48&lt;&gt;"",D49&lt;&gt;"",OR(D$40="顕熱交換器",D$40="熱交換型換気設備")),0,IF(AND(D40&lt;&gt;"",D42&lt;&gt;"",D43&lt;&gt;"",D44&lt;&gt;"",D45&lt;&gt;"",D46&lt;&gt;"",D48="",D49="",D$40&lt;&gt;"顕熱交換器",D$40&lt;&gt;"熱交換型換気設備"),0,1)))</f>
        <v>0</v>
      </c>
      <c r="E62" s="94">
        <f t="shared" si="17"/>
        <v>0</v>
      </c>
      <c r="F62" s="94">
        <f t="shared" si="17"/>
        <v>0</v>
      </c>
      <c r="G62" s="94">
        <f t="shared" si="17"/>
        <v>0</v>
      </c>
      <c r="H62" s="94">
        <f t="shared" si="17"/>
        <v>0</v>
      </c>
      <c r="I62" s="94">
        <f t="shared" si="17"/>
        <v>2</v>
      </c>
      <c r="J62" s="94">
        <f t="shared" si="17"/>
        <v>2</v>
      </c>
      <c r="K62" s="94">
        <f t="shared" si="17"/>
        <v>2</v>
      </c>
      <c r="L62" s="94">
        <f t="shared" si="17"/>
        <v>2</v>
      </c>
      <c r="M62" s="94">
        <f t="shared" si="17"/>
        <v>2</v>
      </c>
      <c r="N62" s="94">
        <f t="shared" si="17"/>
        <v>2</v>
      </c>
      <c r="O62" s="94">
        <f t="shared" si="17"/>
        <v>2</v>
      </c>
      <c r="P62" s="94">
        <f t="shared" si="17"/>
        <v>2</v>
      </c>
      <c r="Q62" s="94">
        <f t="shared" si="17"/>
        <v>2</v>
      </c>
      <c r="R62" s="94">
        <f t="shared" si="17"/>
        <v>2</v>
      </c>
      <c r="S62" s="94">
        <f t="shared" si="17"/>
        <v>2</v>
      </c>
      <c r="T62" s="94">
        <f t="shared" si="17"/>
        <v>2</v>
      </c>
      <c r="U62" s="94">
        <f t="shared" si="17"/>
        <v>2</v>
      </c>
      <c r="V62" s="94">
        <f t="shared" si="17"/>
        <v>2</v>
      </c>
      <c r="W62" s="94">
        <f t="shared" si="17"/>
        <v>2</v>
      </c>
      <c r="X62" s="94" t="str">
        <f>IF(OR((AC58+AC60)&lt;&gt;AB60,(AC58+AC60)&lt;&gt;AB61,Z62&gt;0),"入力確認",IF(AC62=Y62,"適合","不適合"))</f>
        <v>適合</v>
      </c>
      <c r="Y62" s="18">
        <f t="shared" si="12"/>
        <v>5</v>
      </c>
      <c r="Z62" s="155">
        <f t="shared" si="13"/>
        <v>0</v>
      </c>
      <c r="AA62" s="155">
        <f t="shared" si="14"/>
        <v>15</v>
      </c>
      <c r="AC62" s="18">
        <f>20-COUNTIF($D$40:$W$40,"")</f>
        <v>5</v>
      </c>
      <c r="AE62" s="99">
        <v>61</v>
      </c>
    </row>
    <row r="63" spans="2:31" hidden="1" x14ac:dyDescent="0.55000000000000004">
      <c r="B63" s="96" t="s">
        <v>496</v>
      </c>
      <c r="C63" s="94"/>
      <c r="D63" s="94"/>
      <c r="E63" s="94"/>
      <c r="F63" s="94"/>
      <c r="G63" s="94"/>
      <c r="H63" s="94"/>
      <c r="I63" s="94"/>
      <c r="J63" s="94"/>
      <c r="K63" s="94"/>
      <c r="L63" s="94"/>
      <c r="M63" s="94"/>
      <c r="N63" s="94"/>
      <c r="O63" s="94"/>
      <c r="P63" s="94"/>
      <c r="Q63" s="193" t="s">
        <v>497</v>
      </c>
      <c r="R63" s="94">
        <f>IF(OR(X34=0,Y34=0),X34+Y34,MAX(X34,Y34))</f>
        <v>500</v>
      </c>
      <c r="S63" s="94"/>
      <c r="T63" s="194" t="s">
        <v>498</v>
      </c>
      <c r="U63" s="94">
        <f>IF(OR(X50=0,Y50=0),X50+Y50,MAX(X50,Y50))</f>
        <v>3960</v>
      </c>
      <c r="V63" s="94"/>
      <c r="W63" s="94"/>
      <c r="X63" s="94" t="str">
        <f>IF(OR(Z63=0,AA63=0),"適合","不適合")</f>
        <v>適合</v>
      </c>
      <c r="Z63" s="155">
        <f>IF(AND(X34=0,X50=0),2,IF(R63&lt;=U63,0,1))</f>
        <v>0</v>
      </c>
      <c r="AA63" s="155">
        <f>IF(AND(Y34=0,Y50=0),2,IF(R63&lt;=U63,0,1))</f>
        <v>2</v>
      </c>
      <c r="AC63" s="18">
        <f>COUNTIF($D$41:$W$41,"排気")</f>
        <v>5</v>
      </c>
      <c r="AD63" s="18">
        <f>COUNTIF($D$41:$W$41,"給気")</f>
        <v>0</v>
      </c>
      <c r="AE63" s="99">
        <v>62</v>
      </c>
    </row>
    <row r="64" spans="2:31" ht="27" customHeight="1" x14ac:dyDescent="0.55000000000000004">
      <c r="B64" s="31" t="s">
        <v>241</v>
      </c>
      <c r="C64" s="32"/>
    </row>
    <row r="65" spans="2:23" x14ac:dyDescent="0.55000000000000004">
      <c r="B65" s="31"/>
      <c r="C65" s="32"/>
      <c r="E65" s="118"/>
    </row>
    <row r="66" spans="2:23" ht="42.75" customHeight="1" x14ac:dyDescent="0.55000000000000004">
      <c r="B66" s="23" t="s">
        <v>265</v>
      </c>
      <c r="C66" s="32"/>
    </row>
    <row r="67" spans="2:23" ht="9" customHeight="1" x14ac:dyDescent="0.55000000000000004">
      <c r="B67" s="18"/>
      <c r="C67" s="32"/>
    </row>
    <row r="68" spans="2:23" ht="27" customHeight="1" x14ac:dyDescent="0.55000000000000004">
      <c r="B68" s="200" t="s">
        <v>191</v>
      </c>
      <c r="C68" s="225" t="s">
        <v>131</v>
      </c>
      <c r="D68" s="225"/>
      <c r="E68" s="225"/>
      <c r="F68" s="225"/>
      <c r="G68" s="225"/>
      <c r="H68" s="226" t="s">
        <v>132</v>
      </c>
      <c r="I68" s="226"/>
      <c r="J68" s="226"/>
      <c r="K68" s="226"/>
      <c r="L68" s="226"/>
      <c r="M68" s="226"/>
      <c r="N68" s="226"/>
      <c r="O68" s="227" t="s">
        <v>2</v>
      </c>
      <c r="P68" s="227"/>
      <c r="Q68" s="227"/>
      <c r="R68" s="227"/>
      <c r="S68" s="227"/>
      <c r="T68" s="227"/>
      <c r="U68" s="223" t="s">
        <v>190</v>
      </c>
      <c r="V68" s="224"/>
      <c r="W68" s="92"/>
    </row>
    <row r="69" spans="2:23" ht="27" customHeight="1" x14ac:dyDescent="0.55000000000000004">
      <c r="B69" s="81" t="s">
        <v>153</v>
      </c>
      <c r="C69" s="301" t="s">
        <v>514</v>
      </c>
      <c r="D69" s="301"/>
      <c r="E69" s="301"/>
      <c r="F69" s="301"/>
      <c r="G69" s="301"/>
      <c r="H69" s="301" t="s">
        <v>515</v>
      </c>
      <c r="I69" s="301"/>
      <c r="J69" s="301"/>
      <c r="K69" s="301"/>
      <c r="L69" s="301"/>
      <c r="M69" s="301"/>
      <c r="N69" s="301"/>
      <c r="O69" s="301" t="s">
        <v>516</v>
      </c>
      <c r="P69" s="301"/>
      <c r="Q69" s="301"/>
      <c r="R69" s="301"/>
      <c r="S69" s="301"/>
      <c r="T69" s="301"/>
      <c r="U69" s="301" t="s">
        <v>517</v>
      </c>
      <c r="V69" s="301"/>
      <c r="W69" s="92"/>
    </row>
    <row r="70" spans="2:23" ht="27" customHeight="1" x14ac:dyDescent="0.55000000000000004">
      <c r="B70" s="75" t="s">
        <v>154</v>
      </c>
      <c r="C70" s="302" t="s">
        <v>518</v>
      </c>
      <c r="D70" s="302"/>
      <c r="E70" s="302"/>
      <c r="F70" s="302"/>
      <c r="G70" s="302"/>
      <c r="H70" s="302" t="s">
        <v>519</v>
      </c>
      <c r="I70" s="302"/>
      <c r="J70" s="302"/>
      <c r="K70" s="302"/>
      <c r="L70" s="302"/>
      <c r="M70" s="302"/>
      <c r="N70" s="302"/>
      <c r="O70" s="302" t="s">
        <v>520</v>
      </c>
      <c r="P70" s="302"/>
      <c r="Q70" s="302"/>
      <c r="R70" s="302"/>
      <c r="S70" s="302"/>
      <c r="T70" s="302"/>
      <c r="U70" s="303" t="s">
        <v>517</v>
      </c>
      <c r="V70" s="304"/>
      <c r="W70" s="92"/>
    </row>
    <row r="71" spans="2:23" ht="27" customHeight="1" x14ac:dyDescent="0.55000000000000004">
      <c r="B71" s="75" t="s">
        <v>155</v>
      </c>
      <c r="C71" s="302"/>
      <c r="D71" s="302"/>
      <c r="E71" s="302"/>
      <c r="F71" s="302"/>
      <c r="G71" s="302"/>
      <c r="H71" s="302"/>
      <c r="I71" s="302"/>
      <c r="J71" s="302"/>
      <c r="K71" s="302"/>
      <c r="L71" s="302"/>
      <c r="M71" s="302"/>
      <c r="N71" s="302"/>
      <c r="O71" s="302"/>
      <c r="P71" s="302"/>
      <c r="Q71" s="302"/>
      <c r="R71" s="302"/>
      <c r="S71" s="302"/>
      <c r="T71" s="302"/>
      <c r="U71" s="302"/>
      <c r="V71" s="302"/>
      <c r="W71" s="92"/>
    </row>
    <row r="72" spans="2:23" ht="27" customHeight="1" x14ac:dyDescent="0.55000000000000004">
      <c r="B72" s="75" t="s">
        <v>156</v>
      </c>
      <c r="C72" s="302"/>
      <c r="D72" s="302"/>
      <c r="E72" s="302"/>
      <c r="F72" s="302"/>
      <c r="G72" s="302"/>
      <c r="H72" s="302"/>
      <c r="I72" s="302"/>
      <c r="J72" s="302"/>
      <c r="K72" s="302"/>
      <c r="L72" s="302"/>
      <c r="M72" s="302"/>
      <c r="N72" s="302"/>
      <c r="O72" s="302"/>
      <c r="P72" s="302"/>
      <c r="Q72" s="302"/>
      <c r="R72" s="302"/>
      <c r="S72" s="302"/>
      <c r="T72" s="302"/>
      <c r="U72" s="302"/>
      <c r="V72" s="302"/>
      <c r="W72" s="92"/>
    </row>
    <row r="73" spans="2:23" ht="27" customHeight="1" x14ac:dyDescent="0.55000000000000004">
      <c r="B73" s="75" t="s">
        <v>157</v>
      </c>
      <c r="C73" s="302"/>
      <c r="D73" s="302"/>
      <c r="E73" s="302"/>
      <c r="F73" s="302"/>
      <c r="G73" s="302"/>
      <c r="H73" s="302"/>
      <c r="I73" s="302"/>
      <c r="J73" s="302"/>
      <c r="K73" s="302"/>
      <c r="L73" s="302"/>
      <c r="M73" s="302"/>
      <c r="N73" s="302"/>
      <c r="O73" s="302"/>
      <c r="P73" s="302"/>
      <c r="Q73" s="302"/>
      <c r="R73" s="302"/>
      <c r="S73" s="302"/>
      <c r="T73" s="302"/>
      <c r="U73" s="302"/>
      <c r="V73" s="302"/>
      <c r="W73" s="92"/>
    </row>
    <row r="74" spans="2:23" ht="27" customHeight="1" x14ac:dyDescent="0.55000000000000004">
      <c r="B74" s="75" t="s">
        <v>158</v>
      </c>
      <c r="C74" s="302"/>
      <c r="D74" s="302"/>
      <c r="E74" s="302"/>
      <c r="F74" s="302"/>
      <c r="G74" s="302"/>
      <c r="H74" s="302"/>
      <c r="I74" s="302"/>
      <c r="J74" s="302"/>
      <c r="K74" s="302"/>
      <c r="L74" s="302"/>
      <c r="M74" s="302"/>
      <c r="N74" s="302"/>
      <c r="O74" s="302"/>
      <c r="P74" s="302"/>
      <c r="Q74" s="302"/>
      <c r="R74" s="302"/>
      <c r="S74" s="302"/>
      <c r="T74" s="302"/>
      <c r="U74" s="302"/>
      <c r="V74" s="302"/>
      <c r="W74" s="92"/>
    </row>
    <row r="75" spans="2:23" ht="27" customHeight="1" x14ac:dyDescent="0.55000000000000004">
      <c r="B75" s="75" t="s">
        <v>159</v>
      </c>
      <c r="C75" s="302"/>
      <c r="D75" s="302"/>
      <c r="E75" s="302"/>
      <c r="F75" s="302"/>
      <c r="G75" s="302"/>
      <c r="H75" s="302"/>
      <c r="I75" s="302"/>
      <c r="J75" s="302"/>
      <c r="K75" s="302"/>
      <c r="L75" s="302"/>
      <c r="M75" s="302"/>
      <c r="N75" s="302"/>
      <c r="O75" s="302"/>
      <c r="P75" s="302"/>
      <c r="Q75" s="302"/>
      <c r="R75" s="302"/>
      <c r="S75" s="302"/>
      <c r="T75" s="302"/>
      <c r="U75" s="302"/>
      <c r="V75" s="302"/>
      <c r="W75" s="92"/>
    </row>
    <row r="76" spans="2:23" ht="27" customHeight="1" x14ac:dyDescent="0.55000000000000004">
      <c r="B76" s="75" t="s">
        <v>160</v>
      </c>
      <c r="C76" s="302"/>
      <c r="D76" s="302"/>
      <c r="E76" s="302"/>
      <c r="F76" s="302"/>
      <c r="G76" s="302"/>
      <c r="H76" s="302"/>
      <c r="I76" s="302"/>
      <c r="J76" s="302"/>
      <c r="K76" s="302"/>
      <c r="L76" s="302"/>
      <c r="M76" s="302"/>
      <c r="N76" s="302"/>
      <c r="O76" s="302"/>
      <c r="P76" s="302"/>
      <c r="Q76" s="302"/>
      <c r="R76" s="302"/>
      <c r="S76" s="302"/>
      <c r="T76" s="302"/>
      <c r="U76" s="302"/>
      <c r="V76" s="302"/>
      <c r="W76" s="92"/>
    </row>
    <row r="77" spans="2:23" ht="27" customHeight="1" x14ac:dyDescent="0.55000000000000004">
      <c r="B77" s="75" t="s">
        <v>161</v>
      </c>
      <c r="C77" s="302"/>
      <c r="D77" s="302"/>
      <c r="E77" s="302"/>
      <c r="F77" s="302"/>
      <c r="G77" s="302"/>
      <c r="H77" s="302"/>
      <c r="I77" s="302"/>
      <c r="J77" s="302"/>
      <c r="K77" s="302"/>
      <c r="L77" s="302"/>
      <c r="M77" s="302"/>
      <c r="N77" s="302"/>
      <c r="O77" s="302"/>
      <c r="P77" s="302"/>
      <c r="Q77" s="302"/>
      <c r="R77" s="302"/>
      <c r="S77" s="302"/>
      <c r="T77" s="302"/>
      <c r="U77" s="302"/>
      <c r="V77" s="302"/>
      <c r="W77" s="92"/>
    </row>
    <row r="78" spans="2:23" ht="27" customHeight="1" x14ac:dyDescent="0.55000000000000004">
      <c r="B78" s="75" t="s">
        <v>162</v>
      </c>
      <c r="C78" s="302"/>
      <c r="D78" s="302"/>
      <c r="E78" s="302"/>
      <c r="F78" s="302"/>
      <c r="G78" s="302"/>
      <c r="H78" s="302"/>
      <c r="I78" s="302"/>
      <c r="J78" s="302"/>
      <c r="K78" s="302"/>
      <c r="L78" s="302"/>
      <c r="M78" s="302"/>
      <c r="N78" s="302"/>
      <c r="O78" s="302"/>
      <c r="P78" s="302"/>
      <c r="Q78" s="302"/>
      <c r="R78" s="302"/>
      <c r="S78" s="302"/>
      <c r="T78" s="302"/>
      <c r="U78" s="302"/>
      <c r="V78" s="302"/>
      <c r="W78" s="92"/>
    </row>
    <row r="79" spans="2:23" ht="27" customHeight="1" x14ac:dyDescent="0.55000000000000004">
      <c r="B79" s="75" t="s">
        <v>340</v>
      </c>
      <c r="C79" s="302"/>
      <c r="D79" s="302"/>
      <c r="E79" s="302"/>
      <c r="F79" s="302"/>
      <c r="G79" s="302"/>
      <c r="H79" s="302"/>
      <c r="I79" s="302"/>
      <c r="J79" s="302"/>
      <c r="K79" s="302"/>
      <c r="L79" s="302"/>
      <c r="M79" s="302"/>
      <c r="N79" s="302"/>
      <c r="O79" s="302"/>
      <c r="P79" s="302"/>
      <c r="Q79" s="302"/>
      <c r="R79" s="302"/>
      <c r="S79" s="302"/>
      <c r="T79" s="302"/>
      <c r="U79" s="302"/>
      <c r="V79" s="302"/>
      <c r="W79" s="92"/>
    </row>
    <row r="80" spans="2:23" ht="27" customHeight="1" x14ac:dyDescent="0.55000000000000004">
      <c r="B80" s="75" t="s">
        <v>163</v>
      </c>
      <c r="C80" s="302"/>
      <c r="D80" s="302"/>
      <c r="E80" s="302"/>
      <c r="F80" s="302"/>
      <c r="G80" s="302"/>
      <c r="H80" s="302"/>
      <c r="I80" s="302"/>
      <c r="J80" s="302"/>
      <c r="K80" s="302"/>
      <c r="L80" s="302"/>
      <c r="M80" s="302"/>
      <c r="N80" s="302"/>
      <c r="O80" s="302"/>
      <c r="P80" s="302"/>
      <c r="Q80" s="302"/>
      <c r="R80" s="302"/>
      <c r="S80" s="302"/>
      <c r="T80" s="302"/>
      <c r="U80" s="302"/>
      <c r="V80" s="302"/>
      <c r="W80" s="92"/>
    </row>
    <row r="81" spans="2:24" ht="27" customHeight="1" x14ac:dyDescent="0.55000000000000004">
      <c r="B81" s="75" t="s">
        <v>164</v>
      </c>
      <c r="C81" s="302"/>
      <c r="D81" s="302"/>
      <c r="E81" s="302"/>
      <c r="F81" s="302"/>
      <c r="G81" s="302"/>
      <c r="H81" s="302"/>
      <c r="I81" s="302"/>
      <c r="J81" s="302"/>
      <c r="K81" s="302"/>
      <c r="L81" s="302"/>
      <c r="M81" s="302"/>
      <c r="N81" s="302"/>
      <c r="O81" s="302"/>
      <c r="P81" s="302"/>
      <c r="Q81" s="302"/>
      <c r="R81" s="302"/>
      <c r="S81" s="302"/>
      <c r="T81" s="302"/>
      <c r="U81" s="302"/>
      <c r="V81" s="302"/>
      <c r="W81" s="92"/>
    </row>
    <row r="82" spans="2:24" ht="27" customHeight="1" x14ac:dyDescent="0.55000000000000004">
      <c r="B82" s="75" t="s">
        <v>165</v>
      </c>
      <c r="C82" s="302"/>
      <c r="D82" s="302"/>
      <c r="E82" s="302"/>
      <c r="F82" s="302"/>
      <c r="G82" s="302"/>
      <c r="H82" s="302"/>
      <c r="I82" s="302"/>
      <c r="J82" s="302"/>
      <c r="K82" s="302"/>
      <c r="L82" s="302"/>
      <c r="M82" s="302"/>
      <c r="N82" s="302"/>
      <c r="O82" s="302"/>
      <c r="P82" s="302"/>
      <c r="Q82" s="302"/>
      <c r="R82" s="302"/>
      <c r="S82" s="302"/>
      <c r="T82" s="302"/>
      <c r="U82" s="302"/>
      <c r="V82" s="302"/>
      <c r="W82" s="92"/>
    </row>
    <row r="83" spans="2:24" ht="27" customHeight="1" x14ac:dyDescent="0.55000000000000004">
      <c r="B83" s="75" t="s">
        <v>166</v>
      </c>
      <c r="C83" s="302"/>
      <c r="D83" s="302"/>
      <c r="E83" s="302"/>
      <c r="F83" s="302"/>
      <c r="G83" s="302"/>
      <c r="H83" s="302"/>
      <c r="I83" s="302"/>
      <c r="J83" s="302"/>
      <c r="K83" s="302"/>
      <c r="L83" s="302"/>
      <c r="M83" s="302"/>
      <c r="N83" s="302"/>
      <c r="O83" s="302"/>
      <c r="P83" s="302"/>
      <c r="Q83" s="302"/>
      <c r="R83" s="302"/>
      <c r="S83" s="302"/>
      <c r="T83" s="302"/>
      <c r="U83" s="302"/>
      <c r="V83" s="302"/>
      <c r="W83" s="92"/>
    </row>
    <row r="84" spans="2:24" ht="27" customHeight="1" x14ac:dyDescent="0.55000000000000004">
      <c r="B84" s="75" t="s">
        <v>167</v>
      </c>
      <c r="C84" s="302"/>
      <c r="D84" s="302"/>
      <c r="E84" s="302"/>
      <c r="F84" s="302"/>
      <c r="G84" s="302"/>
      <c r="H84" s="302"/>
      <c r="I84" s="302"/>
      <c r="J84" s="302"/>
      <c r="K84" s="302"/>
      <c r="L84" s="302"/>
      <c r="M84" s="302"/>
      <c r="N84" s="302"/>
      <c r="O84" s="302"/>
      <c r="P84" s="302"/>
      <c r="Q84" s="302"/>
      <c r="R84" s="302"/>
      <c r="S84" s="302"/>
      <c r="T84" s="302"/>
      <c r="U84" s="302"/>
      <c r="V84" s="302"/>
      <c r="W84" s="92"/>
    </row>
    <row r="85" spans="2:24" ht="27" customHeight="1" x14ac:dyDescent="0.55000000000000004">
      <c r="B85" s="75" t="s">
        <v>168</v>
      </c>
      <c r="C85" s="302"/>
      <c r="D85" s="302"/>
      <c r="E85" s="302"/>
      <c r="F85" s="302"/>
      <c r="G85" s="302"/>
      <c r="H85" s="302"/>
      <c r="I85" s="302"/>
      <c r="J85" s="302"/>
      <c r="K85" s="302"/>
      <c r="L85" s="302"/>
      <c r="M85" s="302"/>
      <c r="N85" s="302"/>
      <c r="O85" s="302"/>
      <c r="P85" s="302"/>
      <c r="Q85" s="302"/>
      <c r="R85" s="302"/>
      <c r="S85" s="302"/>
      <c r="T85" s="302"/>
      <c r="U85" s="302"/>
      <c r="V85" s="302"/>
      <c r="W85" s="92"/>
    </row>
    <row r="86" spans="2:24" ht="27" customHeight="1" x14ac:dyDescent="0.55000000000000004">
      <c r="B86" s="75" t="s">
        <v>169</v>
      </c>
      <c r="C86" s="302"/>
      <c r="D86" s="302"/>
      <c r="E86" s="302"/>
      <c r="F86" s="302"/>
      <c r="G86" s="302"/>
      <c r="H86" s="302"/>
      <c r="I86" s="302"/>
      <c r="J86" s="302"/>
      <c r="K86" s="302"/>
      <c r="L86" s="302"/>
      <c r="M86" s="302"/>
      <c r="N86" s="302"/>
      <c r="O86" s="302"/>
      <c r="P86" s="302"/>
      <c r="Q86" s="302"/>
      <c r="R86" s="302"/>
      <c r="S86" s="302"/>
      <c r="T86" s="302"/>
      <c r="U86" s="302"/>
      <c r="V86" s="302"/>
      <c r="W86" s="92"/>
    </row>
    <row r="87" spans="2:24" ht="27" customHeight="1" x14ac:dyDescent="0.55000000000000004">
      <c r="B87" s="75" t="s">
        <v>170</v>
      </c>
      <c r="C87" s="302"/>
      <c r="D87" s="302"/>
      <c r="E87" s="302"/>
      <c r="F87" s="302"/>
      <c r="G87" s="302"/>
      <c r="H87" s="302"/>
      <c r="I87" s="302"/>
      <c r="J87" s="302"/>
      <c r="K87" s="302"/>
      <c r="L87" s="302"/>
      <c r="M87" s="302"/>
      <c r="N87" s="302"/>
      <c r="O87" s="302"/>
      <c r="P87" s="302"/>
      <c r="Q87" s="302"/>
      <c r="R87" s="302"/>
      <c r="S87" s="302"/>
      <c r="T87" s="302"/>
      <c r="U87" s="302"/>
      <c r="V87" s="302"/>
      <c r="W87" s="92"/>
    </row>
    <row r="88" spans="2:24" ht="27" customHeight="1" x14ac:dyDescent="0.55000000000000004">
      <c r="B88" s="75" t="s">
        <v>171</v>
      </c>
      <c r="C88" s="305"/>
      <c r="D88" s="305"/>
      <c r="E88" s="305"/>
      <c r="F88" s="305"/>
      <c r="G88" s="305"/>
      <c r="H88" s="305"/>
      <c r="I88" s="305"/>
      <c r="J88" s="305"/>
      <c r="K88" s="305"/>
      <c r="L88" s="305"/>
      <c r="M88" s="305"/>
      <c r="N88" s="305"/>
      <c r="O88" s="305"/>
      <c r="P88" s="305"/>
      <c r="Q88" s="305"/>
      <c r="R88" s="305"/>
      <c r="S88" s="305"/>
      <c r="T88" s="305"/>
      <c r="U88" s="305"/>
      <c r="V88" s="305"/>
      <c r="W88" s="92"/>
    </row>
    <row r="89" spans="2:24" x14ac:dyDescent="0.55000000000000004">
      <c r="B89" s="76"/>
      <c r="C89" s="128"/>
      <c r="D89" s="128"/>
      <c r="E89" s="128"/>
      <c r="F89" s="128"/>
      <c r="G89" s="128"/>
      <c r="H89" s="128"/>
      <c r="I89" s="129"/>
      <c r="J89" s="129"/>
      <c r="K89" s="129"/>
      <c r="L89" s="129"/>
      <c r="M89" s="119"/>
      <c r="N89" s="127"/>
      <c r="O89" s="127"/>
      <c r="P89" s="127"/>
      <c r="Q89" s="127"/>
      <c r="R89" s="127"/>
      <c r="S89" s="127"/>
      <c r="T89" s="127"/>
      <c r="U89" s="127"/>
      <c r="V89" s="127"/>
      <c r="W89" s="127"/>
    </row>
    <row r="90" spans="2:24" ht="27" customHeight="1" x14ac:dyDescent="0.55000000000000004">
      <c r="B90" s="200" t="s">
        <v>192</v>
      </c>
      <c r="C90" s="225" t="s">
        <v>131</v>
      </c>
      <c r="D90" s="225"/>
      <c r="E90" s="225"/>
      <c r="F90" s="225"/>
      <c r="G90" s="225"/>
      <c r="H90" s="226" t="s">
        <v>132</v>
      </c>
      <c r="I90" s="226"/>
      <c r="J90" s="226"/>
      <c r="K90" s="226"/>
      <c r="L90" s="226"/>
      <c r="M90" s="226"/>
      <c r="N90" s="226"/>
      <c r="O90" s="227" t="s">
        <v>2</v>
      </c>
      <c r="P90" s="227"/>
      <c r="Q90" s="227"/>
      <c r="R90" s="227"/>
      <c r="S90" s="227"/>
      <c r="T90" s="227"/>
      <c r="U90" s="223" t="s">
        <v>190</v>
      </c>
      <c r="V90" s="224"/>
      <c r="W90" s="223" t="s">
        <v>212</v>
      </c>
      <c r="X90" s="224"/>
    </row>
    <row r="91" spans="2:24" ht="27" customHeight="1" x14ac:dyDescent="0.55000000000000004">
      <c r="B91" s="121" t="s">
        <v>276</v>
      </c>
      <c r="C91" s="306" t="s">
        <v>514</v>
      </c>
      <c r="D91" s="306"/>
      <c r="E91" s="306"/>
      <c r="F91" s="306"/>
      <c r="G91" s="306"/>
      <c r="H91" s="301" t="s">
        <v>521</v>
      </c>
      <c r="I91" s="301"/>
      <c r="J91" s="301"/>
      <c r="K91" s="301"/>
      <c r="L91" s="301"/>
      <c r="M91" s="301"/>
      <c r="N91" s="301"/>
      <c r="O91" s="306" t="s">
        <v>522</v>
      </c>
      <c r="P91" s="306"/>
      <c r="Q91" s="306"/>
      <c r="R91" s="306"/>
      <c r="S91" s="306"/>
      <c r="T91" s="306"/>
      <c r="U91" s="301" t="s">
        <v>517</v>
      </c>
      <c r="V91" s="301"/>
      <c r="W91" s="307"/>
      <c r="X91" s="308"/>
    </row>
    <row r="92" spans="2:24" ht="27" customHeight="1" x14ac:dyDescent="0.55000000000000004">
      <c r="B92" s="122" t="s">
        <v>277</v>
      </c>
      <c r="C92" s="302" t="s">
        <v>514</v>
      </c>
      <c r="D92" s="302"/>
      <c r="E92" s="302"/>
      <c r="F92" s="302"/>
      <c r="G92" s="302"/>
      <c r="H92" s="302" t="s">
        <v>523</v>
      </c>
      <c r="I92" s="302"/>
      <c r="J92" s="302"/>
      <c r="K92" s="302"/>
      <c r="L92" s="302"/>
      <c r="M92" s="302"/>
      <c r="N92" s="302"/>
      <c r="O92" s="302" t="s">
        <v>522</v>
      </c>
      <c r="P92" s="302"/>
      <c r="Q92" s="302"/>
      <c r="R92" s="302"/>
      <c r="S92" s="302"/>
      <c r="T92" s="302"/>
      <c r="U92" s="302" t="s">
        <v>517</v>
      </c>
      <c r="V92" s="302"/>
      <c r="W92" s="309"/>
      <c r="X92" s="310"/>
    </row>
    <row r="93" spans="2:24" ht="27" customHeight="1" x14ac:dyDescent="0.55000000000000004">
      <c r="B93" s="122" t="s">
        <v>278</v>
      </c>
      <c r="C93" s="302" t="s">
        <v>524</v>
      </c>
      <c r="D93" s="302"/>
      <c r="E93" s="302"/>
      <c r="F93" s="302"/>
      <c r="G93" s="302"/>
      <c r="H93" s="302" t="s">
        <v>525</v>
      </c>
      <c r="I93" s="302"/>
      <c r="J93" s="302"/>
      <c r="K93" s="302"/>
      <c r="L93" s="302"/>
      <c r="M93" s="302"/>
      <c r="N93" s="302"/>
      <c r="O93" s="302" t="s">
        <v>526</v>
      </c>
      <c r="P93" s="302"/>
      <c r="Q93" s="302"/>
      <c r="R93" s="302"/>
      <c r="S93" s="302"/>
      <c r="T93" s="302"/>
      <c r="U93" s="302" t="s">
        <v>517</v>
      </c>
      <c r="V93" s="302"/>
      <c r="W93" s="309"/>
      <c r="X93" s="310"/>
    </row>
    <row r="94" spans="2:24" ht="27" customHeight="1" x14ac:dyDescent="0.55000000000000004">
      <c r="B94" s="122" t="s">
        <v>279</v>
      </c>
      <c r="C94" s="302" t="s">
        <v>527</v>
      </c>
      <c r="D94" s="302"/>
      <c r="E94" s="302"/>
      <c r="F94" s="302"/>
      <c r="G94" s="302"/>
      <c r="H94" s="302" t="s">
        <v>528</v>
      </c>
      <c r="I94" s="302"/>
      <c r="J94" s="302"/>
      <c r="K94" s="302"/>
      <c r="L94" s="302"/>
      <c r="M94" s="302"/>
      <c r="N94" s="302"/>
      <c r="O94" s="303" t="s">
        <v>529</v>
      </c>
      <c r="P94" s="311"/>
      <c r="Q94" s="311"/>
      <c r="R94" s="311"/>
      <c r="S94" s="311"/>
      <c r="T94" s="304"/>
      <c r="U94" s="302" t="s">
        <v>530</v>
      </c>
      <c r="V94" s="302"/>
      <c r="W94" s="309"/>
      <c r="X94" s="310"/>
    </row>
    <row r="95" spans="2:24" ht="27" customHeight="1" x14ac:dyDescent="0.55000000000000004">
      <c r="B95" s="122" t="s">
        <v>280</v>
      </c>
      <c r="C95" s="302" t="s">
        <v>531</v>
      </c>
      <c r="D95" s="302"/>
      <c r="E95" s="302"/>
      <c r="F95" s="302"/>
      <c r="G95" s="302"/>
      <c r="H95" s="302" t="s">
        <v>532</v>
      </c>
      <c r="I95" s="302"/>
      <c r="J95" s="302"/>
      <c r="K95" s="302"/>
      <c r="L95" s="302"/>
      <c r="M95" s="302"/>
      <c r="N95" s="302"/>
      <c r="O95" s="302" t="s">
        <v>533</v>
      </c>
      <c r="P95" s="302"/>
      <c r="Q95" s="302"/>
      <c r="R95" s="302"/>
      <c r="S95" s="302"/>
      <c r="T95" s="302"/>
      <c r="U95" s="302" t="s">
        <v>530</v>
      </c>
      <c r="V95" s="302"/>
      <c r="W95" s="309"/>
      <c r="X95" s="310"/>
    </row>
    <row r="96" spans="2:24" ht="27" customHeight="1" x14ac:dyDescent="0.55000000000000004">
      <c r="B96" s="122" t="s">
        <v>281</v>
      </c>
      <c r="C96" s="302"/>
      <c r="D96" s="302"/>
      <c r="E96" s="302"/>
      <c r="F96" s="302"/>
      <c r="G96" s="302"/>
      <c r="H96" s="302"/>
      <c r="I96" s="302"/>
      <c r="J96" s="302"/>
      <c r="K96" s="302"/>
      <c r="L96" s="302"/>
      <c r="M96" s="302"/>
      <c r="N96" s="302"/>
      <c r="O96" s="302"/>
      <c r="P96" s="302"/>
      <c r="Q96" s="302"/>
      <c r="R96" s="302"/>
      <c r="S96" s="302"/>
      <c r="T96" s="302"/>
      <c r="U96" s="302"/>
      <c r="V96" s="302"/>
      <c r="W96" s="309"/>
      <c r="X96" s="310"/>
    </row>
    <row r="97" spans="2:24" ht="27" customHeight="1" x14ac:dyDescent="0.55000000000000004">
      <c r="B97" s="122" t="s">
        <v>282</v>
      </c>
      <c r="C97" s="302"/>
      <c r="D97" s="302"/>
      <c r="E97" s="302"/>
      <c r="F97" s="302"/>
      <c r="G97" s="302"/>
      <c r="H97" s="302"/>
      <c r="I97" s="302"/>
      <c r="J97" s="302"/>
      <c r="K97" s="302"/>
      <c r="L97" s="302"/>
      <c r="M97" s="302"/>
      <c r="N97" s="302"/>
      <c r="O97" s="302"/>
      <c r="P97" s="302"/>
      <c r="Q97" s="302"/>
      <c r="R97" s="302"/>
      <c r="S97" s="302"/>
      <c r="T97" s="302"/>
      <c r="U97" s="302"/>
      <c r="V97" s="302"/>
      <c r="W97" s="309"/>
      <c r="X97" s="310"/>
    </row>
    <row r="98" spans="2:24" ht="27" customHeight="1" x14ac:dyDescent="0.55000000000000004">
      <c r="B98" s="122" t="s">
        <v>283</v>
      </c>
      <c r="C98" s="302"/>
      <c r="D98" s="302"/>
      <c r="E98" s="302"/>
      <c r="F98" s="302"/>
      <c r="G98" s="302"/>
      <c r="H98" s="302"/>
      <c r="I98" s="302"/>
      <c r="J98" s="302"/>
      <c r="K98" s="302"/>
      <c r="L98" s="302"/>
      <c r="M98" s="302"/>
      <c r="N98" s="302"/>
      <c r="O98" s="302"/>
      <c r="P98" s="302"/>
      <c r="Q98" s="302"/>
      <c r="R98" s="302"/>
      <c r="S98" s="302"/>
      <c r="T98" s="302"/>
      <c r="U98" s="302"/>
      <c r="V98" s="302"/>
      <c r="W98" s="309"/>
      <c r="X98" s="310"/>
    </row>
    <row r="99" spans="2:24" ht="27" customHeight="1" x14ac:dyDescent="0.55000000000000004">
      <c r="B99" s="122" t="s">
        <v>284</v>
      </c>
      <c r="C99" s="302"/>
      <c r="D99" s="302"/>
      <c r="E99" s="302"/>
      <c r="F99" s="302"/>
      <c r="G99" s="302"/>
      <c r="H99" s="302"/>
      <c r="I99" s="302"/>
      <c r="J99" s="302"/>
      <c r="K99" s="302"/>
      <c r="L99" s="302"/>
      <c r="M99" s="302"/>
      <c r="N99" s="302"/>
      <c r="O99" s="302"/>
      <c r="P99" s="302"/>
      <c r="Q99" s="302"/>
      <c r="R99" s="302"/>
      <c r="S99" s="302"/>
      <c r="T99" s="302"/>
      <c r="U99" s="302"/>
      <c r="V99" s="302"/>
      <c r="W99" s="309"/>
      <c r="X99" s="310"/>
    </row>
    <row r="100" spans="2:24" ht="27" customHeight="1" x14ac:dyDescent="0.55000000000000004">
      <c r="B100" s="122" t="s">
        <v>285</v>
      </c>
      <c r="C100" s="302"/>
      <c r="D100" s="302"/>
      <c r="E100" s="302"/>
      <c r="F100" s="302"/>
      <c r="G100" s="302"/>
      <c r="H100" s="302"/>
      <c r="I100" s="302"/>
      <c r="J100" s="302"/>
      <c r="K100" s="302"/>
      <c r="L100" s="302"/>
      <c r="M100" s="302"/>
      <c r="N100" s="302"/>
      <c r="O100" s="302"/>
      <c r="P100" s="302"/>
      <c r="Q100" s="302"/>
      <c r="R100" s="302"/>
      <c r="S100" s="302"/>
      <c r="T100" s="302"/>
      <c r="U100" s="302"/>
      <c r="V100" s="302"/>
      <c r="W100" s="309"/>
      <c r="X100" s="310"/>
    </row>
    <row r="101" spans="2:24" ht="27" customHeight="1" x14ac:dyDescent="0.55000000000000004">
      <c r="B101" s="122" t="s">
        <v>341</v>
      </c>
      <c r="C101" s="302"/>
      <c r="D101" s="302"/>
      <c r="E101" s="302"/>
      <c r="F101" s="302"/>
      <c r="G101" s="302"/>
      <c r="H101" s="302"/>
      <c r="I101" s="302"/>
      <c r="J101" s="302"/>
      <c r="K101" s="302"/>
      <c r="L101" s="302"/>
      <c r="M101" s="302"/>
      <c r="N101" s="302"/>
      <c r="O101" s="302"/>
      <c r="P101" s="302"/>
      <c r="Q101" s="302"/>
      <c r="R101" s="302"/>
      <c r="S101" s="302"/>
      <c r="T101" s="302"/>
      <c r="U101" s="302"/>
      <c r="V101" s="302"/>
      <c r="W101" s="309"/>
      <c r="X101" s="310"/>
    </row>
    <row r="102" spans="2:24" ht="27" customHeight="1" x14ac:dyDescent="0.55000000000000004">
      <c r="B102" s="122" t="s">
        <v>342</v>
      </c>
      <c r="C102" s="302"/>
      <c r="D102" s="302"/>
      <c r="E102" s="302"/>
      <c r="F102" s="302"/>
      <c r="G102" s="302"/>
      <c r="H102" s="302"/>
      <c r="I102" s="302"/>
      <c r="J102" s="302"/>
      <c r="K102" s="302"/>
      <c r="L102" s="302"/>
      <c r="M102" s="302"/>
      <c r="N102" s="302"/>
      <c r="O102" s="302"/>
      <c r="P102" s="302"/>
      <c r="Q102" s="302"/>
      <c r="R102" s="302"/>
      <c r="S102" s="302"/>
      <c r="T102" s="302"/>
      <c r="U102" s="302"/>
      <c r="V102" s="302"/>
      <c r="W102" s="309"/>
      <c r="X102" s="310"/>
    </row>
    <row r="103" spans="2:24" ht="27" customHeight="1" x14ac:dyDescent="0.55000000000000004">
      <c r="B103" s="122" t="s">
        <v>343</v>
      </c>
      <c r="C103" s="302"/>
      <c r="D103" s="302"/>
      <c r="E103" s="302"/>
      <c r="F103" s="302"/>
      <c r="G103" s="302"/>
      <c r="H103" s="302"/>
      <c r="I103" s="302"/>
      <c r="J103" s="302"/>
      <c r="K103" s="302"/>
      <c r="L103" s="302"/>
      <c r="M103" s="302"/>
      <c r="N103" s="302"/>
      <c r="O103" s="302"/>
      <c r="P103" s="302"/>
      <c r="Q103" s="302"/>
      <c r="R103" s="302"/>
      <c r="S103" s="302"/>
      <c r="T103" s="302"/>
      <c r="U103" s="302"/>
      <c r="V103" s="302"/>
      <c r="W103" s="309"/>
      <c r="X103" s="310"/>
    </row>
    <row r="104" spans="2:24" ht="27" customHeight="1" x14ac:dyDescent="0.55000000000000004">
      <c r="B104" s="122" t="s">
        <v>344</v>
      </c>
      <c r="C104" s="302"/>
      <c r="D104" s="302"/>
      <c r="E104" s="302"/>
      <c r="F104" s="302"/>
      <c r="G104" s="302"/>
      <c r="H104" s="302"/>
      <c r="I104" s="302"/>
      <c r="J104" s="302"/>
      <c r="K104" s="302"/>
      <c r="L104" s="302"/>
      <c r="M104" s="302"/>
      <c r="N104" s="302"/>
      <c r="O104" s="302"/>
      <c r="P104" s="302"/>
      <c r="Q104" s="302"/>
      <c r="R104" s="302"/>
      <c r="S104" s="302"/>
      <c r="T104" s="302"/>
      <c r="U104" s="302"/>
      <c r="V104" s="302"/>
      <c r="W104" s="309"/>
      <c r="X104" s="310"/>
    </row>
    <row r="105" spans="2:24" ht="27" customHeight="1" x14ac:dyDescent="0.55000000000000004">
      <c r="B105" s="122" t="s">
        <v>345</v>
      </c>
      <c r="C105" s="302"/>
      <c r="D105" s="302"/>
      <c r="E105" s="302"/>
      <c r="F105" s="302"/>
      <c r="G105" s="302"/>
      <c r="H105" s="302"/>
      <c r="I105" s="302"/>
      <c r="J105" s="302"/>
      <c r="K105" s="302"/>
      <c r="L105" s="302"/>
      <c r="M105" s="302"/>
      <c r="N105" s="302"/>
      <c r="O105" s="302"/>
      <c r="P105" s="302"/>
      <c r="Q105" s="302"/>
      <c r="R105" s="302"/>
      <c r="S105" s="302"/>
      <c r="T105" s="302"/>
      <c r="U105" s="302"/>
      <c r="V105" s="302"/>
      <c r="W105" s="309"/>
      <c r="X105" s="310"/>
    </row>
    <row r="106" spans="2:24" ht="27" customHeight="1" x14ac:dyDescent="0.55000000000000004">
      <c r="B106" s="122" t="s">
        <v>346</v>
      </c>
      <c r="C106" s="302"/>
      <c r="D106" s="302"/>
      <c r="E106" s="302"/>
      <c r="F106" s="302"/>
      <c r="G106" s="302"/>
      <c r="H106" s="302"/>
      <c r="I106" s="302"/>
      <c r="J106" s="302"/>
      <c r="K106" s="302"/>
      <c r="L106" s="302"/>
      <c r="M106" s="302"/>
      <c r="N106" s="302"/>
      <c r="O106" s="302"/>
      <c r="P106" s="302"/>
      <c r="Q106" s="302"/>
      <c r="R106" s="302"/>
      <c r="S106" s="302"/>
      <c r="T106" s="302"/>
      <c r="U106" s="302"/>
      <c r="V106" s="302"/>
      <c r="W106" s="309"/>
      <c r="X106" s="310"/>
    </row>
    <row r="107" spans="2:24" ht="27" customHeight="1" x14ac:dyDescent="0.55000000000000004">
      <c r="B107" s="122" t="s">
        <v>347</v>
      </c>
      <c r="C107" s="302"/>
      <c r="D107" s="302"/>
      <c r="E107" s="302"/>
      <c r="F107" s="302"/>
      <c r="G107" s="302"/>
      <c r="H107" s="302"/>
      <c r="I107" s="302"/>
      <c r="J107" s="302"/>
      <c r="K107" s="302"/>
      <c r="L107" s="302"/>
      <c r="M107" s="302"/>
      <c r="N107" s="302"/>
      <c r="O107" s="302"/>
      <c r="P107" s="302"/>
      <c r="Q107" s="302"/>
      <c r="R107" s="302"/>
      <c r="S107" s="302"/>
      <c r="T107" s="302"/>
      <c r="U107" s="302"/>
      <c r="V107" s="302"/>
      <c r="W107" s="309"/>
      <c r="X107" s="310"/>
    </row>
    <row r="108" spans="2:24" ht="27" customHeight="1" x14ac:dyDescent="0.55000000000000004">
      <c r="B108" s="122" t="s">
        <v>348</v>
      </c>
      <c r="C108" s="302"/>
      <c r="D108" s="302"/>
      <c r="E108" s="302"/>
      <c r="F108" s="302"/>
      <c r="G108" s="302"/>
      <c r="H108" s="302"/>
      <c r="I108" s="302"/>
      <c r="J108" s="302"/>
      <c r="K108" s="302"/>
      <c r="L108" s="302"/>
      <c r="M108" s="302"/>
      <c r="N108" s="302"/>
      <c r="O108" s="302"/>
      <c r="P108" s="302"/>
      <c r="Q108" s="302"/>
      <c r="R108" s="302"/>
      <c r="S108" s="302"/>
      <c r="T108" s="302"/>
      <c r="U108" s="302"/>
      <c r="V108" s="302"/>
      <c r="W108" s="309"/>
      <c r="X108" s="310"/>
    </row>
    <row r="109" spans="2:24" ht="27" hidden="1" customHeight="1" x14ac:dyDescent="0.55000000000000004">
      <c r="B109" s="122" t="s">
        <v>349</v>
      </c>
      <c r="C109" s="302"/>
      <c r="D109" s="302"/>
      <c r="E109" s="302"/>
      <c r="F109" s="302"/>
      <c r="G109" s="302"/>
      <c r="H109" s="302"/>
      <c r="I109" s="302"/>
      <c r="J109" s="302"/>
      <c r="K109" s="302"/>
      <c r="L109" s="302"/>
      <c r="M109" s="302"/>
      <c r="N109" s="302"/>
      <c r="O109" s="302"/>
      <c r="P109" s="302"/>
      <c r="Q109" s="302"/>
      <c r="R109" s="302"/>
      <c r="S109" s="302"/>
      <c r="T109" s="302"/>
      <c r="U109" s="302"/>
      <c r="V109" s="302"/>
      <c r="W109" s="309"/>
      <c r="X109" s="310"/>
    </row>
    <row r="110" spans="2:24" ht="27" hidden="1" customHeight="1" x14ac:dyDescent="0.55000000000000004">
      <c r="B110" s="123" t="s">
        <v>350</v>
      </c>
      <c r="C110" s="305"/>
      <c r="D110" s="305"/>
      <c r="E110" s="305"/>
      <c r="F110" s="305"/>
      <c r="G110" s="305"/>
      <c r="H110" s="305"/>
      <c r="I110" s="305"/>
      <c r="J110" s="305"/>
      <c r="K110" s="305"/>
      <c r="L110" s="305"/>
      <c r="M110" s="305"/>
      <c r="N110" s="305"/>
      <c r="O110" s="305"/>
      <c r="P110" s="305"/>
      <c r="Q110" s="305"/>
      <c r="R110" s="305"/>
      <c r="S110" s="305"/>
      <c r="T110" s="305"/>
      <c r="U110" s="305"/>
      <c r="V110" s="305"/>
      <c r="W110" s="312"/>
      <c r="X110" s="313"/>
    </row>
    <row r="111" spans="2:24" hidden="1" x14ac:dyDescent="0.55000000000000004">
      <c r="B111" s="31"/>
      <c r="C111" s="32"/>
    </row>
    <row r="112" spans="2:24" ht="14.25" customHeight="1" thickBot="1" x14ac:dyDescent="0.6">
      <c r="B112" s="32"/>
      <c r="C112" s="32"/>
    </row>
    <row r="113" spans="2:27" ht="36" customHeight="1" thickBot="1" x14ac:dyDescent="0.6">
      <c r="B113" s="236" t="s">
        <v>229</v>
      </c>
      <c r="C113" s="237"/>
      <c r="D113" s="237"/>
      <c r="E113" s="237"/>
      <c r="F113" s="238"/>
      <c r="G113" s="314" t="s">
        <v>534</v>
      </c>
      <c r="H113" s="315"/>
      <c r="M113" s="39"/>
      <c r="N113" s="39"/>
      <c r="O113" s="39"/>
      <c r="P113" s="39"/>
      <c r="Q113" s="39"/>
      <c r="R113" s="39"/>
      <c r="S113" s="39"/>
      <c r="T113" s="39"/>
      <c r="U113" s="39"/>
      <c r="V113" s="39"/>
      <c r="W113" s="39"/>
    </row>
    <row r="114" spans="2:27" ht="27" customHeight="1" x14ac:dyDescent="0.55000000000000004">
      <c r="B114" s="95" t="str">
        <f>IF(G113="実施を選択","",IF(G113="はい","※「はい」を選択した場合は、【３．空調設備の新旧仕様入力表】に必要事項を入力してください。","※「いいえ」を選択した場合は、【３．空調設備の新旧仕様表】の入力は不要です。"))</f>
        <v>※「はい」を選択した場合は、【３．空調設備の新旧仕様入力表】に必要事項を入力してください。</v>
      </c>
      <c r="C114" s="24"/>
      <c r="M114" s="39"/>
      <c r="N114" s="39"/>
      <c r="O114" s="39"/>
      <c r="P114" s="39"/>
      <c r="Q114" s="39"/>
      <c r="R114" s="39"/>
      <c r="S114" s="39"/>
      <c r="T114" s="39"/>
      <c r="U114" s="39"/>
      <c r="V114" s="39"/>
      <c r="W114" s="39"/>
    </row>
    <row r="115" spans="2:27" ht="8.25" customHeight="1" x14ac:dyDescent="0.55000000000000004">
      <c r="B115" s="95"/>
      <c r="C115" s="24"/>
      <c r="M115" s="39"/>
      <c r="N115" s="39"/>
      <c r="O115" s="39"/>
      <c r="P115" s="39"/>
      <c r="Q115" s="39"/>
      <c r="R115" s="39"/>
      <c r="S115" s="39"/>
      <c r="T115" s="39"/>
      <c r="U115" s="39"/>
      <c r="V115" s="39"/>
      <c r="W115" s="39"/>
    </row>
    <row r="116" spans="2:27" ht="42.75" customHeight="1" x14ac:dyDescent="0.55000000000000004">
      <c r="B116" s="23" t="s">
        <v>211</v>
      </c>
      <c r="C116" s="24"/>
      <c r="F116" s="228" t="s">
        <v>249</v>
      </c>
      <c r="G116" s="229"/>
      <c r="H116" s="220" t="str">
        <f>IF($G$113="実施を選択","実施確認：空調設備の更新＜はい＞又は、＜いいえ＞を選択してください。",IF(OR($G$113="いいえ",$G$113="実施を選択"),"",IF(AND(G113="はい",AE137=0),"旧設備について入力してください。",IF(OR(X135="入力確認",X136="入力確認",X137="入力確認"),"旧設備の入力をご確認ください。",IF(AND(G113="はい",AE158=0),"新設備について入力してください。",IF(OR(X156="入力確認",X157="入力確認",X158="入力確認"),"新設備の入力をご確認ください。",IF(AND(G113&lt;&gt;"はい",X130-X151&lt;&gt;0),"実施確認：空調設備の更新＜はい＞を選択してください。",IF(AND(G113="はい",X130-X151&gt;0),"省エネ設備更新の要件を満たしています。","省エネ設備更新の要件を満たしていないため、申請できません。"))))))))</f>
        <v>新設備の入力をご確認ください。</v>
      </c>
      <c r="I116" s="221"/>
      <c r="J116" s="221"/>
      <c r="K116" s="221"/>
      <c r="L116" s="221"/>
      <c r="M116" s="221"/>
      <c r="N116" s="221"/>
      <c r="O116" s="222"/>
      <c r="P116" s="39"/>
      <c r="Q116" s="39"/>
      <c r="R116" s="39"/>
      <c r="S116" s="39"/>
      <c r="T116" s="39"/>
      <c r="U116" s="39"/>
      <c r="V116" s="39"/>
      <c r="W116" s="39"/>
    </row>
    <row r="117" spans="2:27" ht="9" customHeight="1" x14ac:dyDescent="0.55000000000000004">
      <c r="B117" s="23"/>
      <c r="C117" s="24"/>
      <c r="M117" s="39"/>
      <c r="N117" s="39"/>
      <c r="O117" s="39"/>
      <c r="P117" s="39"/>
      <c r="Q117" s="39"/>
      <c r="R117" s="39"/>
      <c r="S117" s="39"/>
      <c r="T117" s="39"/>
      <c r="U117" s="39"/>
      <c r="V117" s="39"/>
      <c r="W117" s="39"/>
    </row>
    <row r="118" spans="2:27" ht="42" customHeight="1" thickBot="1" x14ac:dyDescent="0.6">
      <c r="B118" s="152" t="s">
        <v>430</v>
      </c>
      <c r="C118" s="25"/>
    </row>
    <row r="119" spans="2:27" ht="27" customHeight="1" thickBot="1" x14ac:dyDescent="0.6">
      <c r="B119" s="225" t="s">
        <v>130</v>
      </c>
      <c r="C119" s="225"/>
      <c r="D119" s="26" t="s">
        <v>286</v>
      </c>
      <c r="E119" s="26" t="s">
        <v>287</v>
      </c>
      <c r="F119" s="26" t="s">
        <v>288</v>
      </c>
      <c r="G119" s="26" t="s">
        <v>289</v>
      </c>
      <c r="H119" s="26" t="s">
        <v>290</v>
      </c>
      <c r="I119" s="26" t="s">
        <v>291</v>
      </c>
      <c r="J119" s="26" t="s">
        <v>292</v>
      </c>
      <c r="K119" s="26" t="s">
        <v>293</v>
      </c>
      <c r="L119" s="26" t="s">
        <v>294</v>
      </c>
      <c r="M119" s="26" t="s">
        <v>295</v>
      </c>
      <c r="N119" s="26" t="s">
        <v>351</v>
      </c>
      <c r="O119" s="26" t="s">
        <v>352</v>
      </c>
      <c r="P119" s="26" t="s">
        <v>353</v>
      </c>
      <c r="Q119" s="26" t="s">
        <v>354</v>
      </c>
      <c r="R119" s="26" t="s">
        <v>355</v>
      </c>
      <c r="S119" s="26" t="s">
        <v>356</v>
      </c>
      <c r="T119" s="26" t="s">
        <v>357</v>
      </c>
      <c r="U119" s="26" t="s">
        <v>358</v>
      </c>
      <c r="V119" s="26" t="s">
        <v>359</v>
      </c>
      <c r="W119" s="26" t="s">
        <v>360</v>
      </c>
      <c r="X119" s="33" t="s">
        <v>0</v>
      </c>
      <c r="Z119" s="74" t="s">
        <v>433</v>
      </c>
      <c r="AA119" s="156"/>
    </row>
    <row r="120" spans="2:27" ht="63" customHeight="1" thickBot="1" x14ac:dyDescent="0.6">
      <c r="B120" s="233" t="s">
        <v>264</v>
      </c>
      <c r="C120" s="233"/>
      <c r="D120" s="316" t="s">
        <v>14</v>
      </c>
      <c r="E120" s="316"/>
      <c r="F120" s="316"/>
      <c r="G120" s="316"/>
      <c r="H120" s="316"/>
      <c r="I120" s="316"/>
      <c r="J120" s="316"/>
      <c r="K120" s="316"/>
      <c r="L120" s="316"/>
      <c r="M120" s="316"/>
      <c r="N120" s="316"/>
      <c r="O120" s="316"/>
      <c r="P120" s="316"/>
      <c r="Q120" s="316"/>
      <c r="R120" s="316"/>
      <c r="S120" s="316"/>
      <c r="T120" s="316"/>
      <c r="U120" s="316"/>
      <c r="V120" s="316"/>
      <c r="W120" s="316"/>
      <c r="X120" s="27" t="s">
        <v>10</v>
      </c>
      <c r="Z120" s="74" t="s">
        <v>436</v>
      </c>
      <c r="AA120" s="156"/>
    </row>
    <row r="121" spans="2:27" ht="27" customHeight="1" thickBot="1" x14ac:dyDescent="0.6">
      <c r="B121" s="230" t="s">
        <v>3</v>
      </c>
      <c r="C121" s="230"/>
      <c r="D121" s="317">
        <v>1</v>
      </c>
      <c r="E121" s="317"/>
      <c r="F121" s="317"/>
      <c r="G121" s="317"/>
      <c r="H121" s="317"/>
      <c r="I121" s="317"/>
      <c r="J121" s="317"/>
      <c r="K121" s="317"/>
      <c r="L121" s="317"/>
      <c r="M121" s="317"/>
      <c r="N121" s="317"/>
      <c r="O121" s="317"/>
      <c r="P121" s="317"/>
      <c r="Q121" s="317"/>
      <c r="R121" s="317"/>
      <c r="S121" s="317"/>
      <c r="T121" s="317"/>
      <c r="U121" s="317"/>
      <c r="V121" s="317"/>
      <c r="W121" s="317"/>
      <c r="X121" s="142">
        <f>IF(SUM(D121:W121)=0,"",SUM(D121:W121))</f>
        <v>1</v>
      </c>
      <c r="Z121" s="74"/>
    </row>
    <row r="122" spans="2:27" ht="27" customHeight="1" x14ac:dyDescent="0.55000000000000004">
      <c r="B122" s="234" t="s">
        <v>16</v>
      </c>
      <c r="C122" s="235"/>
      <c r="D122" s="318" t="s">
        <v>97</v>
      </c>
      <c r="E122" s="318"/>
      <c r="F122" s="318"/>
      <c r="G122" s="318"/>
      <c r="H122" s="318"/>
      <c r="I122" s="318"/>
      <c r="J122" s="318"/>
      <c r="K122" s="318"/>
      <c r="L122" s="318"/>
      <c r="M122" s="318"/>
      <c r="N122" s="318"/>
      <c r="O122" s="318"/>
      <c r="P122" s="318"/>
      <c r="Q122" s="318"/>
      <c r="R122" s="318"/>
      <c r="S122" s="318"/>
      <c r="T122" s="318"/>
      <c r="U122" s="318"/>
      <c r="V122" s="318"/>
      <c r="W122" s="318"/>
      <c r="X122" s="35" t="s">
        <v>10</v>
      </c>
      <c r="Z122" s="74" t="s">
        <v>437</v>
      </c>
    </row>
    <row r="123" spans="2:27" ht="27" customHeight="1" x14ac:dyDescent="0.55000000000000004">
      <c r="B123" s="239" t="s">
        <v>116</v>
      </c>
      <c r="C123" s="240"/>
      <c r="D123" s="318" t="s">
        <v>98</v>
      </c>
      <c r="E123" s="318"/>
      <c r="F123" s="318"/>
      <c r="G123" s="318"/>
      <c r="H123" s="318"/>
      <c r="I123" s="318"/>
      <c r="J123" s="318"/>
      <c r="K123" s="318"/>
      <c r="L123" s="318"/>
      <c r="M123" s="318"/>
      <c r="N123" s="318"/>
      <c r="O123" s="318"/>
      <c r="P123" s="318"/>
      <c r="Q123" s="318"/>
      <c r="R123" s="318"/>
      <c r="S123" s="318"/>
      <c r="T123" s="318"/>
      <c r="U123" s="318"/>
      <c r="V123" s="318"/>
      <c r="W123" s="318"/>
      <c r="X123" s="35" t="s">
        <v>10</v>
      </c>
      <c r="Z123" s="74" t="s">
        <v>435</v>
      </c>
    </row>
    <row r="124" spans="2:27" ht="27" customHeight="1" x14ac:dyDescent="0.55000000000000004">
      <c r="B124" s="259" t="s">
        <v>216</v>
      </c>
      <c r="C124" s="199" t="s">
        <v>7</v>
      </c>
      <c r="D124" s="319">
        <v>10</v>
      </c>
      <c r="E124" s="319"/>
      <c r="F124" s="319"/>
      <c r="G124" s="319"/>
      <c r="H124" s="319"/>
      <c r="I124" s="319"/>
      <c r="J124" s="319"/>
      <c r="K124" s="319"/>
      <c r="L124" s="319"/>
      <c r="M124" s="319"/>
      <c r="N124" s="319"/>
      <c r="O124" s="319"/>
      <c r="P124" s="319"/>
      <c r="Q124" s="319"/>
      <c r="R124" s="319"/>
      <c r="S124" s="319"/>
      <c r="T124" s="319"/>
      <c r="U124" s="319"/>
      <c r="V124" s="319"/>
      <c r="W124" s="319"/>
      <c r="X124" s="35" t="s">
        <v>10</v>
      </c>
      <c r="Z124" s="126"/>
    </row>
    <row r="125" spans="2:27" ht="27" customHeight="1" x14ac:dyDescent="0.55000000000000004">
      <c r="B125" s="260"/>
      <c r="C125" s="199" t="s">
        <v>8</v>
      </c>
      <c r="D125" s="319">
        <v>11.2</v>
      </c>
      <c r="E125" s="319"/>
      <c r="F125" s="319"/>
      <c r="G125" s="319"/>
      <c r="H125" s="319"/>
      <c r="I125" s="319"/>
      <c r="J125" s="319"/>
      <c r="K125" s="319"/>
      <c r="L125" s="319"/>
      <c r="M125" s="319"/>
      <c r="N125" s="319"/>
      <c r="O125" s="319"/>
      <c r="P125" s="319"/>
      <c r="Q125" s="319"/>
      <c r="R125" s="319"/>
      <c r="S125" s="319"/>
      <c r="T125" s="319"/>
      <c r="U125" s="319"/>
      <c r="V125" s="319"/>
      <c r="W125" s="319"/>
      <c r="X125" s="30" t="s">
        <v>10</v>
      </c>
      <c r="Z125" s="126"/>
    </row>
    <row r="126" spans="2:27" ht="27" customHeight="1" x14ac:dyDescent="0.55000000000000004">
      <c r="B126" s="259" t="s">
        <v>217</v>
      </c>
      <c r="C126" s="199" t="s">
        <v>7</v>
      </c>
      <c r="D126" s="320">
        <v>3.6</v>
      </c>
      <c r="E126" s="320"/>
      <c r="F126" s="320"/>
      <c r="G126" s="320"/>
      <c r="H126" s="320"/>
      <c r="I126" s="320"/>
      <c r="J126" s="320"/>
      <c r="K126" s="320"/>
      <c r="L126" s="320"/>
      <c r="M126" s="320"/>
      <c r="N126" s="320"/>
      <c r="O126" s="320"/>
      <c r="P126" s="320"/>
      <c r="Q126" s="320"/>
      <c r="R126" s="320"/>
      <c r="S126" s="320"/>
      <c r="T126" s="320"/>
      <c r="U126" s="320"/>
      <c r="V126" s="320"/>
      <c r="W126" s="320"/>
      <c r="X126" s="27" t="s">
        <v>10</v>
      </c>
      <c r="Z126" s="126"/>
    </row>
    <row r="127" spans="2:27" ht="27" customHeight="1" x14ac:dyDescent="0.55000000000000004">
      <c r="B127" s="261"/>
      <c r="C127" s="199" t="s">
        <v>8</v>
      </c>
      <c r="D127" s="320">
        <v>3.8</v>
      </c>
      <c r="E127" s="320"/>
      <c r="F127" s="320"/>
      <c r="G127" s="320"/>
      <c r="H127" s="320"/>
      <c r="I127" s="320"/>
      <c r="J127" s="320"/>
      <c r="K127" s="320"/>
      <c r="L127" s="320"/>
      <c r="M127" s="320"/>
      <c r="N127" s="320"/>
      <c r="O127" s="320"/>
      <c r="P127" s="320"/>
      <c r="Q127" s="320"/>
      <c r="R127" s="320"/>
      <c r="S127" s="320"/>
      <c r="T127" s="320"/>
      <c r="U127" s="320"/>
      <c r="V127" s="320"/>
      <c r="W127" s="320"/>
      <c r="X127" s="30" t="s">
        <v>10</v>
      </c>
      <c r="Z127" s="126"/>
    </row>
    <row r="128" spans="2:27" ht="27" customHeight="1" thickBot="1" x14ac:dyDescent="0.6">
      <c r="B128" s="260"/>
      <c r="C128" s="199" t="s">
        <v>96</v>
      </c>
      <c r="D128" s="321" t="s">
        <v>535</v>
      </c>
      <c r="E128" s="321"/>
      <c r="F128" s="321"/>
      <c r="G128" s="321"/>
      <c r="H128" s="321"/>
      <c r="I128" s="321"/>
      <c r="J128" s="321"/>
      <c r="K128" s="321"/>
      <c r="L128" s="321"/>
      <c r="M128" s="321"/>
      <c r="N128" s="321"/>
      <c r="O128" s="321"/>
      <c r="P128" s="321"/>
      <c r="Q128" s="321"/>
      <c r="R128" s="321"/>
      <c r="S128" s="321"/>
      <c r="T128" s="321"/>
      <c r="U128" s="321"/>
      <c r="V128" s="321"/>
      <c r="W128" s="321"/>
      <c r="X128" s="30" t="s">
        <v>10</v>
      </c>
      <c r="Z128" s="74" t="s">
        <v>438</v>
      </c>
    </row>
    <row r="129" spans="2:32" ht="45.75" customHeight="1" x14ac:dyDescent="0.55000000000000004">
      <c r="B129" s="244" t="s">
        <v>219</v>
      </c>
      <c r="C129" s="258"/>
      <c r="D129" s="151">
        <f>IF(計算!$O31=1,計算!$R31,IF(計算!$O31=2,計算!$U31,IF(計算!$O31=3,計算!$X31,IF(計算!$O31=4,計算!$AA31,IF(計算!$O31=5,計算!$AD31,"")))))</f>
        <v>42.900000000000006</v>
      </c>
      <c r="E129" s="147" t="str">
        <f>IF(計算!$O32=1,計算!$R32,IF(計算!$O32=2,計算!$U32,IF(計算!$O32=3,計算!$X32,IF(計算!$O32=4,計算!$AA32,IF(計算!$O32=5,計算!$AD32,"")))))</f>
        <v/>
      </c>
      <c r="F129" s="147" t="str">
        <f>IF(計算!$O33=1,計算!$R33,IF(計算!$O33=2,計算!$U33,IF(計算!$O33=3,計算!$X33,IF(計算!$O33=4,計算!$AA33,IF(計算!$O33=5,計算!$AD33,"")))))</f>
        <v/>
      </c>
      <c r="G129" s="147" t="str">
        <f>IF(計算!$O34=1,計算!$R34,IF(計算!$O34=2,計算!$U34,IF(計算!$O34=3,計算!$X34,IF(計算!$O34=4,計算!$AA34,IF(計算!$O34=5,計算!$AD34,"")))))</f>
        <v/>
      </c>
      <c r="H129" s="147" t="str">
        <f>IF(計算!$O35=1,計算!$R35,IF(計算!$O35=2,計算!$U35,IF(計算!$O35=3,計算!$X35,IF(計算!$O35=4,計算!$AA35,IF(計算!$O35=5,計算!$AD35,"")))))</f>
        <v/>
      </c>
      <c r="I129" s="147" t="str">
        <f>IF(計算!$O36=1,計算!$R36,IF(計算!$O36=2,計算!$U36,IF(計算!$O36=3,計算!$X36,IF(計算!$O36=4,計算!$AA36,IF(計算!$O36=5,計算!$AD36,"")))))</f>
        <v/>
      </c>
      <c r="J129" s="147" t="str">
        <f>IF(計算!$O37=1,計算!$R37,IF(計算!$O37=2,計算!$U37,IF(計算!$O37=3,計算!$X37,IF(計算!$O37=4,計算!$AA37,IF(計算!$O37=5,計算!$AD37,"")))))</f>
        <v/>
      </c>
      <c r="K129" s="147" t="str">
        <f>IF(計算!$O38=1,計算!$R38,IF(計算!$O38=2,計算!$U38,IF(計算!$O38=3,計算!$X38,IF(計算!$O38=4,計算!$AA38,IF(計算!$O38=5,計算!$AD38,"")))))</f>
        <v/>
      </c>
      <c r="L129" s="147" t="str">
        <f>IF(計算!$O39=1,計算!$R39,IF(計算!$O39=2,計算!$U39,IF(計算!$O39=3,計算!$X39,IF(計算!$O39=4,計算!$AA39,IF(計算!$O39=5,計算!$AD39,"")))))</f>
        <v/>
      </c>
      <c r="M129" s="147" t="str">
        <f>IF(計算!$O40=1,計算!$R40,IF(計算!$O40=2,計算!$U40,IF(計算!$O40=3,計算!$X40,IF(計算!$O40=4,計算!$AA40,IF(計算!$O40=5,計算!$AD40,"")))))</f>
        <v/>
      </c>
      <c r="N129" s="147" t="str">
        <f>IF(計算!$O41=1,計算!$R41,IF(計算!$O41=2,計算!$U41,IF(計算!$O41=3,計算!$X41,IF(計算!$O41=4,計算!$AA41,IF(計算!$O41=5,計算!$AD41,"")))))</f>
        <v/>
      </c>
      <c r="O129" s="147" t="str">
        <f>IF(計算!$O42=1,計算!$R42,IF(計算!$O42=2,計算!$U42,IF(計算!$O42=3,計算!$X42,IF(計算!$O42=4,計算!$AA42,IF(計算!$O42=5,計算!$AD42,"")))))</f>
        <v/>
      </c>
      <c r="P129" s="147" t="str">
        <f>IF(計算!$O43=1,計算!$R43,IF(計算!$O43=2,計算!$U43,IF(計算!$O43=3,計算!$X43,IF(計算!$O43=4,計算!$AA43,IF(計算!$O43=5,計算!$AD43,"")))))</f>
        <v/>
      </c>
      <c r="Q129" s="147" t="str">
        <f>IF(計算!$O44=1,計算!$R44,IF(計算!$O44=2,計算!$U44,IF(計算!$O44=3,計算!$X44,IF(計算!$O44=4,計算!$AA44,IF(計算!$O44=5,計算!$AD44,"")))))</f>
        <v/>
      </c>
      <c r="R129" s="147" t="str">
        <f>IF(計算!$O45=1,計算!$R45,IF(計算!$O45=2,計算!$U45,IF(計算!$O45=3,計算!$X45,IF(計算!$O45=4,計算!$AA45,IF(計算!$O45=5,計算!$AD45,"")))))</f>
        <v/>
      </c>
      <c r="S129" s="147" t="str">
        <f>IF(計算!$O46=1,計算!$R46,IF(計算!$O46=2,計算!$U46,IF(計算!$O46=3,計算!$X46,IF(計算!$O46=4,計算!$AA46,IF(計算!$O46=5,計算!$AD46,"")))))</f>
        <v/>
      </c>
      <c r="T129" s="147" t="str">
        <f>IF(計算!$O47=1,計算!$R47,IF(計算!$O47=2,計算!$U47,IF(計算!$O47=3,計算!$X47,IF(計算!$O47=4,計算!$AA47,IF(計算!$O47=5,計算!$AD47,"")))))</f>
        <v/>
      </c>
      <c r="U129" s="147" t="str">
        <f>IF(計算!$O48=1,計算!$R48,IF(計算!$O48=2,計算!$U48,IF(計算!$O48=3,計算!$X48,IF(計算!$O48=4,計算!$AA48,IF(計算!$O48=5,計算!$AD48,"")))))</f>
        <v/>
      </c>
      <c r="V129" s="147" t="str">
        <f>IF(計算!$O49=1,計算!$R49,IF(計算!$O49=2,計算!$U49,IF(計算!$O49=3,計算!$X49,IF(計算!$O49=4,計算!$AA49,IF(計算!$O49=5,計算!$AD49,"")))))</f>
        <v/>
      </c>
      <c r="W129" s="147" t="str">
        <f>IF(計算!$O50=1,計算!$R50,IF(計算!$O50=2,計算!$U50,IF(計算!$O50=3,計算!$X50,IF(計算!$O50=4,計算!$AA50,IF(計算!$O50=5,計算!$AD50,"")))))</f>
        <v/>
      </c>
      <c r="X129" s="148">
        <f>IF(SUM(D129:W129)=0,"",SUM(D129:W129))</f>
        <v>42.900000000000006</v>
      </c>
    </row>
    <row r="130" spans="2:32" ht="27" customHeight="1" thickBot="1" x14ac:dyDescent="0.6">
      <c r="B130" s="257" t="s">
        <v>220</v>
      </c>
      <c r="C130" s="258"/>
      <c r="D130" s="149">
        <f>IF(D129="","",ROUND(D129*0.0258,2))</f>
        <v>1.1100000000000001</v>
      </c>
      <c r="E130" s="149" t="str">
        <f t="shared" ref="E130:W130" si="18">IF(E129="","",ROUND(E129*0.0258,2))</f>
        <v/>
      </c>
      <c r="F130" s="149" t="str">
        <f t="shared" si="18"/>
        <v/>
      </c>
      <c r="G130" s="149" t="str">
        <f t="shared" si="18"/>
        <v/>
      </c>
      <c r="H130" s="149" t="str">
        <f t="shared" si="18"/>
        <v/>
      </c>
      <c r="I130" s="149" t="str">
        <f t="shared" si="18"/>
        <v/>
      </c>
      <c r="J130" s="149" t="str">
        <f t="shared" si="18"/>
        <v/>
      </c>
      <c r="K130" s="149" t="str">
        <f t="shared" si="18"/>
        <v/>
      </c>
      <c r="L130" s="149" t="str">
        <f t="shared" si="18"/>
        <v/>
      </c>
      <c r="M130" s="149" t="str">
        <f t="shared" si="18"/>
        <v/>
      </c>
      <c r="N130" s="149" t="str">
        <f t="shared" si="18"/>
        <v/>
      </c>
      <c r="O130" s="149" t="str">
        <f t="shared" si="18"/>
        <v/>
      </c>
      <c r="P130" s="149" t="str">
        <f t="shared" si="18"/>
        <v/>
      </c>
      <c r="Q130" s="149" t="str">
        <f t="shared" si="18"/>
        <v/>
      </c>
      <c r="R130" s="149" t="str">
        <f t="shared" si="18"/>
        <v/>
      </c>
      <c r="S130" s="149" t="str">
        <f t="shared" si="18"/>
        <v/>
      </c>
      <c r="T130" s="149" t="str">
        <f t="shared" si="18"/>
        <v/>
      </c>
      <c r="U130" s="149" t="str">
        <f t="shared" si="18"/>
        <v/>
      </c>
      <c r="V130" s="149" t="str">
        <f t="shared" si="18"/>
        <v/>
      </c>
      <c r="W130" s="149" t="str">
        <f t="shared" si="18"/>
        <v/>
      </c>
      <c r="X130" s="150">
        <f>IF(SUM(D130:W130)=0,"",SUM(D130:W130))</f>
        <v>1.1100000000000001</v>
      </c>
    </row>
    <row r="131" spans="2:32" ht="27" customHeight="1" x14ac:dyDescent="0.55000000000000004">
      <c r="B131" s="253" t="s">
        <v>215</v>
      </c>
      <c r="C131" s="83" t="s">
        <v>213</v>
      </c>
      <c r="D131" s="322"/>
      <c r="E131" s="322"/>
      <c r="F131" s="322"/>
      <c r="G131" s="322"/>
      <c r="H131" s="322"/>
      <c r="I131" s="322"/>
      <c r="J131" s="322"/>
      <c r="K131" s="322"/>
      <c r="L131" s="322"/>
      <c r="M131" s="322"/>
      <c r="N131" s="322"/>
      <c r="O131" s="322"/>
      <c r="P131" s="322"/>
      <c r="Q131" s="322"/>
      <c r="R131" s="322"/>
      <c r="S131" s="322"/>
      <c r="T131" s="322"/>
      <c r="U131" s="322"/>
      <c r="V131" s="322"/>
      <c r="W131" s="322"/>
      <c r="X131" s="27" t="s">
        <v>10</v>
      </c>
    </row>
    <row r="132" spans="2:32" ht="27" customHeight="1" x14ac:dyDescent="0.55000000000000004">
      <c r="B132" s="254"/>
      <c r="C132" s="83" t="s">
        <v>214</v>
      </c>
      <c r="D132" s="322">
        <v>2.9</v>
      </c>
      <c r="E132" s="322"/>
      <c r="F132" s="322"/>
      <c r="G132" s="322"/>
      <c r="H132" s="322"/>
      <c r="I132" s="322"/>
      <c r="J132" s="322"/>
      <c r="K132" s="322"/>
      <c r="L132" s="322"/>
      <c r="M132" s="322"/>
      <c r="N132" s="322"/>
      <c r="O132" s="322"/>
      <c r="P132" s="322"/>
      <c r="Q132" s="322"/>
      <c r="R132" s="322"/>
      <c r="S132" s="322"/>
      <c r="T132" s="322"/>
      <c r="U132" s="322"/>
      <c r="V132" s="322"/>
      <c r="W132" s="322"/>
      <c r="X132" s="30" t="s">
        <v>10</v>
      </c>
    </row>
    <row r="133" spans="2:32" hidden="1" x14ac:dyDescent="0.55000000000000004">
      <c r="B133" s="110" t="s">
        <v>273</v>
      </c>
      <c r="C133" s="110"/>
      <c r="D133" s="111">
        <f t="shared" ref="D133:W133" si="19">IF(D$120="",9,IF(OR(D$120="電気式パッケージ形空調機",D$120="ルームエアコン"),1,IF(AND(D$120="ガスヒートポンプ式空調機",D$122="都市ガス",D$128="kW"),2,IF(AND(D$120="ガスヒートポンプ式空調機",D$122="都市ガス",D$128="ｍ3N/h"),3,IF(AND(D$120="ガスヒートポンプ式空調機",D$122="LPG",D$128="kW"),4,IF(AND(D$120="ガスヒートポンプ式空調機",D$122="LPG",D$128="kg/h"),5,0))))))</f>
        <v>1</v>
      </c>
      <c r="E133" s="111">
        <f t="shared" si="19"/>
        <v>9</v>
      </c>
      <c r="F133" s="111">
        <f t="shared" si="19"/>
        <v>9</v>
      </c>
      <c r="G133" s="111">
        <f t="shared" si="19"/>
        <v>9</v>
      </c>
      <c r="H133" s="111">
        <f t="shared" si="19"/>
        <v>9</v>
      </c>
      <c r="I133" s="111">
        <f t="shared" si="19"/>
        <v>9</v>
      </c>
      <c r="J133" s="111">
        <f t="shared" si="19"/>
        <v>9</v>
      </c>
      <c r="K133" s="111">
        <f t="shared" si="19"/>
        <v>9</v>
      </c>
      <c r="L133" s="111">
        <f t="shared" si="19"/>
        <v>9</v>
      </c>
      <c r="M133" s="111">
        <f t="shared" si="19"/>
        <v>9</v>
      </c>
      <c r="N133" s="111">
        <f t="shared" si="19"/>
        <v>9</v>
      </c>
      <c r="O133" s="111">
        <f>IF(O$120="",9,IF(OR(O$120="電気式パッケージ形空調機",O$120="ルームエアコン"),1,IF(AND(O$120="ガスヒートポンプ式空調機",O$122="都市ガス",O$128="kW"),2,IF(AND(O$120="ガスヒートポンプ式空調機",O$122="都市ガス",O$128="ｍ3N/h"),3,IF(AND(O$120="ガスヒートポンプ式空調機",O$122="LPG",O$128="kW"),4,IF(AND(O$120="ガスヒートポンプ式空調機",O$122="LPG",O$128="kg/h"),5,0))))))</f>
        <v>9</v>
      </c>
      <c r="P133" s="111">
        <f t="shared" si="19"/>
        <v>9</v>
      </c>
      <c r="Q133" s="111">
        <f t="shared" si="19"/>
        <v>9</v>
      </c>
      <c r="R133" s="111">
        <f t="shared" si="19"/>
        <v>9</v>
      </c>
      <c r="S133" s="111">
        <f t="shared" si="19"/>
        <v>9</v>
      </c>
      <c r="T133" s="111">
        <f t="shared" si="19"/>
        <v>9</v>
      </c>
      <c r="U133" s="111">
        <f t="shared" si="19"/>
        <v>9</v>
      </c>
      <c r="V133" s="111">
        <f t="shared" si="19"/>
        <v>9</v>
      </c>
      <c r="W133" s="111">
        <f t="shared" si="19"/>
        <v>9</v>
      </c>
      <c r="X133" s="94"/>
      <c r="Y133" s="112">
        <f>COUNTIF($D133:$W133,0)</f>
        <v>0</v>
      </c>
      <c r="Z133" s="157">
        <f>COUNTIF($D133:$W133,1)</f>
        <v>1</v>
      </c>
      <c r="AA133" s="157">
        <f>COUNTIF($D133:$W133,2)</f>
        <v>0</v>
      </c>
      <c r="AB133" s="157">
        <f>COUNTIF($D133:$W133,3)</f>
        <v>0</v>
      </c>
      <c r="AC133" s="112">
        <f>COUNTIF($D133:$W133,4)</f>
        <v>0</v>
      </c>
      <c r="AD133" s="112">
        <f>COUNTIF($D133:$W133,5)</f>
        <v>0</v>
      </c>
      <c r="AE133" s="112"/>
      <c r="AF133" s="99">
        <v>119</v>
      </c>
    </row>
    <row r="134" spans="2:32" hidden="1" x14ac:dyDescent="0.55000000000000004">
      <c r="B134" s="110" t="s">
        <v>272</v>
      </c>
      <c r="C134" s="110"/>
      <c r="D134" s="111">
        <f>IF(AND(D$122="",D$128=""),9,IF(AND(D$122="電気",D$128="kW"),1,IF(AND(D$122="都市ガス",D$128="kW"),2,IF(AND(D$122="都市ガス",D$128="ｍ3N/h"),3,IF(AND(D$122="LPG",D$128="kW"),4,IF(AND(D$122="LPG",D$128="kg/h"),5,0))))))</f>
        <v>1</v>
      </c>
      <c r="E134" s="111">
        <f t="shared" ref="E134:W134" si="20">IF(AND(E$122="",E$128=""),9,IF(AND(E$122="電気",E$128="kW"),1,IF(AND(E$122="都市ガス",E$128="kW"),2,IF(AND(E$122="都市ガス",E$128="ｍ3N/h"),3,IF(AND(E$122="LPG",E$128="kW"),4,IF(AND(E$122="LPG",E$128="kg/h"),5,0))))))</f>
        <v>9</v>
      </c>
      <c r="F134" s="111">
        <f t="shared" si="20"/>
        <v>9</v>
      </c>
      <c r="G134" s="111">
        <f t="shared" si="20"/>
        <v>9</v>
      </c>
      <c r="H134" s="111">
        <f t="shared" si="20"/>
        <v>9</v>
      </c>
      <c r="I134" s="111">
        <f t="shared" si="20"/>
        <v>9</v>
      </c>
      <c r="J134" s="111">
        <f t="shared" si="20"/>
        <v>9</v>
      </c>
      <c r="K134" s="111">
        <f t="shared" si="20"/>
        <v>9</v>
      </c>
      <c r="L134" s="111">
        <f t="shared" si="20"/>
        <v>9</v>
      </c>
      <c r="M134" s="111">
        <f t="shared" si="20"/>
        <v>9</v>
      </c>
      <c r="N134" s="111">
        <f t="shared" si="20"/>
        <v>9</v>
      </c>
      <c r="O134" s="111">
        <f>IF(AND(O$122="",O$128=""),9,IF(AND(O$122="電気",O$128="kW"),1,IF(AND(O$122="都市ガス",O$128="kW"),2,IF(AND(O$122="都市ガス",O$128="ｍ3N/h"),3,IF(AND(O$122="LPG",O$128="kW"),4,IF(AND(O$122="LPG",O$128="kg/h"),5,0))))))</f>
        <v>9</v>
      </c>
      <c r="P134" s="111">
        <f t="shared" si="20"/>
        <v>9</v>
      </c>
      <c r="Q134" s="111">
        <f t="shared" si="20"/>
        <v>9</v>
      </c>
      <c r="R134" s="111">
        <f t="shared" si="20"/>
        <v>9</v>
      </c>
      <c r="S134" s="111">
        <f t="shared" si="20"/>
        <v>9</v>
      </c>
      <c r="T134" s="111">
        <f t="shared" si="20"/>
        <v>9</v>
      </c>
      <c r="U134" s="111">
        <f t="shared" si="20"/>
        <v>9</v>
      </c>
      <c r="V134" s="111">
        <f t="shared" si="20"/>
        <v>9</v>
      </c>
      <c r="W134" s="111">
        <f t="shared" si="20"/>
        <v>9</v>
      </c>
      <c r="X134" s="94"/>
      <c r="Y134" s="112">
        <f>COUNTIF($D134:$W134,0)</f>
        <v>0</v>
      </c>
      <c r="Z134" s="157">
        <f>COUNTIF($D134:$W134,1)</f>
        <v>1</v>
      </c>
      <c r="AA134" s="157">
        <f>COUNTIF($D134:$W134,2)</f>
        <v>0</v>
      </c>
      <c r="AB134" s="157">
        <f>COUNTIF($D134:$W134,3)</f>
        <v>0</v>
      </c>
      <c r="AC134" s="112">
        <f>COUNTIF($D134:$W134,4)</f>
        <v>0</v>
      </c>
      <c r="AD134" s="112">
        <f>COUNTIF($D134:$W134,5)</f>
        <v>0</v>
      </c>
      <c r="AE134" s="112"/>
      <c r="AF134" s="99">
        <v>120</v>
      </c>
    </row>
    <row r="135" spans="2:32" hidden="1" x14ac:dyDescent="0.55000000000000004">
      <c r="B135" s="113" t="s">
        <v>269</v>
      </c>
      <c r="C135" s="113"/>
      <c r="D135" s="114">
        <f>IF(OR(AND(D133=0,D134=0),D133&lt;&gt;D134),1,IF(AND(D133=9,D134=9),2,IF(D133=D134,0,"")))</f>
        <v>0</v>
      </c>
      <c r="E135" s="114">
        <f t="shared" ref="E135:V135" si="21">IF(OR(AND(E133=0,E134=0),E133&lt;&gt;E134),1,IF(AND(E133=9,E134=9),2,IF(E133=E134,0,"")))</f>
        <v>2</v>
      </c>
      <c r="F135" s="114">
        <f t="shared" si="21"/>
        <v>2</v>
      </c>
      <c r="G135" s="114">
        <f t="shared" si="21"/>
        <v>2</v>
      </c>
      <c r="H135" s="114">
        <f t="shared" si="21"/>
        <v>2</v>
      </c>
      <c r="I135" s="114">
        <f t="shared" si="21"/>
        <v>2</v>
      </c>
      <c r="J135" s="114">
        <f t="shared" si="21"/>
        <v>2</v>
      </c>
      <c r="K135" s="114">
        <f t="shared" si="21"/>
        <v>2</v>
      </c>
      <c r="L135" s="114">
        <f t="shared" si="21"/>
        <v>2</v>
      </c>
      <c r="M135" s="114">
        <f t="shared" si="21"/>
        <v>2</v>
      </c>
      <c r="N135" s="114">
        <f t="shared" si="21"/>
        <v>2</v>
      </c>
      <c r="O135" s="114">
        <f>IF(OR(AND(O133=0,O134=0),O133&lt;&gt;O134),1,IF(AND(O133=9,O134=9),2,IF(O133=O134,0,"")))</f>
        <v>2</v>
      </c>
      <c r="P135" s="114">
        <f t="shared" si="21"/>
        <v>2</v>
      </c>
      <c r="Q135" s="114">
        <f t="shared" si="21"/>
        <v>2</v>
      </c>
      <c r="R135" s="114">
        <f t="shared" si="21"/>
        <v>2</v>
      </c>
      <c r="S135" s="114">
        <f t="shared" si="21"/>
        <v>2</v>
      </c>
      <c r="T135" s="114">
        <f t="shared" si="21"/>
        <v>2</v>
      </c>
      <c r="U135" s="114">
        <f t="shared" si="21"/>
        <v>2</v>
      </c>
      <c r="V135" s="114">
        <f t="shared" si="21"/>
        <v>2</v>
      </c>
      <c r="W135" s="114">
        <f>IF(OR(AND(W133=0,W134=0),W133&lt;&gt;W134),1,IF(AND(W133=9,W134=9),2,IF(W133=W134,0,"")))</f>
        <v>2</v>
      </c>
      <c r="X135" s="94" t="str">
        <f>IF(Z135&gt;0,"入力確認",IF(AE137=Y135,"適合","不適合"))</f>
        <v>適合</v>
      </c>
      <c r="Y135" s="112">
        <f>COUNTIF($D135:$W135,0)</f>
        <v>1</v>
      </c>
      <c r="Z135" s="157">
        <f>COUNTIF($D135:$W135,1)</f>
        <v>0</v>
      </c>
      <c r="AA135" s="157">
        <f>COUNTIF($D135:$W135,2)</f>
        <v>19</v>
      </c>
      <c r="AB135" s="157"/>
      <c r="AC135" s="112"/>
      <c r="AD135" s="112"/>
      <c r="AE135" s="112"/>
      <c r="AF135" s="99">
        <v>121</v>
      </c>
    </row>
    <row r="136" spans="2:32" hidden="1" x14ac:dyDescent="0.55000000000000004">
      <c r="B136" s="145" t="s">
        <v>428</v>
      </c>
      <c r="C136" s="145"/>
      <c r="D136" s="146">
        <f>IF(OR(D126&lt;0,D127&lt;0),1,IF(OR(D126&gt;0,D127&gt;0),0,2))</f>
        <v>0</v>
      </c>
      <c r="E136" s="146">
        <f t="shared" ref="E136:N136" si="22">IF(OR(E126&lt;0,E127&lt;0),1,IF(OR(E126&gt;0,E127&gt;0),0,2))</f>
        <v>2</v>
      </c>
      <c r="F136" s="146">
        <f t="shared" si="22"/>
        <v>2</v>
      </c>
      <c r="G136" s="146">
        <f t="shared" si="22"/>
        <v>2</v>
      </c>
      <c r="H136" s="146">
        <f t="shared" si="22"/>
        <v>2</v>
      </c>
      <c r="I136" s="146">
        <f t="shared" si="22"/>
        <v>2</v>
      </c>
      <c r="J136" s="146">
        <f t="shared" si="22"/>
        <v>2</v>
      </c>
      <c r="K136" s="146">
        <f t="shared" si="22"/>
        <v>2</v>
      </c>
      <c r="L136" s="146">
        <f t="shared" si="22"/>
        <v>2</v>
      </c>
      <c r="M136" s="146">
        <f t="shared" si="22"/>
        <v>2</v>
      </c>
      <c r="N136" s="146">
        <f t="shared" si="22"/>
        <v>2</v>
      </c>
      <c r="O136" s="146">
        <f>IF(OR(O126&lt;0,O127&lt;0),1,IF(OR(O126&gt;0,O127&gt;0),0,2))</f>
        <v>2</v>
      </c>
      <c r="P136" s="146">
        <f t="shared" ref="P136:W136" si="23">IF(OR(P126&lt;0,P127&lt;0),1,IF(OR(P126&gt;0,P127&gt;0),0,2))</f>
        <v>2</v>
      </c>
      <c r="Q136" s="146">
        <f t="shared" si="23"/>
        <v>2</v>
      </c>
      <c r="R136" s="146">
        <f t="shared" si="23"/>
        <v>2</v>
      </c>
      <c r="S136" s="146">
        <f t="shared" si="23"/>
        <v>2</v>
      </c>
      <c r="T136" s="146">
        <f t="shared" si="23"/>
        <v>2</v>
      </c>
      <c r="U136" s="146">
        <f t="shared" si="23"/>
        <v>2</v>
      </c>
      <c r="V136" s="146">
        <f t="shared" si="23"/>
        <v>2</v>
      </c>
      <c r="W136" s="146">
        <f t="shared" si="23"/>
        <v>2</v>
      </c>
      <c r="X136" s="94" t="str">
        <f>IF(Z136&gt;0,"入力確認",IF(AE137=Y136,"適合","不適合"))</f>
        <v>適合</v>
      </c>
      <c r="Y136" s="112">
        <f>COUNTIF($D136:$W136,0)</f>
        <v>1</v>
      </c>
      <c r="Z136" s="157">
        <f>COUNTIF($D136:$W136,1)</f>
        <v>0</v>
      </c>
      <c r="AA136" s="157">
        <f>COUNTIF($D136:$W136,2)</f>
        <v>19</v>
      </c>
      <c r="AB136" s="157"/>
      <c r="AC136" s="112"/>
      <c r="AD136" s="112"/>
      <c r="AE136" s="112"/>
      <c r="AF136" s="99">
        <v>122</v>
      </c>
    </row>
    <row r="137" spans="2:32" hidden="1" x14ac:dyDescent="0.55000000000000004">
      <c r="B137" s="96" t="s">
        <v>246</v>
      </c>
      <c r="C137" s="94"/>
      <c r="D137" s="94">
        <f t="shared" ref="D137:W137" si="24">IF(AND(D120="",D121="",D122="",D123="",D124="",D125="",D126="",D127="",D128="",D131="",D132=""),2,IF(AND(D120&lt;&gt;"",D121&lt;&gt;"",D122&lt;&gt;"",D123&lt;&gt;"",D124&lt;&gt;"",D125&lt;&gt;"",D126&lt;&gt;"",D127&lt;&gt;"",D128&lt;&gt;"",OR(D131&lt;&gt;"",D132&lt;&gt;"")),0,1))</f>
        <v>0</v>
      </c>
      <c r="E137" s="94">
        <f t="shared" si="24"/>
        <v>2</v>
      </c>
      <c r="F137" s="94">
        <f t="shared" si="24"/>
        <v>2</v>
      </c>
      <c r="G137" s="94">
        <f t="shared" si="24"/>
        <v>2</v>
      </c>
      <c r="H137" s="94">
        <f t="shared" si="24"/>
        <v>2</v>
      </c>
      <c r="I137" s="94">
        <f t="shared" si="24"/>
        <v>2</v>
      </c>
      <c r="J137" s="94">
        <f t="shared" si="24"/>
        <v>2</v>
      </c>
      <c r="K137" s="94">
        <f t="shared" si="24"/>
        <v>2</v>
      </c>
      <c r="L137" s="94">
        <f t="shared" si="24"/>
        <v>2</v>
      </c>
      <c r="M137" s="94">
        <f t="shared" si="24"/>
        <v>2</v>
      </c>
      <c r="N137" s="94">
        <f t="shared" si="24"/>
        <v>2</v>
      </c>
      <c r="O137" s="94">
        <f>IF(AND(O120="",O121="",O122="",O123="",O124="",O125="",O126="",O127="",O128="",O131="",O132=""),2,IF(AND(O120&lt;&gt;"",O121&lt;&gt;"",O122&lt;&gt;"",O123&lt;&gt;"",O124&lt;&gt;"",O125&lt;&gt;"",O126&lt;&gt;"",O127&lt;&gt;"",O128&lt;&gt;"",OR(O131&lt;&gt;"",O132&lt;&gt;"")),0,1))</f>
        <v>2</v>
      </c>
      <c r="P137" s="94">
        <f t="shared" si="24"/>
        <v>2</v>
      </c>
      <c r="Q137" s="94">
        <f t="shared" si="24"/>
        <v>2</v>
      </c>
      <c r="R137" s="94">
        <f t="shared" si="24"/>
        <v>2</v>
      </c>
      <c r="S137" s="94">
        <f t="shared" si="24"/>
        <v>2</v>
      </c>
      <c r="T137" s="94">
        <f t="shared" si="24"/>
        <v>2</v>
      </c>
      <c r="U137" s="94">
        <f t="shared" si="24"/>
        <v>2</v>
      </c>
      <c r="V137" s="94">
        <f t="shared" si="24"/>
        <v>2</v>
      </c>
      <c r="W137" s="94">
        <f t="shared" si="24"/>
        <v>2</v>
      </c>
      <c r="X137" s="94" t="str">
        <f>IF(Z137&gt;0,"入力確認",IF(AE137=Y137,"適合","不適合"))</f>
        <v>適合</v>
      </c>
      <c r="Y137" s="112">
        <f>COUNTIF($D137:$W137,0)</f>
        <v>1</v>
      </c>
      <c r="Z137" s="157">
        <f>COUNTIF($D137:$W137,1)</f>
        <v>0</v>
      </c>
      <c r="AA137" s="157">
        <f>COUNTIF($D137:$W137,2)</f>
        <v>19</v>
      </c>
      <c r="AB137" s="157"/>
      <c r="AC137" s="112"/>
      <c r="AD137" s="112"/>
      <c r="AE137" s="144">
        <f>20-COUNTIF($D$120:$W$120,"")</f>
        <v>1</v>
      </c>
      <c r="AF137" s="99">
        <v>123</v>
      </c>
    </row>
    <row r="138" spans="2:32" x14ac:dyDescent="0.55000000000000004">
      <c r="B138" s="36"/>
      <c r="C138" s="36"/>
      <c r="D138" s="37"/>
      <c r="E138" s="37"/>
      <c r="F138" s="37"/>
      <c r="G138" s="37"/>
      <c r="H138" s="37"/>
      <c r="I138" s="37"/>
      <c r="J138" s="37"/>
      <c r="K138" s="37"/>
      <c r="L138" s="37"/>
      <c r="M138" s="37"/>
      <c r="N138" s="37"/>
      <c r="O138" s="37"/>
      <c r="P138" s="37"/>
      <c r="Q138" s="37"/>
      <c r="R138" s="37"/>
      <c r="S138" s="37"/>
      <c r="T138" s="37"/>
      <c r="U138" s="37"/>
      <c r="V138" s="37"/>
      <c r="W138" s="37"/>
      <c r="X138" s="37"/>
    </row>
    <row r="139" spans="2:32" ht="42" customHeight="1" thickBot="1" x14ac:dyDescent="0.6">
      <c r="B139" s="152" t="s">
        <v>429</v>
      </c>
      <c r="C139" s="25"/>
    </row>
    <row r="140" spans="2:32" ht="27" customHeight="1" thickBot="1" x14ac:dyDescent="0.6">
      <c r="B140" s="232" t="s">
        <v>129</v>
      </c>
      <c r="C140" s="232"/>
      <c r="D140" s="26" t="s">
        <v>296</v>
      </c>
      <c r="E140" s="26" t="s">
        <v>297</v>
      </c>
      <c r="F140" s="26" t="s">
        <v>298</v>
      </c>
      <c r="G140" s="26" t="s">
        <v>299</v>
      </c>
      <c r="H140" s="26" t="s">
        <v>300</v>
      </c>
      <c r="I140" s="26" t="s">
        <v>301</v>
      </c>
      <c r="J140" s="26" t="s">
        <v>302</v>
      </c>
      <c r="K140" s="26" t="s">
        <v>303</v>
      </c>
      <c r="L140" s="26" t="s">
        <v>304</v>
      </c>
      <c r="M140" s="26" t="s">
        <v>305</v>
      </c>
      <c r="N140" s="26" t="s">
        <v>361</v>
      </c>
      <c r="O140" s="26" t="s">
        <v>362</v>
      </c>
      <c r="P140" s="26" t="s">
        <v>363</v>
      </c>
      <c r="Q140" s="26" t="s">
        <v>364</v>
      </c>
      <c r="R140" s="26" t="s">
        <v>365</v>
      </c>
      <c r="S140" s="26" t="s">
        <v>366</v>
      </c>
      <c r="T140" s="26" t="s">
        <v>367</v>
      </c>
      <c r="U140" s="26" t="s">
        <v>368</v>
      </c>
      <c r="V140" s="26" t="s">
        <v>369</v>
      </c>
      <c r="W140" s="26" t="s">
        <v>370</v>
      </c>
      <c r="X140" s="33" t="s">
        <v>0</v>
      </c>
      <c r="Z140" s="74" t="s">
        <v>434</v>
      </c>
    </row>
    <row r="141" spans="2:32" ht="63" customHeight="1" thickBot="1" x14ac:dyDescent="0.6">
      <c r="B141" s="231" t="s">
        <v>264</v>
      </c>
      <c r="C141" s="231"/>
      <c r="D141" s="316" t="s">
        <v>14</v>
      </c>
      <c r="E141" s="316"/>
      <c r="F141" s="316"/>
      <c r="G141" s="316"/>
      <c r="H141" s="316"/>
      <c r="I141" s="316"/>
      <c r="J141" s="316"/>
      <c r="K141" s="316"/>
      <c r="L141" s="316"/>
      <c r="M141" s="316"/>
      <c r="N141" s="323"/>
      <c r="O141" s="323"/>
      <c r="P141" s="323"/>
      <c r="Q141" s="323"/>
      <c r="R141" s="323"/>
      <c r="S141" s="323"/>
      <c r="T141" s="323"/>
      <c r="U141" s="323"/>
      <c r="V141" s="323"/>
      <c r="W141" s="323"/>
      <c r="X141" s="27" t="s">
        <v>10</v>
      </c>
      <c r="Z141" s="74" t="s">
        <v>436</v>
      </c>
    </row>
    <row r="142" spans="2:32" ht="27" customHeight="1" thickBot="1" x14ac:dyDescent="0.6">
      <c r="B142" s="231" t="s">
        <v>3</v>
      </c>
      <c r="C142" s="231"/>
      <c r="D142" s="317">
        <v>2</v>
      </c>
      <c r="E142" s="317"/>
      <c r="F142" s="317"/>
      <c r="G142" s="317"/>
      <c r="H142" s="317"/>
      <c r="I142" s="317"/>
      <c r="J142" s="317"/>
      <c r="K142" s="317"/>
      <c r="L142" s="317"/>
      <c r="M142" s="317"/>
      <c r="N142" s="317"/>
      <c r="O142" s="317"/>
      <c r="P142" s="317"/>
      <c r="Q142" s="317"/>
      <c r="R142" s="317"/>
      <c r="S142" s="317"/>
      <c r="T142" s="317"/>
      <c r="U142" s="317"/>
      <c r="V142" s="317"/>
      <c r="W142" s="317"/>
      <c r="X142" s="142">
        <f>IF(SUM(D142:W142)=0,"",SUM(D142:W142))</f>
        <v>2</v>
      </c>
      <c r="Z142" s="74"/>
    </row>
    <row r="143" spans="2:32" ht="27" customHeight="1" x14ac:dyDescent="0.55000000000000004">
      <c r="B143" s="235" t="s">
        <v>16</v>
      </c>
      <c r="C143" s="235"/>
      <c r="D143" s="318" t="s">
        <v>97</v>
      </c>
      <c r="E143" s="318"/>
      <c r="F143" s="318"/>
      <c r="G143" s="318"/>
      <c r="H143" s="318"/>
      <c r="I143" s="318"/>
      <c r="J143" s="318"/>
      <c r="K143" s="318"/>
      <c r="L143" s="318"/>
      <c r="M143" s="318"/>
      <c r="N143" s="318"/>
      <c r="O143" s="318"/>
      <c r="P143" s="318"/>
      <c r="Q143" s="318"/>
      <c r="R143" s="318"/>
      <c r="S143" s="318"/>
      <c r="T143" s="318"/>
      <c r="U143" s="318"/>
      <c r="V143" s="318"/>
      <c r="W143" s="318"/>
      <c r="X143" s="35" t="s">
        <v>10</v>
      </c>
      <c r="Z143" s="74" t="s">
        <v>437</v>
      </c>
    </row>
    <row r="144" spans="2:32" ht="27" customHeight="1" x14ac:dyDescent="0.55000000000000004">
      <c r="B144" s="244" t="s">
        <v>116</v>
      </c>
      <c r="C144" s="245"/>
      <c r="D144" s="318" t="s">
        <v>98</v>
      </c>
      <c r="E144" s="318"/>
      <c r="F144" s="318"/>
      <c r="G144" s="318"/>
      <c r="H144" s="318"/>
      <c r="I144" s="318"/>
      <c r="J144" s="318"/>
      <c r="K144" s="318"/>
      <c r="L144" s="318"/>
      <c r="M144" s="318"/>
      <c r="N144" s="324"/>
      <c r="O144" s="324"/>
      <c r="P144" s="324"/>
      <c r="Q144" s="324"/>
      <c r="R144" s="324"/>
      <c r="S144" s="324"/>
      <c r="T144" s="324"/>
      <c r="U144" s="324"/>
      <c r="V144" s="324"/>
      <c r="W144" s="324"/>
      <c r="X144" s="35" t="s">
        <v>10</v>
      </c>
      <c r="Z144" s="74" t="s">
        <v>435</v>
      </c>
    </row>
    <row r="145" spans="2:32" ht="27" customHeight="1" x14ac:dyDescent="0.55000000000000004">
      <c r="B145" s="241" t="s">
        <v>216</v>
      </c>
      <c r="C145" s="84" t="s">
        <v>7</v>
      </c>
      <c r="D145" s="319">
        <v>5</v>
      </c>
      <c r="E145" s="319"/>
      <c r="F145" s="319"/>
      <c r="G145" s="319"/>
      <c r="H145" s="319"/>
      <c r="I145" s="319"/>
      <c r="J145" s="319"/>
      <c r="K145" s="319"/>
      <c r="L145" s="319"/>
      <c r="M145" s="319"/>
      <c r="N145" s="325"/>
      <c r="O145" s="325"/>
      <c r="P145" s="325"/>
      <c r="Q145" s="325"/>
      <c r="R145" s="325"/>
      <c r="S145" s="325"/>
      <c r="T145" s="325"/>
      <c r="U145" s="325"/>
      <c r="V145" s="325"/>
      <c r="W145" s="325"/>
      <c r="X145" s="35" t="s">
        <v>10</v>
      </c>
      <c r="Z145" s="126"/>
    </row>
    <row r="146" spans="2:32" ht="27" customHeight="1" x14ac:dyDescent="0.55000000000000004">
      <c r="B146" s="243"/>
      <c r="C146" s="84" t="s">
        <v>8</v>
      </c>
      <c r="D146" s="319">
        <v>5.6</v>
      </c>
      <c r="E146" s="319"/>
      <c r="F146" s="319"/>
      <c r="G146" s="319"/>
      <c r="H146" s="319"/>
      <c r="I146" s="319"/>
      <c r="J146" s="319"/>
      <c r="K146" s="319"/>
      <c r="L146" s="319"/>
      <c r="M146" s="319"/>
      <c r="N146" s="319"/>
      <c r="O146" s="319"/>
      <c r="P146" s="319"/>
      <c r="Q146" s="319"/>
      <c r="R146" s="319"/>
      <c r="S146" s="319"/>
      <c r="T146" s="319"/>
      <c r="U146" s="319"/>
      <c r="V146" s="319"/>
      <c r="W146" s="319"/>
      <c r="X146" s="30" t="s">
        <v>10</v>
      </c>
      <c r="Z146" s="126"/>
    </row>
    <row r="147" spans="2:32" ht="27" customHeight="1" x14ac:dyDescent="0.55000000000000004">
      <c r="B147" s="241" t="s">
        <v>218</v>
      </c>
      <c r="C147" s="84" t="s">
        <v>7</v>
      </c>
      <c r="D147" s="326"/>
      <c r="E147" s="326"/>
      <c r="F147" s="326"/>
      <c r="G147" s="326"/>
      <c r="H147" s="326"/>
      <c r="I147" s="326"/>
      <c r="J147" s="326"/>
      <c r="K147" s="326"/>
      <c r="L147" s="326"/>
      <c r="M147" s="326"/>
      <c r="N147" s="327"/>
      <c r="O147" s="327"/>
      <c r="P147" s="327"/>
      <c r="Q147" s="327"/>
      <c r="R147" s="327"/>
      <c r="S147" s="327"/>
      <c r="T147" s="327"/>
      <c r="U147" s="327"/>
      <c r="V147" s="327"/>
      <c r="W147" s="327"/>
      <c r="X147" s="27" t="s">
        <v>10</v>
      </c>
      <c r="Z147" s="126"/>
    </row>
    <row r="148" spans="2:32" ht="27" customHeight="1" x14ac:dyDescent="0.55000000000000004">
      <c r="B148" s="242"/>
      <c r="C148" s="84" t="s">
        <v>8</v>
      </c>
      <c r="D148" s="326">
        <v>1.64</v>
      </c>
      <c r="E148" s="326"/>
      <c r="F148" s="326"/>
      <c r="G148" s="326"/>
      <c r="H148" s="326"/>
      <c r="I148" s="326"/>
      <c r="J148" s="326"/>
      <c r="K148" s="326"/>
      <c r="L148" s="326"/>
      <c r="M148" s="326"/>
      <c r="N148" s="326"/>
      <c r="O148" s="326"/>
      <c r="P148" s="326"/>
      <c r="Q148" s="326"/>
      <c r="R148" s="326"/>
      <c r="S148" s="326"/>
      <c r="T148" s="326"/>
      <c r="U148" s="326"/>
      <c r="V148" s="326"/>
      <c r="W148" s="326"/>
      <c r="X148" s="30" t="s">
        <v>10</v>
      </c>
      <c r="Z148" s="126"/>
    </row>
    <row r="149" spans="2:32" ht="27" customHeight="1" thickBot="1" x14ac:dyDescent="0.6">
      <c r="B149" s="243"/>
      <c r="C149" s="84" t="s">
        <v>96</v>
      </c>
      <c r="D149" s="321" t="s">
        <v>535</v>
      </c>
      <c r="E149" s="321"/>
      <c r="F149" s="321"/>
      <c r="G149" s="321"/>
      <c r="H149" s="321"/>
      <c r="I149" s="321"/>
      <c r="J149" s="321"/>
      <c r="K149" s="321"/>
      <c r="L149" s="321"/>
      <c r="M149" s="321"/>
      <c r="N149" s="321"/>
      <c r="O149" s="321"/>
      <c r="P149" s="321"/>
      <c r="Q149" s="321"/>
      <c r="R149" s="321"/>
      <c r="S149" s="321"/>
      <c r="T149" s="321"/>
      <c r="U149" s="321"/>
      <c r="V149" s="321"/>
      <c r="W149" s="321"/>
      <c r="X149" s="30" t="s">
        <v>10</v>
      </c>
      <c r="Z149" s="74" t="s">
        <v>438</v>
      </c>
    </row>
    <row r="150" spans="2:32" ht="45" customHeight="1" x14ac:dyDescent="0.55000000000000004">
      <c r="B150" s="244" t="s">
        <v>219</v>
      </c>
      <c r="C150" s="245"/>
      <c r="D150" s="147">
        <f>IF(計算!$O56=1,計算!$R56,IF(計算!$O56=2,計算!$U56,IF(計算!$O56=3,計算!$X56,IF(計算!$O56=4,計算!$AA56,IF(計算!$O56=5,計算!$AD56,"")))))</f>
        <v>37</v>
      </c>
      <c r="E150" s="147" t="str">
        <f>IF(計算!$O57=1,計算!$R57,IF(計算!$O57=2,計算!$U57,IF(計算!$O57=3,計算!$X57,IF(計算!$O57=4,計算!$AA57,IF(計算!$O57=5,計算!$AD57,"")))))</f>
        <v/>
      </c>
      <c r="F150" s="147" t="str">
        <f>IF(計算!$O58=1,計算!$R58,IF(計算!$O58=2,計算!$U58,IF(計算!$O58=3,計算!$X58,IF(計算!$O58=4,計算!$AA58,IF(計算!$O58=5,計算!$AD58,"")))))</f>
        <v/>
      </c>
      <c r="G150" s="147" t="str">
        <f>IF(計算!$O59=1,計算!$R59,IF(計算!$O59=2,計算!$U59,IF(計算!$O59=3,計算!$X59,IF(計算!$O59=4,計算!$AA59,IF(計算!$O59=5,計算!$AD59,"")))))</f>
        <v/>
      </c>
      <c r="H150" s="147" t="str">
        <f>IF(計算!$O60=1,計算!$R60,IF(計算!$O60=2,計算!$U60,IF(計算!$O60=3,計算!$X60,IF(計算!$O60=4,計算!$AA60,IF(計算!$O60=5,計算!$AD60,"")))))</f>
        <v/>
      </c>
      <c r="I150" s="147" t="str">
        <f>IF(計算!$O61=1,計算!$R61,IF(計算!$O61=2,計算!$U61,IF(計算!$O61=3,計算!$X61,IF(計算!$O61=4,計算!$AA61,IF(計算!$O61=5,計算!$AD61,"")))))</f>
        <v/>
      </c>
      <c r="J150" s="147" t="str">
        <f>IF(計算!$O62=1,計算!$R62,IF(計算!$O62=2,計算!$U62,IF(計算!$O62=3,計算!$X62,IF(計算!$O62=4,計算!$AA62,IF(計算!$O62=5,計算!$AD62,"")))))</f>
        <v/>
      </c>
      <c r="K150" s="147" t="str">
        <f>IF(計算!$O63=1,計算!$R63,IF(計算!$O63=2,計算!$U63,IF(計算!$O63=3,計算!$X63,IF(計算!$O63=4,計算!$AA63,IF(計算!$O63=5,計算!$AD63,"")))))</f>
        <v/>
      </c>
      <c r="L150" s="147" t="str">
        <f>IF(計算!$O64=1,計算!$R64,IF(計算!$O64=2,計算!$U64,IF(計算!$O64=3,計算!$X64,IF(計算!$O64=4,計算!$AA64,IF(計算!$O64=5,計算!$AD64,"")))))</f>
        <v/>
      </c>
      <c r="M150" s="147" t="str">
        <f>IF(計算!$O65=1,計算!$R65,IF(計算!$O65=2,計算!$U65,IF(計算!$O65=3,計算!$X65,IF(計算!$O65=4,計算!$AA65,IF(計算!$O65=5,計算!$AD65,"")))))</f>
        <v/>
      </c>
      <c r="N150" s="147" t="str">
        <f>IF(計算!$O66=1,計算!$R66,IF(計算!$O66=2,計算!$U66,IF(計算!$O66=3,計算!$X66,IF(計算!$O66=4,計算!$AA66,IF(計算!$O66=5,計算!$AD66,"")))))</f>
        <v/>
      </c>
      <c r="O150" s="147" t="str">
        <f>IF(計算!$O67=1,計算!$R67,IF(計算!$O67=2,計算!$U67,IF(計算!$O67=3,計算!$X67,IF(計算!$O67=4,計算!$AA67,IF(計算!$O67=5,計算!$AD67,"")))))</f>
        <v/>
      </c>
      <c r="P150" s="147" t="str">
        <f>IF(計算!$O68=1,計算!$R68,IF(計算!$O68=2,計算!$U68,IF(計算!$O68=3,計算!$X68,IF(計算!$O68=4,計算!$AA68,IF(計算!$O68=5,計算!$AD68,"")))))</f>
        <v/>
      </c>
      <c r="Q150" s="147" t="str">
        <f>IF(計算!$O69=1,計算!$R69,IF(計算!$O69=2,計算!$U69,IF(計算!$O69=3,計算!$X69,IF(計算!$O69=4,計算!$AA69,IF(計算!$O69=5,計算!$AD69,"")))))</f>
        <v/>
      </c>
      <c r="R150" s="147" t="str">
        <f>IF(計算!$O70=1,計算!$R70,IF(計算!$O70=2,計算!$U70,IF(計算!$O70=3,計算!$X70,IF(計算!$O70=4,計算!$AA70,IF(計算!$O70=5,計算!$AD70,"")))))</f>
        <v/>
      </c>
      <c r="S150" s="147" t="str">
        <f>IF(計算!$O71=1,計算!$R71,IF(計算!$O71=2,計算!$U71,IF(計算!$O71=3,計算!$X71,IF(計算!$O71=4,計算!$AA71,IF(計算!$O71=5,計算!$AD71,"")))))</f>
        <v/>
      </c>
      <c r="T150" s="147" t="str">
        <f>IF(計算!$O72=1,計算!$R72,IF(計算!$O72=2,計算!$U72,IF(計算!$O72=3,計算!$X72,IF(計算!$O72=4,計算!$AA72,IF(計算!$O72=5,計算!$AD72,"")))))</f>
        <v/>
      </c>
      <c r="U150" s="147" t="str">
        <f>IF(計算!$O73=1,計算!$R73,IF(計算!$O73=2,計算!$U73,IF(計算!$O73=3,計算!$X73,IF(計算!$O73=4,計算!$AA73,IF(計算!$O73=5,計算!$AD73,"")))))</f>
        <v/>
      </c>
      <c r="V150" s="147" t="str">
        <f>IF(計算!$O74=1,計算!$R74,IF(計算!$O74=2,計算!$U74,IF(計算!$O74=3,計算!$X74,IF(計算!$O74=4,計算!$AA74,IF(計算!$O74=5,計算!$AD74,"")))))</f>
        <v/>
      </c>
      <c r="W150" s="147" t="str">
        <f>IF(計算!$O75=1,計算!$R75,IF(計算!$O75=2,計算!$U75,IF(計算!$O75=3,計算!$X75,IF(計算!$O75=4,計算!$AA75,IF(計算!$O75=5,計算!$AD75,"")))))</f>
        <v/>
      </c>
      <c r="X150" s="148">
        <f>IF(SUM(D150:W150)=0,"",SUM(D150:W150))</f>
        <v>37</v>
      </c>
    </row>
    <row r="151" spans="2:32" ht="27" customHeight="1" thickBot="1" x14ac:dyDescent="0.6">
      <c r="B151" s="257" t="s">
        <v>220</v>
      </c>
      <c r="C151" s="258"/>
      <c r="D151" s="149">
        <f>IF(D150="","",ROUND(D150*0.0258,2))</f>
        <v>0.95</v>
      </c>
      <c r="E151" s="149" t="str">
        <f t="shared" ref="E151:W151" si="25">IF(E150="","",ROUND(E150*0.0258,2))</f>
        <v/>
      </c>
      <c r="F151" s="149" t="str">
        <f t="shared" si="25"/>
        <v/>
      </c>
      <c r="G151" s="149" t="str">
        <f t="shared" si="25"/>
        <v/>
      </c>
      <c r="H151" s="149" t="str">
        <f t="shared" si="25"/>
        <v/>
      </c>
      <c r="I151" s="149" t="str">
        <f t="shared" si="25"/>
        <v/>
      </c>
      <c r="J151" s="149" t="str">
        <f t="shared" si="25"/>
        <v/>
      </c>
      <c r="K151" s="149" t="str">
        <f t="shared" si="25"/>
        <v/>
      </c>
      <c r="L151" s="149" t="str">
        <f t="shared" si="25"/>
        <v/>
      </c>
      <c r="M151" s="149" t="str">
        <f t="shared" si="25"/>
        <v/>
      </c>
      <c r="N151" s="149" t="str">
        <f t="shared" si="25"/>
        <v/>
      </c>
      <c r="O151" s="149" t="str">
        <f t="shared" si="25"/>
        <v/>
      </c>
      <c r="P151" s="149" t="str">
        <f t="shared" si="25"/>
        <v/>
      </c>
      <c r="Q151" s="149" t="str">
        <f t="shared" si="25"/>
        <v/>
      </c>
      <c r="R151" s="149" t="str">
        <f t="shared" si="25"/>
        <v/>
      </c>
      <c r="S151" s="149" t="str">
        <f t="shared" si="25"/>
        <v/>
      </c>
      <c r="T151" s="149" t="str">
        <f t="shared" si="25"/>
        <v/>
      </c>
      <c r="U151" s="149" t="str">
        <f t="shared" si="25"/>
        <v/>
      </c>
      <c r="V151" s="149" t="str">
        <f t="shared" si="25"/>
        <v/>
      </c>
      <c r="W151" s="149" t="str">
        <f t="shared" si="25"/>
        <v/>
      </c>
      <c r="X151" s="150">
        <f>IF(SUM(D151:W151)=0,"",SUM(D151:W151))</f>
        <v>0.95</v>
      </c>
      <c r="Z151" s="74" t="s">
        <v>439</v>
      </c>
    </row>
    <row r="152" spans="2:32" ht="27" customHeight="1" x14ac:dyDescent="0.55000000000000004">
      <c r="B152" s="255" t="s">
        <v>215</v>
      </c>
      <c r="C152" s="85" t="s">
        <v>213</v>
      </c>
      <c r="D152" s="322">
        <v>4.4000000000000004</v>
      </c>
      <c r="E152" s="322"/>
      <c r="F152" s="322"/>
      <c r="G152" s="322"/>
      <c r="H152" s="322"/>
      <c r="I152" s="322"/>
      <c r="J152" s="322"/>
      <c r="K152" s="322"/>
      <c r="L152" s="322"/>
      <c r="M152" s="322"/>
      <c r="N152" s="322"/>
      <c r="O152" s="322"/>
      <c r="P152" s="322"/>
      <c r="Q152" s="322"/>
      <c r="R152" s="322"/>
      <c r="S152" s="322"/>
      <c r="T152" s="322"/>
      <c r="U152" s="322"/>
      <c r="V152" s="322"/>
      <c r="W152" s="322"/>
      <c r="X152" s="27" t="s">
        <v>10</v>
      </c>
    </row>
    <row r="153" spans="2:32" ht="27" customHeight="1" x14ac:dyDescent="0.55000000000000004">
      <c r="B153" s="256"/>
      <c r="C153" s="85" t="s">
        <v>214</v>
      </c>
      <c r="D153" s="322"/>
      <c r="E153" s="322"/>
      <c r="F153" s="322"/>
      <c r="G153" s="322"/>
      <c r="H153" s="322"/>
      <c r="I153" s="322"/>
      <c r="J153" s="322"/>
      <c r="K153" s="322"/>
      <c r="L153" s="322"/>
      <c r="M153" s="322"/>
      <c r="N153" s="322"/>
      <c r="O153" s="322"/>
      <c r="P153" s="322"/>
      <c r="Q153" s="322"/>
      <c r="R153" s="322"/>
      <c r="S153" s="322"/>
      <c r="T153" s="322"/>
      <c r="U153" s="322"/>
      <c r="V153" s="322"/>
      <c r="W153" s="322"/>
      <c r="X153" s="30" t="s">
        <v>10</v>
      </c>
    </row>
    <row r="154" spans="2:32" hidden="1" x14ac:dyDescent="0.55000000000000004">
      <c r="B154" s="110" t="s">
        <v>270</v>
      </c>
      <c r="C154" s="110"/>
      <c r="D154" s="111">
        <f t="shared" ref="D154:V154" si="26">IF(D$141="",9,IF(OR(D$141="電気式パッケージ形空調機",D$141="ルームエアコン"),1,IF(AND(D$141="ガスヒートポンプ式空調機",D$143="都市ガス",D$149="kW"),2,IF(AND(D$141="ガスヒートポンプ式空調機",D$143="都市ガス",D$149="ｍ3N/h"),3,IF(AND(D$141="ガスヒートポンプ式空調機",D$143="LPG",D$149="kW"),4,IF(AND(D$141="ガスヒートポンプ式空調機",D$143="LPG",D$149="kg/h"),5,0))))))</f>
        <v>1</v>
      </c>
      <c r="E154" s="111">
        <f t="shared" si="26"/>
        <v>9</v>
      </c>
      <c r="F154" s="111">
        <f t="shared" si="26"/>
        <v>9</v>
      </c>
      <c r="G154" s="111">
        <f t="shared" si="26"/>
        <v>9</v>
      </c>
      <c r="H154" s="111">
        <f t="shared" si="26"/>
        <v>9</v>
      </c>
      <c r="I154" s="111">
        <f t="shared" si="26"/>
        <v>9</v>
      </c>
      <c r="J154" s="111">
        <f t="shared" si="26"/>
        <v>9</v>
      </c>
      <c r="K154" s="111">
        <f t="shared" si="26"/>
        <v>9</v>
      </c>
      <c r="L154" s="111">
        <f t="shared" si="26"/>
        <v>9</v>
      </c>
      <c r="M154" s="111">
        <f t="shared" si="26"/>
        <v>9</v>
      </c>
      <c r="N154" s="111">
        <f t="shared" si="26"/>
        <v>9</v>
      </c>
      <c r="O154" s="111">
        <f t="shared" si="26"/>
        <v>9</v>
      </c>
      <c r="P154" s="111">
        <f t="shared" si="26"/>
        <v>9</v>
      </c>
      <c r="Q154" s="111">
        <f t="shared" si="26"/>
        <v>9</v>
      </c>
      <c r="R154" s="111">
        <f t="shared" si="26"/>
        <v>9</v>
      </c>
      <c r="S154" s="111">
        <f t="shared" si="26"/>
        <v>9</v>
      </c>
      <c r="T154" s="111">
        <f t="shared" si="26"/>
        <v>9</v>
      </c>
      <c r="U154" s="111">
        <f t="shared" si="26"/>
        <v>9</v>
      </c>
      <c r="V154" s="111">
        <f t="shared" si="26"/>
        <v>9</v>
      </c>
      <c r="W154" s="111">
        <f>IF(W$141="",9,IF(OR(W$141="電気式パッケージ形空調機",W$141="ルームエアコン"),1,IF(AND(W$141="ガスヒートポンプ式空調機",W$143="都市ガス",W$149="kW"),2,IF(AND(W$141="ガスヒートポンプ式空調機",W$143="都市ガス",W$149="ｍ3N/h"),3,IF(AND(W$141="ガスヒートポンプ式空調機",W$143="LPG",W$149="kW"),4,IF(AND(W$141="ガスヒートポンプ式空調機",W$143="LPG",W$149="kg/h"),5,0))))))</f>
        <v>9</v>
      </c>
      <c r="X154" s="94"/>
      <c r="Y154" s="112">
        <f>COUNTIF($D154:$W154,0)</f>
        <v>0</v>
      </c>
      <c r="Z154" s="157">
        <f>COUNTIF($D154:$W154,1)</f>
        <v>1</v>
      </c>
      <c r="AA154" s="157">
        <f>COUNTIF($D154:$W154,2)</f>
        <v>0</v>
      </c>
      <c r="AB154" s="157">
        <f>COUNTIF($D154:$W154,3)</f>
        <v>0</v>
      </c>
      <c r="AC154" s="112">
        <f>COUNTIF($D154:$W154,4)</f>
        <v>0</v>
      </c>
      <c r="AD154" s="112">
        <f>COUNTIF($D154:$W154,5)</f>
        <v>0</v>
      </c>
      <c r="AE154" s="112"/>
      <c r="AF154" s="99">
        <v>140</v>
      </c>
    </row>
    <row r="155" spans="2:32" hidden="1" x14ac:dyDescent="0.55000000000000004">
      <c r="B155" s="110" t="s">
        <v>271</v>
      </c>
      <c r="C155" s="110"/>
      <c r="D155" s="111">
        <f>IF(AND(D$143="",D$149=""),9,IF(AND(D$143="電気",D$149="kW"),1,IF(AND(D$143="都市ガス",D$149="kW"),2,IF(AND(D$143="都市ガス",D$149="ｍ3N/h"),3,IF(AND(D$143="LPG",D$149="kW"),4,IF(AND(D$143="LPG",D$149="kg/h"),5,0))))))</f>
        <v>1</v>
      </c>
      <c r="E155" s="111">
        <f t="shared" ref="E155:W155" si="27">IF(AND(E$143="",E$149=""),9,IF(AND(E$143="電気",E$149="kW"),1,IF(AND(E$143="都市ガス",E$149="kW"),2,IF(AND(E$143="都市ガス",E$149="ｍ3N/h"),3,IF(AND(E$143="LPG",E$149="kW"),4,IF(AND(E$143="LPG",E$149="kg/h"),5,0))))))</f>
        <v>9</v>
      </c>
      <c r="F155" s="111">
        <f t="shared" si="27"/>
        <v>9</v>
      </c>
      <c r="G155" s="111">
        <f t="shared" si="27"/>
        <v>9</v>
      </c>
      <c r="H155" s="111">
        <f t="shared" si="27"/>
        <v>9</v>
      </c>
      <c r="I155" s="111">
        <f t="shared" si="27"/>
        <v>9</v>
      </c>
      <c r="J155" s="111">
        <f t="shared" si="27"/>
        <v>9</v>
      </c>
      <c r="K155" s="111">
        <f t="shared" si="27"/>
        <v>9</v>
      </c>
      <c r="L155" s="111">
        <f t="shared" si="27"/>
        <v>9</v>
      </c>
      <c r="M155" s="111">
        <f t="shared" si="27"/>
        <v>9</v>
      </c>
      <c r="N155" s="111">
        <f t="shared" si="27"/>
        <v>9</v>
      </c>
      <c r="O155" s="111">
        <f t="shared" si="27"/>
        <v>9</v>
      </c>
      <c r="P155" s="111">
        <f t="shared" si="27"/>
        <v>9</v>
      </c>
      <c r="Q155" s="111">
        <f t="shared" si="27"/>
        <v>9</v>
      </c>
      <c r="R155" s="111">
        <f t="shared" si="27"/>
        <v>9</v>
      </c>
      <c r="S155" s="111">
        <f t="shared" si="27"/>
        <v>9</v>
      </c>
      <c r="T155" s="111">
        <f t="shared" si="27"/>
        <v>9</v>
      </c>
      <c r="U155" s="111">
        <f t="shared" si="27"/>
        <v>9</v>
      </c>
      <c r="V155" s="111">
        <f t="shared" si="27"/>
        <v>9</v>
      </c>
      <c r="W155" s="111">
        <f t="shared" si="27"/>
        <v>9</v>
      </c>
      <c r="X155" s="94"/>
      <c r="Y155" s="112">
        <f>COUNTIF($D155:$W155,0)</f>
        <v>0</v>
      </c>
      <c r="Z155" s="157">
        <f>COUNTIF($D155:$W155,1)</f>
        <v>1</v>
      </c>
      <c r="AA155" s="157">
        <f>COUNTIF($D155:$W155,2)</f>
        <v>0</v>
      </c>
      <c r="AB155" s="157">
        <f>COUNTIF($D155:$W155,3)</f>
        <v>0</v>
      </c>
      <c r="AC155" s="112">
        <f>COUNTIF($D155:$W155,4)</f>
        <v>0</v>
      </c>
      <c r="AD155" s="112">
        <f>COUNTIF($D155:$W155,5)</f>
        <v>0</v>
      </c>
      <c r="AE155" s="112"/>
      <c r="AF155" s="99">
        <v>141</v>
      </c>
    </row>
    <row r="156" spans="2:32" hidden="1" x14ac:dyDescent="0.55000000000000004">
      <c r="B156" s="113" t="s">
        <v>269</v>
      </c>
      <c r="C156" s="113"/>
      <c r="D156" s="114">
        <f>IF(OR(AND(D154=0,D155=0),D154&lt;&gt;D155),1,IF(AND(D154=9,D155=9),2,IF(D154=D155,0,"")))</f>
        <v>0</v>
      </c>
      <c r="E156" s="114">
        <f t="shared" ref="E156:W156" si="28">IF(OR(AND(E154=0,E155=0),E154&lt;&gt;E155),1,IF(AND(E154=9,E155=9),2,IF(E154=E155,0,"")))</f>
        <v>2</v>
      </c>
      <c r="F156" s="114">
        <f t="shared" si="28"/>
        <v>2</v>
      </c>
      <c r="G156" s="114">
        <f t="shared" si="28"/>
        <v>2</v>
      </c>
      <c r="H156" s="114">
        <f t="shared" si="28"/>
        <v>2</v>
      </c>
      <c r="I156" s="114">
        <f t="shared" si="28"/>
        <v>2</v>
      </c>
      <c r="J156" s="114">
        <f t="shared" si="28"/>
        <v>2</v>
      </c>
      <c r="K156" s="114">
        <f t="shared" si="28"/>
        <v>2</v>
      </c>
      <c r="L156" s="114">
        <f t="shared" si="28"/>
        <v>2</v>
      </c>
      <c r="M156" s="114">
        <f t="shared" si="28"/>
        <v>2</v>
      </c>
      <c r="N156" s="114">
        <f t="shared" si="28"/>
        <v>2</v>
      </c>
      <c r="O156" s="114">
        <f t="shared" si="28"/>
        <v>2</v>
      </c>
      <c r="P156" s="114">
        <f t="shared" si="28"/>
        <v>2</v>
      </c>
      <c r="Q156" s="114">
        <f t="shared" si="28"/>
        <v>2</v>
      </c>
      <c r="R156" s="114">
        <f t="shared" si="28"/>
        <v>2</v>
      </c>
      <c r="S156" s="114">
        <f t="shared" si="28"/>
        <v>2</v>
      </c>
      <c r="T156" s="114">
        <f t="shared" si="28"/>
        <v>2</v>
      </c>
      <c r="U156" s="114">
        <f t="shared" si="28"/>
        <v>2</v>
      </c>
      <c r="V156" s="114">
        <f t="shared" si="28"/>
        <v>2</v>
      </c>
      <c r="W156" s="114">
        <f t="shared" si="28"/>
        <v>2</v>
      </c>
      <c r="X156" s="94" t="str">
        <f>IF(Z156&gt;0,"入力確認",IF(AE158=Y156,"適合","不適合"))</f>
        <v>適合</v>
      </c>
      <c r="Y156" s="112">
        <f>COUNTIF($D156:$W156,0)</f>
        <v>1</v>
      </c>
      <c r="Z156" s="157">
        <f>COUNTIF($D156:$W156,1)</f>
        <v>0</v>
      </c>
      <c r="AA156" s="157">
        <f>COUNTIF($D156:$W156,2)</f>
        <v>19</v>
      </c>
      <c r="AB156" s="157"/>
      <c r="AC156" s="112"/>
      <c r="AD156" s="112"/>
      <c r="AE156" s="112"/>
      <c r="AF156" s="99">
        <v>142</v>
      </c>
    </row>
    <row r="157" spans="2:32" hidden="1" x14ac:dyDescent="0.55000000000000004">
      <c r="B157" s="145" t="s">
        <v>428</v>
      </c>
      <c r="C157" s="145"/>
      <c r="D157" s="146">
        <f t="shared" ref="D157:N157" si="29">IF(OR(D147&lt;0,D148&lt;0),1,IF(OR(D147&gt;0,D148&gt;0),0,2))</f>
        <v>0</v>
      </c>
      <c r="E157" s="146">
        <f t="shared" si="29"/>
        <v>2</v>
      </c>
      <c r="F157" s="146">
        <f t="shared" si="29"/>
        <v>2</v>
      </c>
      <c r="G157" s="146">
        <f t="shared" si="29"/>
        <v>2</v>
      </c>
      <c r="H157" s="146">
        <f t="shared" si="29"/>
        <v>2</v>
      </c>
      <c r="I157" s="146">
        <f t="shared" si="29"/>
        <v>2</v>
      </c>
      <c r="J157" s="146">
        <f t="shared" si="29"/>
        <v>2</v>
      </c>
      <c r="K157" s="146">
        <f t="shared" si="29"/>
        <v>2</v>
      </c>
      <c r="L157" s="146">
        <f t="shared" si="29"/>
        <v>2</v>
      </c>
      <c r="M157" s="146">
        <f t="shared" si="29"/>
        <v>2</v>
      </c>
      <c r="N157" s="146">
        <f t="shared" si="29"/>
        <v>2</v>
      </c>
      <c r="O157" s="146">
        <f>IF(OR(O147&lt;0,O148&lt;0),1,IF(OR(O147&gt;0,O148&gt;0),0,2))</f>
        <v>2</v>
      </c>
      <c r="P157" s="146">
        <f t="shared" ref="P157:W157" si="30">IF(OR(P147&lt;0,P148&lt;0),1,IF(OR(P147&gt;0,P148&gt;0),0,2))</f>
        <v>2</v>
      </c>
      <c r="Q157" s="146">
        <f t="shared" si="30"/>
        <v>2</v>
      </c>
      <c r="R157" s="146">
        <f t="shared" si="30"/>
        <v>2</v>
      </c>
      <c r="S157" s="146">
        <f t="shared" si="30"/>
        <v>2</v>
      </c>
      <c r="T157" s="146">
        <f t="shared" si="30"/>
        <v>2</v>
      </c>
      <c r="U157" s="146">
        <f t="shared" si="30"/>
        <v>2</v>
      </c>
      <c r="V157" s="146">
        <f t="shared" si="30"/>
        <v>2</v>
      </c>
      <c r="W157" s="146">
        <f t="shared" si="30"/>
        <v>2</v>
      </c>
      <c r="X157" s="94" t="str">
        <f>IF(Z157&gt;0,"入力確認",IF(AE158=Y157,"適合","不適合"))</f>
        <v>適合</v>
      </c>
      <c r="Y157" s="112">
        <f>COUNTIF($D157:$W157,0)</f>
        <v>1</v>
      </c>
      <c r="Z157" s="157">
        <f>COUNTIF($D157:$W157,1)</f>
        <v>0</v>
      </c>
      <c r="AA157" s="157">
        <f>COUNTIF($D157:$W157,2)</f>
        <v>19</v>
      </c>
      <c r="AB157" s="157"/>
      <c r="AC157" s="112"/>
      <c r="AD157" s="112"/>
      <c r="AE157" s="112"/>
      <c r="AF157" s="99">
        <v>143</v>
      </c>
    </row>
    <row r="158" spans="2:32" hidden="1" x14ac:dyDescent="0.55000000000000004">
      <c r="B158" s="96" t="s">
        <v>246</v>
      </c>
      <c r="C158" s="94"/>
      <c r="D158" s="94">
        <f t="shared" ref="D158:W158" si="31">IF(AND(D141="",D142="",D143="",D144="",D145="",D146="",D147="",D148="",D149="",D152="",D153=""),2,IF(AND(D141&lt;&gt;"",D142&lt;&gt;"",D143&lt;&gt;"",D144&lt;&gt;"",D145&lt;&gt;"",D146&lt;&gt;"",D147&lt;&gt;"",D148&lt;&gt;"",D149&lt;&gt;"",OR(D152&lt;&gt;"",D153&lt;&gt;"")),0,1))</f>
        <v>1</v>
      </c>
      <c r="E158" s="94">
        <f t="shared" si="31"/>
        <v>2</v>
      </c>
      <c r="F158" s="94">
        <f t="shared" si="31"/>
        <v>2</v>
      </c>
      <c r="G158" s="94">
        <f t="shared" si="31"/>
        <v>2</v>
      </c>
      <c r="H158" s="94">
        <f t="shared" si="31"/>
        <v>2</v>
      </c>
      <c r="I158" s="94">
        <f t="shared" si="31"/>
        <v>2</v>
      </c>
      <c r="J158" s="94">
        <f t="shared" si="31"/>
        <v>2</v>
      </c>
      <c r="K158" s="94">
        <f t="shared" si="31"/>
        <v>2</v>
      </c>
      <c r="L158" s="94">
        <f t="shared" si="31"/>
        <v>2</v>
      </c>
      <c r="M158" s="94">
        <f t="shared" si="31"/>
        <v>2</v>
      </c>
      <c r="N158" s="94">
        <f t="shared" si="31"/>
        <v>2</v>
      </c>
      <c r="O158" s="94">
        <f>IF(AND(O141="",O142="",O143="",O144="",O145="",O146="",O147="",O148="",O149="",O152="",O153=""),2,IF(AND(O141&lt;&gt;"",O142&lt;&gt;"",O143&lt;&gt;"",O144&lt;&gt;"",O145&lt;&gt;"",O146&lt;&gt;"",O147&lt;&gt;"",O148&lt;&gt;"",O149&lt;&gt;"",OR(O152&lt;&gt;"",O153&lt;&gt;"")),0,1))</f>
        <v>2</v>
      </c>
      <c r="P158" s="94">
        <f t="shared" si="31"/>
        <v>2</v>
      </c>
      <c r="Q158" s="94">
        <f t="shared" si="31"/>
        <v>2</v>
      </c>
      <c r="R158" s="94">
        <f t="shared" si="31"/>
        <v>2</v>
      </c>
      <c r="S158" s="94">
        <f t="shared" si="31"/>
        <v>2</v>
      </c>
      <c r="T158" s="94">
        <f t="shared" si="31"/>
        <v>2</v>
      </c>
      <c r="U158" s="94">
        <f t="shared" si="31"/>
        <v>2</v>
      </c>
      <c r="V158" s="94">
        <f t="shared" si="31"/>
        <v>2</v>
      </c>
      <c r="W158" s="94">
        <f t="shared" si="31"/>
        <v>2</v>
      </c>
      <c r="X158" s="94" t="str">
        <f>IF(Z158&gt;0,"入力確認",IF(AE158=Y158,"適合","不適合"))</f>
        <v>入力確認</v>
      </c>
      <c r="Y158" s="112">
        <f>COUNTIF($D158:$W158,0)</f>
        <v>0</v>
      </c>
      <c r="Z158" s="157">
        <f>COUNTIF($D158:$W158,1)</f>
        <v>1</v>
      </c>
      <c r="AA158" s="157">
        <f>COUNTIF($D158:$W158,2)</f>
        <v>19</v>
      </c>
      <c r="AB158" s="157"/>
      <c r="AC158" s="112"/>
      <c r="AD158" s="112"/>
      <c r="AE158" s="144">
        <f>20-COUNTIF($D$141:$W$141,"")</f>
        <v>1</v>
      </c>
      <c r="AF158" s="99">
        <v>144</v>
      </c>
    </row>
    <row r="160" spans="2:32" ht="33" customHeight="1" x14ac:dyDescent="0.55000000000000004">
      <c r="B160" s="23" t="s">
        <v>266</v>
      </c>
      <c r="C160" s="32"/>
    </row>
    <row r="161" spans="2:25" ht="9" customHeight="1" x14ac:dyDescent="0.55000000000000004">
      <c r="B161" s="18"/>
      <c r="C161" s="32"/>
    </row>
    <row r="162" spans="2:25" ht="27" customHeight="1" x14ac:dyDescent="0.55000000000000004">
      <c r="B162" s="200" t="s">
        <v>191</v>
      </c>
      <c r="C162" s="225" t="s">
        <v>131</v>
      </c>
      <c r="D162" s="225"/>
      <c r="E162" s="225"/>
      <c r="F162" s="225"/>
      <c r="G162" s="225"/>
      <c r="H162" s="226" t="s">
        <v>132</v>
      </c>
      <c r="I162" s="226"/>
      <c r="J162" s="226"/>
      <c r="K162" s="226"/>
      <c r="L162" s="226"/>
      <c r="M162" s="226"/>
      <c r="N162" s="226"/>
      <c r="O162" s="227" t="s">
        <v>275</v>
      </c>
      <c r="P162" s="227"/>
      <c r="Q162" s="227"/>
      <c r="R162" s="227"/>
      <c r="S162" s="227"/>
      <c r="T162" s="227"/>
      <c r="U162" s="223" t="s">
        <v>190</v>
      </c>
      <c r="V162" s="224"/>
      <c r="W162" s="130"/>
      <c r="X162" s="131"/>
      <c r="Y162" s="120"/>
    </row>
    <row r="163" spans="2:25" ht="27" customHeight="1" x14ac:dyDescent="0.55000000000000004">
      <c r="B163" s="81" t="s">
        <v>286</v>
      </c>
      <c r="C163" s="301" t="s">
        <v>536</v>
      </c>
      <c r="D163" s="301"/>
      <c r="E163" s="301"/>
      <c r="F163" s="301"/>
      <c r="G163" s="301"/>
      <c r="H163" s="301" t="s">
        <v>537</v>
      </c>
      <c r="I163" s="301"/>
      <c r="J163" s="301"/>
      <c r="K163" s="301"/>
      <c r="L163" s="301"/>
      <c r="M163" s="301"/>
      <c r="N163" s="301"/>
      <c r="O163" s="301" t="s">
        <v>538</v>
      </c>
      <c r="P163" s="301"/>
      <c r="Q163" s="301"/>
      <c r="R163" s="301"/>
      <c r="S163" s="301"/>
      <c r="T163" s="301"/>
      <c r="U163" s="301" t="s">
        <v>539</v>
      </c>
      <c r="V163" s="301"/>
      <c r="W163" s="328"/>
      <c r="X163" s="131"/>
      <c r="Y163" s="329"/>
    </row>
    <row r="164" spans="2:25" ht="27" customHeight="1" x14ac:dyDescent="0.55000000000000004">
      <c r="B164" s="75" t="s">
        <v>306</v>
      </c>
      <c r="C164" s="302"/>
      <c r="D164" s="302"/>
      <c r="E164" s="302"/>
      <c r="F164" s="302"/>
      <c r="G164" s="302"/>
      <c r="H164" s="302"/>
      <c r="I164" s="302"/>
      <c r="J164" s="302"/>
      <c r="K164" s="302"/>
      <c r="L164" s="302"/>
      <c r="M164" s="302"/>
      <c r="N164" s="302"/>
      <c r="O164" s="302"/>
      <c r="P164" s="302"/>
      <c r="Q164" s="302"/>
      <c r="R164" s="302"/>
      <c r="S164" s="302"/>
      <c r="T164" s="302"/>
      <c r="U164" s="302"/>
      <c r="V164" s="302"/>
      <c r="W164" s="328"/>
      <c r="X164" s="131"/>
      <c r="Y164" s="329"/>
    </row>
    <row r="165" spans="2:25" ht="27" customHeight="1" x14ac:dyDescent="0.55000000000000004">
      <c r="B165" s="75" t="s">
        <v>288</v>
      </c>
      <c r="C165" s="302"/>
      <c r="D165" s="302"/>
      <c r="E165" s="302"/>
      <c r="F165" s="302"/>
      <c r="G165" s="302"/>
      <c r="H165" s="302"/>
      <c r="I165" s="302"/>
      <c r="J165" s="302"/>
      <c r="K165" s="302"/>
      <c r="L165" s="302"/>
      <c r="M165" s="302"/>
      <c r="N165" s="302"/>
      <c r="O165" s="302"/>
      <c r="P165" s="302"/>
      <c r="Q165" s="302"/>
      <c r="R165" s="302"/>
      <c r="S165" s="302"/>
      <c r="T165" s="302"/>
      <c r="U165" s="302"/>
      <c r="V165" s="302"/>
      <c r="W165" s="328"/>
      <c r="X165" s="131"/>
      <c r="Y165" s="329"/>
    </row>
    <row r="166" spans="2:25" ht="27" customHeight="1" x14ac:dyDescent="0.55000000000000004">
      <c r="B166" s="75" t="s">
        <v>289</v>
      </c>
      <c r="C166" s="302"/>
      <c r="D166" s="302"/>
      <c r="E166" s="302"/>
      <c r="F166" s="302"/>
      <c r="G166" s="302"/>
      <c r="H166" s="302"/>
      <c r="I166" s="302"/>
      <c r="J166" s="302"/>
      <c r="K166" s="302"/>
      <c r="L166" s="302"/>
      <c r="M166" s="302"/>
      <c r="N166" s="302"/>
      <c r="O166" s="302"/>
      <c r="P166" s="302"/>
      <c r="Q166" s="302"/>
      <c r="R166" s="302"/>
      <c r="S166" s="302"/>
      <c r="T166" s="302"/>
      <c r="U166" s="302"/>
      <c r="V166" s="302"/>
      <c r="W166" s="328"/>
      <c r="X166" s="131"/>
      <c r="Y166" s="329"/>
    </row>
    <row r="167" spans="2:25" ht="27" customHeight="1" x14ac:dyDescent="0.55000000000000004">
      <c r="B167" s="75" t="s">
        <v>290</v>
      </c>
      <c r="C167" s="302"/>
      <c r="D167" s="302"/>
      <c r="E167" s="302"/>
      <c r="F167" s="302"/>
      <c r="G167" s="302"/>
      <c r="H167" s="302"/>
      <c r="I167" s="302"/>
      <c r="J167" s="302"/>
      <c r="K167" s="302"/>
      <c r="L167" s="302"/>
      <c r="M167" s="302"/>
      <c r="N167" s="302"/>
      <c r="O167" s="302"/>
      <c r="P167" s="302"/>
      <c r="Q167" s="302"/>
      <c r="R167" s="302"/>
      <c r="S167" s="302"/>
      <c r="T167" s="302"/>
      <c r="U167" s="302"/>
      <c r="V167" s="302"/>
      <c r="W167" s="328"/>
      <c r="X167" s="131"/>
      <c r="Y167" s="329"/>
    </row>
    <row r="168" spans="2:25" ht="27" customHeight="1" x14ac:dyDescent="0.55000000000000004">
      <c r="B168" s="75" t="s">
        <v>291</v>
      </c>
      <c r="C168" s="302"/>
      <c r="D168" s="302"/>
      <c r="E168" s="302"/>
      <c r="F168" s="302"/>
      <c r="G168" s="302"/>
      <c r="H168" s="302"/>
      <c r="I168" s="302"/>
      <c r="J168" s="302"/>
      <c r="K168" s="302"/>
      <c r="L168" s="302"/>
      <c r="M168" s="302"/>
      <c r="N168" s="302"/>
      <c r="O168" s="302"/>
      <c r="P168" s="302"/>
      <c r="Q168" s="302"/>
      <c r="R168" s="302"/>
      <c r="S168" s="302"/>
      <c r="T168" s="302"/>
      <c r="U168" s="302"/>
      <c r="V168" s="302"/>
      <c r="W168" s="328"/>
      <c r="X168" s="131"/>
      <c r="Y168" s="329"/>
    </row>
    <row r="169" spans="2:25" ht="27" customHeight="1" x14ac:dyDescent="0.55000000000000004">
      <c r="B169" s="75" t="s">
        <v>292</v>
      </c>
      <c r="C169" s="302"/>
      <c r="D169" s="302"/>
      <c r="E169" s="302"/>
      <c r="F169" s="302"/>
      <c r="G169" s="302"/>
      <c r="H169" s="302"/>
      <c r="I169" s="302"/>
      <c r="J169" s="302"/>
      <c r="K169" s="302"/>
      <c r="L169" s="302"/>
      <c r="M169" s="302"/>
      <c r="N169" s="302"/>
      <c r="O169" s="302"/>
      <c r="P169" s="302"/>
      <c r="Q169" s="302"/>
      <c r="R169" s="302"/>
      <c r="S169" s="302"/>
      <c r="T169" s="302"/>
      <c r="U169" s="302"/>
      <c r="V169" s="302"/>
      <c r="W169" s="328"/>
      <c r="X169" s="131"/>
      <c r="Y169" s="329"/>
    </row>
    <row r="170" spans="2:25" ht="27" customHeight="1" x14ac:dyDescent="0.55000000000000004">
      <c r="B170" s="75" t="s">
        <v>293</v>
      </c>
      <c r="C170" s="302"/>
      <c r="D170" s="302"/>
      <c r="E170" s="302"/>
      <c r="F170" s="302"/>
      <c r="G170" s="302"/>
      <c r="H170" s="302"/>
      <c r="I170" s="302"/>
      <c r="J170" s="302"/>
      <c r="K170" s="302"/>
      <c r="L170" s="302"/>
      <c r="M170" s="302"/>
      <c r="N170" s="302"/>
      <c r="O170" s="302"/>
      <c r="P170" s="302"/>
      <c r="Q170" s="302"/>
      <c r="R170" s="302"/>
      <c r="S170" s="302"/>
      <c r="T170" s="302"/>
      <c r="U170" s="302"/>
      <c r="V170" s="302"/>
      <c r="W170" s="328"/>
      <c r="X170" s="131"/>
      <c r="Y170" s="329"/>
    </row>
    <row r="171" spans="2:25" ht="27" customHeight="1" x14ac:dyDescent="0.55000000000000004">
      <c r="B171" s="75" t="s">
        <v>294</v>
      </c>
      <c r="C171" s="302"/>
      <c r="D171" s="302"/>
      <c r="E171" s="302"/>
      <c r="F171" s="302"/>
      <c r="G171" s="302"/>
      <c r="H171" s="302"/>
      <c r="I171" s="302"/>
      <c r="J171" s="302"/>
      <c r="K171" s="302"/>
      <c r="L171" s="302"/>
      <c r="M171" s="302"/>
      <c r="N171" s="302"/>
      <c r="O171" s="302"/>
      <c r="P171" s="302"/>
      <c r="Q171" s="302"/>
      <c r="R171" s="302"/>
      <c r="S171" s="302"/>
      <c r="T171" s="302"/>
      <c r="U171" s="302"/>
      <c r="V171" s="302"/>
      <c r="W171" s="328"/>
      <c r="X171" s="131"/>
      <c r="Y171" s="329"/>
    </row>
    <row r="172" spans="2:25" ht="27" customHeight="1" x14ac:dyDescent="0.55000000000000004">
      <c r="B172" s="75" t="s">
        <v>295</v>
      </c>
      <c r="C172" s="302"/>
      <c r="D172" s="302"/>
      <c r="E172" s="302"/>
      <c r="F172" s="302"/>
      <c r="G172" s="302"/>
      <c r="H172" s="302"/>
      <c r="I172" s="302"/>
      <c r="J172" s="302"/>
      <c r="K172" s="302"/>
      <c r="L172" s="302"/>
      <c r="M172" s="302"/>
      <c r="N172" s="302"/>
      <c r="O172" s="302"/>
      <c r="P172" s="302"/>
      <c r="Q172" s="302"/>
      <c r="R172" s="302"/>
      <c r="S172" s="302"/>
      <c r="T172" s="302"/>
      <c r="U172" s="302"/>
      <c r="V172" s="302"/>
      <c r="W172" s="328"/>
      <c r="X172" s="131"/>
      <c r="Y172" s="329"/>
    </row>
    <row r="173" spans="2:25" ht="27" customHeight="1" x14ac:dyDescent="0.55000000000000004">
      <c r="B173" s="75" t="s">
        <v>351</v>
      </c>
      <c r="C173" s="302"/>
      <c r="D173" s="302"/>
      <c r="E173" s="302"/>
      <c r="F173" s="302"/>
      <c r="G173" s="302"/>
      <c r="H173" s="302"/>
      <c r="I173" s="302"/>
      <c r="J173" s="302"/>
      <c r="K173" s="302"/>
      <c r="L173" s="302"/>
      <c r="M173" s="302"/>
      <c r="N173" s="302"/>
      <c r="O173" s="302"/>
      <c r="P173" s="302"/>
      <c r="Q173" s="302"/>
      <c r="R173" s="302"/>
      <c r="S173" s="302"/>
      <c r="T173" s="302"/>
      <c r="U173" s="302"/>
      <c r="V173" s="302"/>
      <c r="W173" s="328"/>
      <c r="X173" s="131"/>
      <c r="Y173" s="329"/>
    </row>
    <row r="174" spans="2:25" ht="27" customHeight="1" x14ac:dyDescent="0.55000000000000004">
      <c r="B174" s="75" t="s">
        <v>352</v>
      </c>
      <c r="C174" s="302"/>
      <c r="D174" s="302"/>
      <c r="E174" s="302"/>
      <c r="F174" s="302"/>
      <c r="G174" s="302"/>
      <c r="H174" s="302"/>
      <c r="I174" s="302"/>
      <c r="J174" s="302"/>
      <c r="K174" s="302"/>
      <c r="L174" s="302"/>
      <c r="M174" s="302"/>
      <c r="N174" s="302"/>
      <c r="O174" s="302"/>
      <c r="P174" s="302"/>
      <c r="Q174" s="302"/>
      <c r="R174" s="302"/>
      <c r="S174" s="302"/>
      <c r="T174" s="302"/>
      <c r="U174" s="302"/>
      <c r="V174" s="302"/>
      <c r="W174" s="328"/>
      <c r="X174" s="131"/>
      <c r="Y174" s="329"/>
    </row>
    <row r="175" spans="2:25" ht="27" customHeight="1" x14ac:dyDescent="0.55000000000000004">
      <c r="B175" s="75" t="s">
        <v>353</v>
      </c>
      <c r="C175" s="302"/>
      <c r="D175" s="302"/>
      <c r="E175" s="302"/>
      <c r="F175" s="302"/>
      <c r="G175" s="302"/>
      <c r="H175" s="302"/>
      <c r="I175" s="302"/>
      <c r="J175" s="302"/>
      <c r="K175" s="302"/>
      <c r="L175" s="302"/>
      <c r="M175" s="302"/>
      <c r="N175" s="302"/>
      <c r="O175" s="302"/>
      <c r="P175" s="302"/>
      <c r="Q175" s="302"/>
      <c r="R175" s="302"/>
      <c r="S175" s="302"/>
      <c r="T175" s="302"/>
      <c r="U175" s="302"/>
      <c r="V175" s="302"/>
      <c r="W175" s="328"/>
      <c r="X175" s="131"/>
      <c r="Y175" s="329"/>
    </row>
    <row r="176" spans="2:25" ht="27" customHeight="1" x14ac:dyDescent="0.55000000000000004">
      <c r="B176" s="75" t="s">
        <v>354</v>
      </c>
      <c r="C176" s="302"/>
      <c r="D176" s="302"/>
      <c r="E176" s="302"/>
      <c r="F176" s="302"/>
      <c r="G176" s="302"/>
      <c r="H176" s="302"/>
      <c r="I176" s="302"/>
      <c r="J176" s="302"/>
      <c r="K176" s="302"/>
      <c r="L176" s="302"/>
      <c r="M176" s="302"/>
      <c r="N176" s="302"/>
      <c r="O176" s="302"/>
      <c r="P176" s="302"/>
      <c r="Q176" s="302"/>
      <c r="R176" s="302"/>
      <c r="S176" s="302"/>
      <c r="T176" s="302"/>
      <c r="U176" s="302"/>
      <c r="V176" s="302"/>
      <c r="W176" s="328"/>
      <c r="X176" s="131"/>
      <c r="Y176" s="329"/>
    </row>
    <row r="177" spans="2:25" ht="27" customHeight="1" x14ac:dyDescent="0.55000000000000004">
      <c r="B177" s="75" t="s">
        <v>355</v>
      </c>
      <c r="C177" s="302"/>
      <c r="D177" s="302"/>
      <c r="E177" s="302"/>
      <c r="F177" s="302"/>
      <c r="G177" s="302"/>
      <c r="H177" s="302"/>
      <c r="I177" s="302"/>
      <c r="J177" s="302"/>
      <c r="K177" s="302"/>
      <c r="L177" s="302"/>
      <c r="M177" s="302"/>
      <c r="N177" s="302"/>
      <c r="O177" s="302"/>
      <c r="P177" s="302"/>
      <c r="Q177" s="302"/>
      <c r="R177" s="302"/>
      <c r="S177" s="302"/>
      <c r="T177" s="302"/>
      <c r="U177" s="302"/>
      <c r="V177" s="302"/>
      <c r="W177" s="328"/>
      <c r="X177" s="131"/>
      <c r="Y177" s="329"/>
    </row>
    <row r="178" spans="2:25" ht="27" customHeight="1" x14ac:dyDescent="0.55000000000000004">
      <c r="B178" s="75" t="s">
        <v>356</v>
      </c>
      <c r="C178" s="302"/>
      <c r="D178" s="302"/>
      <c r="E178" s="302"/>
      <c r="F178" s="302"/>
      <c r="G178" s="302"/>
      <c r="H178" s="302"/>
      <c r="I178" s="302"/>
      <c r="J178" s="302"/>
      <c r="K178" s="302"/>
      <c r="L178" s="302"/>
      <c r="M178" s="302"/>
      <c r="N178" s="302"/>
      <c r="O178" s="302"/>
      <c r="P178" s="302"/>
      <c r="Q178" s="302"/>
      <c r="R178" s="302"/>
      <c r="S178" s="302"/>
      <c r="T178" s="302"/>
      <c r="U178" s="302"/>
      <c r="V178" s="302"/>
      <c r="W178" s="328"/>
      <c r="X178" s="131"/>
      <c r="Y178" s="329"/>
    </row>
    <row r="179" spans="2:25" ht="27" customHeight="1" x14ac:dyDescent="0.55000000000000004">
      <c r="B179" s="75" t="s">
        <v>357</v>
      </c>
      <c r="C179" s="302"/>
      <c r="D179" s="302"/>
      <c r="E179" s="302"/>
      <c r="F179" s="302"/>
      <c r="G179" s="302"/>
      <c r="H179" s="302"/>
      <c r="I179" s="302"/>
      <c r="J179" s="302"/>
      <c r="K179" s="302"/>
      <c r="L179" s="302"/>
      <c r="M179" s="302"/>
      <c r="N179" s="302"/>
      <c r="O179" s="302"/>
      <c r="P179" s="302"/>
      <c r="Q179" s="302"/>
      <c r="R179" s="302"/>
      <c r="S179" s="302"/>
      <c r="T179" s="302"/>
      <c r="U179" s="302"/>
      <c r="V179" s="302"/>
      <c r="W179" s="328"/>
      <c r="X179" s="131"/>
      <c r="Y179" s="329"/>
    </row>
    <row r="180" spans="2:25" ht="27" customHeight="1" x14ac:dyDescent="0.55000000000000004">
      <c r="B180" s="75" t="s">
        <v>358</v>
      </c>
      <c r="C180" s="302"/>
      <c r="D180" s="302"/>
      <c r="E180" s="302"/>
      <c r="F180" s="302"/>
      <c r="G180" s="302"/>
      <c r="H180" s="302"/>
      <c r="I180" s="302"/>
      <c r="J180" s="302"/>
      <c r="K180" s="302"/>
      <c r="L180" s="302"/>
      <c r="M180" s="302"/>
      <c r="N180" s="302"/>
      <c r="O180" s="302"/>
      <c r="P180" s="302"/>
      <c r="Q180" s="302"/>
      <c r="R180" s="302"/>
      <c r="S180" s="302"/>
      <c r="T180" s="302"/>
      <c r="U180" s="302"/>
      <c r="V180" s="302"/>
      <c r="W180" s="328"/>
      <c r="X180" s="131"/>
      <c r="Y180" s="329"/>
    </row>
    <row r="181" spans="2:25" ht="27" customHeight="1" x14ac:dyDescent="0.55000000000000004">
      <c r="B181" s="75" t="s">
        <v>359</v>
      </c>
      <c r="C181" s="302"/>
      <c r="D181" s="302"/>
      <c r="E181" s="302"/>
      <c r="F181" s="302"/>
      <c r="G181" s="302"/>
      <c r="H181" s="302"/>
      <c r="I181" s="302"/>
      <c r="J181" s="302"/>
      <c r="K181" s="302"/>
      <c r="L181" s="302"/>
      <c r="M181" s="302"/>
      <c r="N181" s="302"/>
      <c r="O181" s="302"/>
      <c r="P181" s="302"/>
      <c r="Q181" s="302"/>
      <c r="R181" s="302"/>
      <c r="S181" s="302"/>
      <c r="T181" s="302"/>
      <c r="U181" s="302"/>
      <c r="V181" s="302"/>
      <c r="W181" s="328"/>
      <c r="X181" s="131"/>
      <c r="Y181" s="329"/>
    </row>
    <row r="182" spans="2:25" ht="27" customHeight="1" x14ac:dyDescent="0.55000000000000004">
      <c r="B182" s="75" t="s">
        <v>360</v>
      </c>
      <c r="C182" s="305"/>
      <c r="D182" s="305"/>
      <c r="E182" s="305"/>
      <c r="F182" s="305"/>
      <c r="G182" s="305"/>
      <c r="H182" s="305"/>
      <c r="I182" s="305"/>
      <c r="J182" s="305"/>
      <c r="K182" s="305"/>
      <c r="L182" s="305"/>
      <c r="M182" s="305"/>
      <c r="N182" s="305"/>
      <c r="O182" s="305"/>
      <c r="P182" s="305"/>
      <c r="Q182" s="305"/>
      <c r="R182" s="305"/>
      <c r="S182" s="305"/>
      <c r="T182" s="305"/>
      <c r="U182" s="305"/>
      <c r="V182" s="305"/>
      <c r="W182" s="328"/>
      <c r="X182" s="131"/>
      <c r="Y182" s="329"/>
    </row>
    <row r="183" spans="2:25" x14ac:dyDescent="0.55000000000000004">
      <c r="B183" s="76"/>
      <c r="C183" s="77"/>
      <c r="D183" s="77"/>
      <c r="E183" s="77"/>
      <c r="F183" s="77"/>
      <c r="G183" s="77"/>
      <c r="H183" s="77"/>
      <c r="I183" s="78"/>
      <c r="J183" s="78"/>
      <c r="K183" s="78"/>
      <c r="L183" s="78"/>
      <c r="M183" s="76"/>
      <c r="N183" s="119"/>
      <c r="O183" s="119"/>
      <c r="P183" s="119"/>
      <c r="Q183" s="119"/>
      <c r="R183" s="119"/>
      <c r="S183" s="119"/>
      <c r="T183" s="119"/>
      <c r="U183" s="119"/>
      <c r="V183" s="119"/>
      <c r="W183" s="119"/>
      <c r="X183" s="119"/>
    </row>
    <row r="184" spans="2:25" ht="27" customHeight="1" x14ac:dyDescent="0.55000000000000004">
      <c r="B184" s="200" t="s">
        <v>192</v>
      </c>
      <c r="C184" s="225" t="s">
        <v>131</v>
      </c>
      <c r="D184" s="225"/>
      <c r="E184" s="225"/>
      <c r="F184" s="225"/>
      <c r="G184" s="225"/>
      <c r="H184" s="226" t="s">
        <v>132</v>
      </c>
      <c r="I184" s="226"/>
      <c r="J184" s="226"/>
      <c r="K184" s="226"/>
      <c r="L184" s="226"/>
      <c r="M184" s="226"/>
      <c r="N184" s="226"/>
      <c r="O184" s="227" t="s">
        <v>275</v>
      </c>
      <c r="P184" s="227"/>
      <c r="Q184" s="227"/>
      <c r="R184" s="227"/>
      <c r="S184" s="227"/>
      <c r="T184" s="227"/>
      <c r="U184" s="223" t="s">
        <v>190</v>
      </c>
      <c r="V184" s="224"/>
      <c r="W184" s="223" t="s">
        <v>212</v>
      </c>
      <c r="X184" s="224"/>
    </row>
    <row r="185" spans="2:25" ht="27" customHeight="1" x14ac:dyDescent="0.55000000000000004">
      <c r="B185" s="121" t="s">
        <v>296</v>
      </c>
      <c r="C185" s="301" t="s">
        <v>536</v>
      </c>
      <c r="D185" s="301"/>
      <c r="E185" s="301"/>
      <c r="F185" s="301"/>
      <c r="G185" s="301"/>
      <c r="H185" s="301" t="s">
        <v>540</v>
      </c>
      <c r="I185" s="301"/>
      <c r="J185" s="301"/>
      <c r="K185" s="301"/>
      <c r="L185" s="301"/>
      <c r="M185" s="301"/>
      <c r="N185" s="301"/>
      <c r="O185" s="301" t="s">
        <v>541</v>
      </c>
      <c r="P185" s="301"/>
      <c r="Q185" s="301"/>
      <c r="R185" s="301"/>
      <c r="S185" s="301"/>
      <c r="T185" s="301"/>
      <c r="U185" s="301" t="s">
        <v>539</v>
      </c>
      <c r="V185" s="301"/>
      <c r="W185" s="307" t="s">
        <v>238</v>
      </c>
      <c r="X185" s="308"/>
    </row>
    <row r="186" spans="2:25" ht="27" customHeight="1" x14ac:dyDescent="0.55000000000000004">
      <c r="B186" s="122" t="s">
        <v>307</v>
      </c>
      <c r="C186" s="302"/>
      <c r="D186" s="302"/>
      <c r="E186" s="302"/>
      <c r="F186" s="302"/>
      <c r="G186" s="302"/>
      <c r="H186" s="302"/>
      <c r="I186" s="302"/>
      <c r="J186" s="302"/>
      <c r="K186" s="302"/>
      <c r="L186" s="302"/>
      <c r="M186" s="302"/>
      <c r="N186" s="302"/>
      <c r="O186" s="302"/>
      <c r="P186" s="302"/>
      <c r="Q186" s="302"/>
      <c r="R186" s="302"/>
      <c r="S186" s="302"/>
      <c r="T186" s="302"/>
      <c r="U186" s="302"/>
      <c r="V186" s="302"/>
      <c r="W186" s="309"/>
      <c r="X186" s="310"/>
    </row>
    <row r="187" spans="2:25" ht="27" customHeight="1" x14ac:dyDescent="0.55000000000000004">
      <c r="B187" s="122" t="s">
        <v>298</v>
      </c>
      <c r="C187" s="302"/>
      <c r="D187" s="302"/>
      <c r="E187" s="302"/>
      <c r="F187" s="302"/>
      <c r="G187" s="302"/>
      <c r="H187" s="302"/>
      <c r="I187" s="302"/>
      <c r="J187" s="302"/>
      <c r="K187" s="302"/>
      <c r="L187" s="302"/>
      <c r="M187" s="302"/>
      <c r="N187" s="302"/>
      <c r="O187" s="302"/>
      <c r="P187" s="302"/>
      <c r="Q187" s="302"/>
      <c r="R187" s="302"/>
      <c r="S187" s="302"/>
      <c r="T187" s="302"/>
      <c r="U187" s="302"/>
      <c r="V187" s="302"/>
      <c r="W187" s="309"/>
      <c r="X187" s="310"/>
    </row>
    <row r="188" spans="2:25" ht="27" customHeight="1" x14ac:dyDescent="0.55000000000000004">
      <c r="B188" s="122" t="s">
        <v>299</v>
      </c>
      <c r="C188" s="302"/>
      <c r="D188" s="302"/>
      <c r="E188" s="302"/>
      <c r="F188" s="302"/>
      <c r="G188" s="302"/>
      <c r="H188" s="302"/>
      <c r="I188" s="302"/>
      <c r="J188" s="302"/>
      <c r="K188" s="302"/>
      <c r="L188" s="302"/>
      <c r="M188" s="302"/>
      <c r="N188" s="302"/>
      <c r="O188" s="302"/>
      <c r="P188" s="302"/>
      <c r="Q188" s="302"/>
      <c r="R188" s="302"/>
      <c r="S188" s="302"/>
      <c r="T188" s="302"/>
      <c r="U188" s="302"/>
      <c r="V188" s="302"/>
      <c r="W188" s="309"/>
      <c r="X188" s="310"/>
    </row>
    <row r="189" spans="2:25" ht="27" customHeight="1" x14ac:dyDescent="0.55000000000000004">
      <c r="B189" s="122" t="s">
        <v>300</v>
      </c>
      <c r="C189" s="302"/>
      <c r="D189" s="302"/>
      <c r="E189" s="302"/>
      <c r="F189" s="302"/>
      <c r="G189" s="302"/>
      <c r="H189" s="302"/>
      <c r="I189" s="302"/>
      <c r="J189" s="302"/>
      <c r="K189" s="302"/>
      <c r="L189" s="302"/>
      <c r="M189" s="302"/>
      <c r="N189" s="302"/>
      <c r="O189" s="302"/>
      <c r="P189" s="302"/>
      <c r="Q189" s="302"/>
      <c r="R189" s="302"/>
      <c r="S189" s="302"/>
      <c r="T189" s="302"/>
      <c r="U189" s="302"/>
      <c r="V189" s="302"/>
      <c r="W189" s="309"/>
      <c r="X189" s="310"/>
    </row>
    <row r="190" spans="2:25" ht="27" customHeight="1" x14ac:dyDescent="0.55000000000000004">
      <c r="B190" s="122" t="s">
        <v>301</v>
      </c>
      <c r="C190" s="302"/>
      <c r="D190" s="302"/>
      <c r="E190" s="302"/>
      <c r="F190" s="302"/>
      <c r="G190" s="302"/>
      <c r="H190" s="302"/>
      <c r="I190" s="302"/>
      <c r="J190" s="302"/>
      <c r="K190" s="302"/>
      <c r="L190" s="302"/>
      <c r="M190" s="302"/>
      <c r="N190" s="302"/>
      <c r="O190" s="302"/>
      <c r="P190" s="302"/>
      <c r="Q190" s="302"/>
      <c r="R190" s="302"/>
      <c r="S190" s="302"/>
      <c r="T190" s="302"/>
      <c r="U190" s="302"/>
      <c r="V190" s="302"/>
      <c r="W190" s="309"/>
      <c r="X190" s="310"/>
    </row>
    <row r="191" spans="2:25" ht="27" customHeight="1" x14ac:dyDescent="0.55000000000000004">
      <c r="B191" s="122" t="s">
        <v>302</v>
      </c>
      <c r="C191" s="302"/>
      <c r="D191" s="302"/>
      <c r="E191" s="302"/>
      <c r="F191" s="302"/>
      <c r="G191" s="302"/>
      <c r="H191" s="302"/>
      <c r="I191" s="302"/>
      <c r="J191" s="302"/>
      <c r="K191" s="302"/>
      <c r="L191" s="302"/>
      <c r="M191" s="302"/>
      <c r="N191" s="302"/>
      <c r="O191" s="302"/>
      <c r="P191" s="302"/>
      <c r="Q191" s="302"/>
      <c r="R191" s="302"/>
      <c r="S191" s="302"/>
      <c r="T191" s="302"/>
      <c r="U191" s="302"/>
      <c r="V191" s="302"/>
      <c r="W191" s="309"/>
      <c r="X191" s="310"/>
    </row>
    <row r="192" spans="2:25" ht="27" customHeight="1" x14ac:dyDescent="0.55000000000000004">
      <c r="B192" s="122" t="s">
        <v>303</v>
      </c>
      <c r="C192" s="302"/>
      <c r="D192" s="302"/>
      <c r="E192" s="302"/>
      <c r="F192" s="302"/>
      <c r="G192" s="302"/>
      <c r="H192" s="302"/>
      <c r="I192" s="302"/>
      <c r="J192" s="302"/>
      <c r="K192" s="302"/>
      <c r="L192" s="302"/>
      <c r="M192" s="302"/>
      <c r="N192" s="302"/>
      <c r="O192" s="302"/>
      <c r="P192" s="302"/>
      <c r="Q192" s="302"/>
      <c r="R192" s="302"/>
      <c r="S192" s="302"/>
      <c r="T192" s="302"/>
      <c r="U192" s="302"/>
      <c r="V192" s="302"/>
      <c r="W192" s="309"/>
      <c r="X192" s="310"/>
    </row>
    <row r="193" spans="2:24" ht="27" customHeight="1" x14ac:dyDescent="0.55000000000000004">
      <c r="B193" s="122" t="s">
        <v>304</v>
      </c>
      <c r="C193" s="302"/>
      <c r="D193" s="302"/>
      <c r="E193" s="302"/>
      <c r="F193" s="302"/>
      <c r="G193" s="302"/>
      <c r="H193" s="302"/>
      <c r="I193" s="302"/>
      <c r="J193" s="302"/>
      <c r="K193" s="302"/>
      <c r="L193" s="302"/>
      <c r="M193" s="302"/>
      <c r="N193" s="302"/>
      <c r="O193" s="302"/>
      <c r="P193" s="302"/>
      <c r="Q193" s="302"/>
      <c r="R193" s="302"/>
      <c r="S193" s="302"/>
      <c r="T193" s="302"/>
      <c r="U193" s="302"/>
      <c r="V193" s="302"/>
      <c r="W193" s="309"/>
      <c r="X193" s="310"/>
    </row>
    <row r="194" spans="2:24" ht="27" customHeight="1" x14ac:dyDescent="0.55000000000000004">
      <c r="B194" s="122" t="s">
        <v>305</v>
      </c>
      <c r="C194" s="302"/>
      <c r="D194" s="302"/>
      <c r="E194" s="302"/>
      <c r="F194" s="302"/>
      <c r="G194" s="302"/>
      <c r="H194" s="302"/>
      <c r="I194" s="302"/>
      <c r="J194" s="302"/>
      <c r="K194" s="302"/>
      <c r="L194" s="302"/>
      <c r="M194" s="302"/>
      <c r="N194" s="302"/>
      <c r="O194" s="302"/>
      <c r="P194" s="302"/>
      <c r="Q194" s="302"/>
      <c r="R194" s="302"/>
      <c r="S194" s="302"/>
      <c r="T194" s="302"/>
      <c r="U194" s="302"/>
      <c r="V194" s="302"/>
      <c r="W194" s="309"/>
      <c r="X194" s="310"/>
    </row>
    <row r="195" spans="2:24" ht="27" customHeight="1" x14ac:dyDescent="0.55000000000000004">
      <c r="B195" s="122" t="s">
        <v>361</v>
      </c>
      <c r="C195" s="302"/>
      <c r="D195" s="302"/>
      <c r="E195" s="302"/>
      <c r="F195" s="302"/>
      <c r="G195" s="302"/>
      <c r="H195" s="302"/>
      <c r="I195" s="302"/>
      <c r="J195" s="302"/>
      <c r="K195" s="302"/>
      <c r="L195" s="302"/>
      <c r="M195" s="302"/>
      <c r="N195" s="302"/>
      <c r="O195" s="302"/>
      <c r="P195" s="302"/>
      <c r="Q195" s="302"/>
      <c r="R195" s="302"/>
      <c r="S195" s="302"/>
      <c r="T195" s="302"/>
      <c r="U195" s="302"/>
      <c r="V195" s="302"/>
      <c r="W195" s="309"/>
      <c r="X195" s="310"/>
    </row>
    <row r="196" spans="2:24" ht="27" customHeight="1" x14ac:dyDescent="0.55000000000000004">
      <c r="B196" s="122" t="s">
        <v>362</v>
      </c>
      <c r="C196" s="302"/>
      <c r="D196" s="302"/>
      <c r="E196" s="302"/>
      <c r="F196" s="302"/>
      <c r="G196" s="302"/>
      <c r="H196" s="302"/>
      <c r="I196" s="302"/>
      <c r="J196" s="302"/>
      <c r="K196" s="302"/>
      <c r="L196" s="302"/>
      <c r="M196" s="302"/>
      <c r="N196" s="302"/>
      <c r="O196" s="302"/>
      <c r="P196" s="302"/>
      <c r="Q196" s="302"/>
      <c r="R196" s="302"/>
      <c r="S196" s="302"/>
      <c r="T196" s="302"/>
      <c r="U196" s="302"/>
      <c r="V196" s="302"/>
      <c r="W196" s="309"/>
      <c r="X196" s="310"/>
    </row>
    <row r="197" spans="2:24" ht="27" customHeight="1" x14ac:dyDescent="0.55000000000000004">
      <c r="B197" s="122" t="s">
        <v>363</v>
      </c>
      <c r="C197" s="302"/>
      <c r="D197" s="302"/>
      <c r="E197" s="302"/>
      <c r="F197" s="302"/>
      <c r="G197" s="302"/>
      <c r="H197" s="302"/>
      <c r="I197" s="302"/>
      <c r="J197" s="302"/>
      <c r="K197" s="302"/>
      <c r="L197" s="302"/>
      <c r="M197" s="302"/>
      <c r="N197" s="302"/>
      <c r="O197" s="302"/>
      <c r="P197" s="302"/>
      <c r="Q197" s="302"/>
      <c r="R197" s="302"/>
      <c r="S197" s="302"/>
      <c r="T197" s="302"/>
      <c r="U197" s="302"/>
      <c r="V197" s="302"/>
      <c r="W197" s="309"/>
      <c r="X197" s="310"/>
    </row>
    <row r="198" spans="2:24" ht="27" customHeight="1" x14ac:dyDescent="0.55000000000000004">
      <c r="B198" s="122" t="s">
        <v>364</v>
      </c>
      <c r="C198" s="302"/>
      <c r="D198" s="302"/>
      <c r="E198" s="302"/>
      <c r="F198" s="302"/>
      <c r="G198" s="302"/>
      <c r="H198" s="302"/>
      <c r="I198" s="302"/>
      <c r="J198" s="302"/>
      <c r="K198" s="302"/>
      <c r="L198" s="302"/>
      <c r="M198" s="302"/>
      <c r="N198" s="302"/>
      <c r="O198" s="302"/>
      <c r="P198" s="302"/>
      <c r="Q198" s="302"/>
      <c r="R198" s="302"/>
      <c r="S198" s="302"/>
      <c r="T198" s="302"/>
      <c r="U198" s="302"/>
      <c r="V198" s="302"/>
      <c r="W198" s="309"/>
      <c r="X198" s="310"/>
    </row>
    <row r="199" spans="2:24" ht="27" customHeight="1" x14ac:dyDescent="0.55000000000000004">
      <c r="B199" s="122" t="s">
        <v>365</v>
      </c>
      <c r="C199" s="302"/>
      <c r="D199" s="302"/>
      <c r="E199" s="302"/>
      <c r="F199" s="302"/>
      <c r="G199" s="302"/>
      <c r="H199" s="302"/>
      <c r="I199" s="302"/>
      <c r="J199" s="302"/>
      <c r="K199" s="302"/>
      <c r="L199" s="302"/>
      <c r="M199" s="302"/>
      <c r="N199" s="302"/>
      <c r="O199" s="302"/>
      <c r="P199" s="302"/>
      <c r="Q199" s="302"/>
      <c r="R199" s="302"/>
      <c r="S199" s="302"/>
      <c r="T199" s="302"/>
      <c r="U199" s="302"/>
      <c r="V199" s="302"/>
      <c r="W199" s="309"/>
      <c r="X199" s="310"/>
    </row>
    <row r="200" spans="2:24" ht="27" customHeight="1" x14ac:dyDescent="0.55000000000000004">
      <c r="B200" s="122" t="s">
        <v>366</v>
      </c>
      <c r="C200" s="302"/>
      <c r="D200" s="302"/>
      <c r="E200" s="302"/>
      <c r="F200" s="302"/>
      <c r="G200" s="302"/>
      <c r="H200" s="302"/>
      <c r="I200" s="302"/>
      <c r="J200" s="302"/>
      <c r="K200" s="302"/>
      <c r="L200" s="302"/>
      <c r="M200" s="302"/>
      <c r="N200" s="302"/>
      <c r="O200" s="302"/>
      <c r="P200" s="302"/>
      <c r="Q200" s="302"/>
      <c r="R200" s="302"/>
      <c r="S200" s="302"/>
      <c r="T200" s="302"/>
      <c r="U200" s="302"/>
      <c r="V200" s="302"/>
      <c r="W200" s="309"/>
      <c r="X200" s="310"/>
    </row>
    <row r="201" spans="2:24" ht="27" customHeight="1" x14ac:dyDescent="0.55000000000000004">
      <c r="B201" s="122" t="s">
        <v>367</v>
      </c>
      <c r="C201" s="302"/>
      <c r="D201" s="302"/>
      <c r="E201" s="302"/>
      <c r="F201" s="302"/>
      <c r="G201" s="302"/>
      <c r="H201" s="302"/>
      <c r="I201" s="302"/>
      <c r="J201" s="302"/>
      <c r="K201" s="302"/>
      <c r="L201" s="302"/>
      <c r="M201" s="302"/>
      <c r="N201" s="302"/>
      <c r="O201" s="302"/>
      <c r="P201" s="302"/>
      <c r="Q201" s="302"/>
      <c r="R201" s="302"/>
      <c r="S201" s="302"/>
      <c r="T201" s="302"/>
      <c r="U201" s="302"/>
      <c r="V201" s="302"/>
      <c r="W201" s="309"/>
      <c r="X201" s="310"/>
    </row>
    <row r="202" spans="2:24" ht="27" customHeight="1" x14ac:dyDescent="0.55000000000000004">
      <c r="B202" s="122" t="s">
        <v>368</v>
      </c>
      <c r="C202" s="302"/>
      <c r="D202" s="302"/>
      <c r="E202" s="302"/>
      <c r="F202" s="302"/>
      <c r="G202" s="302"/>
      <c r="H202" s="302"/>
      <c r="I202" s="302"/>
      <c r="J202" s="302"/>
      <c r="K202" s="302"/>
      <c r="L202" s="302"/>
      <c r="M202" s="302"/>
      <c r="N202" s="302"/>
      <c r="O202" s="302"/>
      <c r="P202" s="302"/>
      <c r="Q202" s="302"/>
      <c r="R202" s="302"/>
      <c r="S202" s="302"/>
      <c r="T202" s="302"/>
      <c r="U202" s="302"/>
      <c r="V202" s="302"/>
      <c r="W202" s="309"/>
      <c r="X202" s="310"/>
    </row>
    <row r="203" spans="2:24" ht="27" customHeight="1" x14ac:dyDescent="0.55000000000000004">
      <c r="B203" s="122" t="s">
        <v>369</v>
      </c>
      <c r="C203" s="302"/>
      <c r="D203" s="302"/>
      <c r="E203" s="302"/>
      <c r="F203" s="302"/>
      <c r="G203" s="302"/>
      <c r="H203" s="302"/>
      <c r="I203" s="302"/>
      <c r="J203" s="302"/>
      <c r="K203" s="302"/>
      <c r="L203" s="302"/>
      <c r="M203" s="302"/>
      <c r="N203" s="302"/>
      <c r="O203" s="302"/>
      <c r="P203" s="302"/>
      <c r="Q203" s="302"/>
      <c r="R203" s="302"/>
      <c r="S203" s="302"/>
      <c r="T203" s="302"/>
      <c r="U203" s="302"/>
      <c r="V203" s="302"/>
      <c r="W203" s="309"/>
      <c r="X203" s="310"/>
    </row>
    <row r="204" spans="2:24" ht="27" customHeight="1" x14ac:dyDescent="0.55000000000000004">
      <c r="B204" s="123" t="s">
        <v>370</v>
      </c>
      <c r="C204" s="305"/>
      <c r="D204" s="305"/>
      <c r="E204" s="305"/>
      <c r="F204" s="305"/>
      <c r="G204" s="305"/>
      <c r="H204" s="305"/>
      <c r="I204" s="305"/>
      <c r="J204" s="305"/>
      <c r="K204" s="305"/>
      <c r="L204" s="305"/>
      <c r="M204" s="305"/>
      <c r="N204" s="305"/>
      <c r="O204" s="305"/>
      <c r="P204" s="305"/>
      <c r="Q204" s="305"/>
      <c r="R204" s="305"/>
      <c r="S204" s="305"/>
      <c r="T204" s="305"/>
      <c r="U204" s="305"/>
      <c r="V204" s="305"/>
      <c r="W204" s="312"/>
      <c r="X204" s="313"/>
    </row>
    <row r="205" spans="2:24" x14ac:dyDescent="0.55000000000000004">
      <c r="B205" s="31"/>
      <c r="C205" s="32"/>
    </row>
  </sheetData>
  <sheetProtection algorithmName="SHA-512" hashValue="OIp0lySz11QBrnoLNFwA1/dA+R6WAUN2egHpBt1AzJJdm6A7gBi5xw0Trjhvw3cUgrwTgGHqqGMX4pGWm3IjZA==" saltValue="MrK1py9l+5UH9IzhfJm4+Q==" spinCount="100000" sheet="1" objects="1" scenarios="1" selectLockedCells="1" selectUnlockedCells="1"/>
  <mergeCells count="423">
    <mergeCell ref="B32:C32"/>
    <mergeCell ref="B33:C33"/>
    <mergeCell ref="B34:C34"/>
    <mergeCell ref="B35:C35"/>
    <mergeCell ref="B39:C39"/>
    <mergeCell ref="B40:C40"/>
    <mergeCell ref="F25:G25"/>
    <mergeCell ref="H25:O25"/>
    <mergeCell ref="B28:C28"/>
    <mergeCell ref="B29:C29"/>
    <mergeCell ref="B30:C30"/>
    <mergeCell ref="B31:C31"/>
    <mergeCell ref="B47:C47"/>
    <mergeCell ref="B50:C50"/>
    <mergeCell ref="B51:C51"/>
    <mergeCell ref="C68:G68"/>
    <mergeCell ref="H68:N68"/>
    <mergeCell ref="O68:T68"/>
    <mergeCell ref="B41:C41"/>
    <mergeCell ref="B42:C42"/>
    <mergeCell ref="B43:C43"/>
    <mergeCell ref="B44:C44"/>
    <mergeCell ref="B45:C45"/>
    <mergeCell ref="B46:C46"/>
    <mergeCell ref="C71:G71"/>
    <mergeCell ref="H71:N71"/>
    <mergeCell ref="O71:T71"/>
    <mergeCell ref="U71:V71"/>
    <mergeCell ref="C72:G72"/>
    <mergeCell ref="H72:N72"/>
    <mergeCell ref="O72:T72"/>
    <mergeCell ref="U72:V72"/>
    <mergeCell ref="U68:V68"/>
    <mergeCell ref="C69:G69"/>
    <mergeCell ref="H69:N69"/>
    <mergeCell ref="O69:T69"/>
    <mergeCell ref="U69:V69"/>
    <mergeCell ref="C70:G70"/>
    <mergeCell ref="H70:N70"/>
    <mergeCell ref="O70:T70"/>
    <mergeCell ref="U70:V70"/>
    <mergeCell ref="C75:G75"/>
    <mergeCell ref="H75:N75"/>
    <mergeCell ref="O75:T75"/>
    <mergeCell ref="U75:V75"/>
    <mergeCell ref="C76:G76"/>
    <mergeCell ref="H76:N76"/>
    <mergeCell ref="O76:T76"/>
    <mergeCell ref="U76:V76"/>
    <mergeCell ref="C73:G73"/>
    <mergeCell ref="H73:N73"/>
    <mergeCell ref="O73:T73"/>
    <mergeCell ref="U73:V73"/>
    <mergeCell ref="C74:G74"/>
    <mergeCell ref="H74:N74"/>
    <mergeCell ref="O74:T74"/>
    <mergeCell ref="U74:V74"/>
    <mergeCell ref="C79:G79"/>
    <mergeCell ref="H79:N79"/>
    <mergeCell ref="O79:T79"/>
    <mergeCell ref="U79:V79"/>
    <mergeCell ref="C80:G80"/>
    <mergeCell ref="H80:N80"/>
    <mergeCell ref="O80:T80"/>
    <mergeCell ref="U80:V80"/>
    <mergeCell ref="C77:G77"/>
    <mergeCell ref="H77:N77"/>
    <mergeCell ref="O77:T77"/>
    <mergeCell ref="U77:V77"/>
    <mergeCell ref="C78:G78"/>
    <mergeCell ref="H78:N78"/>
    <mergeCell ref="O78:T78"/>
    <mergeCell ref="U78:V78"/>
    <mergeCell ref="C83:G83"/>
    <mergeCell ref="H83:N83"/>
    <mergeCell ref="O83:T83"/>
    <mergeCell ref="U83:V83"/>
    <mergeCell ref="C84:G84"/>
    <mergeCell ref="H84:N84"/>
    <mergeCell ref="O84:T84"/>
    <mergeCell ref="U84:V84"/>
    <mergeCell ref="C81:G81"/>
    <mergeCell ref="H81:N81"/>
    <mergeCell ref="O81:T81"/>
    <mergeCell ref="U81:V81"/>
    <mergeCell ref="C82:G82"/>
    <mergeCell ref="H82:N82"/>
    <mergeCell ref="O82:T82"/>
    <mergeCell ref="U82:V82"/>
    <mergeCell ref="C87:G87"/>
    <mergeCell ref="H87:N87"/>
    <mergeCell ref="O87:T87"/>
    <mergeCell ref="U87:V87"/>
    <mergeCell ref="C88:G88"/>
    <mergeCell ref="H88:N88"/>
    <mergeCell ref="O88:T88"/>
    <mergeCell ref="U88:V88"/>
    <mergeCell ref="C85:G85"/>
    <mergeCell ref="H85:N85"/>
    <mergeCell ref="O85:T85"/>
    <mergeCell ref="U85:V85"/>
    <mergeCell ref="C86:G86"/>
    <mergeCell ref="H86:N86"/>
    <mergeCell ref="O86:T86"/>
    <mergeCell ref="U86:V86"/>
    <mergeCell ref="C90:G90"/>
    <mergeCell ref="H90:N90"/>
    <mergeCell ref="O90:T90"/>
    <mergeCell ref="U90:V90"/>
    <mergeCell ref="W90:X90"/>
    <mergeCell ref="C91:G91"/>
    <mergeCell ref="H91:N91"/>
    <mergeCell ref="O91:T91"/>
    <mergeCell ref="U91:V91"/>
    <mergeCell ref="W91:X91"/>
    <mergeCell ref="C92:G92"/>
    <mergeCell ref="H92:N92"/>
    <mergeCell ref="O92:T92"/>
    <mergeCell ref="U92:V92"/>
    <mergeCell ref="W92:X92"/>
    <mergeCell ref="C93:G93"/>
    <mergeCell ref="H93:N93"/>
    <mergeCell ref="O93:T93"/>
    <mergeCell ref="U93:V93"/>
    <mergeCell ref="W93:X93"/>
    <mergeCell ref="C94:G94"/>
    <mergeCell ref="H94:N94"/>
    <mergeCell ref="O94:T94"/>
    <mergeCell ref="U94:V94"/>
    <mergeCell ref="W94:X94"/>
    <mergeCell ref="C95:G95"/>
    <mergeCell ref="H95:N95"/>
    <mergeCell ref="O95:T95"/>
    <mergeCell ref="U95:V95"/>
    <mergeCell ref="W95:X95"/>
    <mergeCell ref="C96:G96"/>
    <mergeCell ref="H96:N96"/>
    <mergeCell ref="O96:T96"/>
    <mergeCell ref="U96:V96"/>
    <mergeCell ref="W96:X96"/>
    <mergeCell ref="C97:G97"/>
    <mergeCell ref="H97:N97"/>
    <mergeCell ref="O97:T97"/>
    <mergeCell ref="U97:V97"/>
    <mergeCell ref="W97:X97"/>
    <mergeCell ref="C98:G98"/>
    <mergeCell ref="H98:N98"/>
    <mergeCell ref="O98:T98"/>
    <mergeCell ref="U98:V98"/>
    <mergeCell ref="W98:X98"/>
    <mergeCell ref="C99:G99"/>
    <mergeCell ref="H99:N99"/>
    <mergeCell ref="O99:T99"/>
    <mergeCell ref="U99:V99"/>
    <mergeCell ref="W99:X99"/>
    <mergeCell ref="C100:G100"/>
    <mergeCell ref="H100:N100"/>
    <mergeCell ref="O100:T100"/>
    <mergeCell ref="U100:V100"/>
    <mergeCell ref="W100:X100"/>
    <mergeCell ref="C101:G101"/>
    <mergeCell ref="H101:N101"/>
    <mergeCell ref="O101:T101"/>
    <mergeCell ref="U101:V101"/>
    <mergeCell ref="W101:X101"/>
    <mergeCell ref="C102:G102"/>
    <mergeCell ref="H102:N102"/>
    <mergeCell ref="O102:T102"/>
    <mergeCell ref="U102:V102"/>
    <mergeCell ref="W102:X102"/>
    <mergeCell ref="C103:G103"/>
    <mergeCell ref="H103:N103"/>
    <mergeCell ref="O103:T103"/>
    <mergeCell ref="U103:V103"/>
    <mergeCell ref="W103:X103"/>
    <mergeCell ref="C104:G104"/>
    <mergeCell ref="H104:N104"/>
    <mergeCell ref="O104:T104"/>
    <mergeCell ref="U104:V104"/>
    <mergeCell ref="W104:X104"/>
    <mergeCell ref="C105:G105"/>
    <mergeCell ref="H105:N105"/>
    <mergeCell ref="O105:T105"/>
    <mergeCell ref="U105:V105"/>
    <mergeCell ref="W105:X105"/>
    <mergeCell ref="C106:G106"/>
    <mergeCell ref="H106:N106"/>
    <mergeCell ref="O106:T106"/>
    <mergeCell ref="U106:V106"/>
    <mergeCell ref="W106:X106"/>
    <mergeCell ref="C107:G107"/>
    <mergeCell ref="H107:N107"/>
    <mergeCell ref="O107:T107"/>
    <mergeCell ref="U107:V107"/>
    <mergeCell ref="W107:X107"/>
    <mergeCell ref="C110:G110"/>
    <mergeCell ref="H110:N110"/>
    <mergeCell ref="O110:T110"/>
    <mergeCell ref="U110:V110"/>
    <mergeCell ref="W110:X110"/>
    <mergeCell ref="B113:F113"/>
    <mergeCell ref="G113:H113"/>
    <mergeCell ref="C108:G108"/>
    <mergeCell ref="H108:N108"/>
    <mergeCell ref="O108:T108"/>
    <mergeCell ref="U108:V108"/>
    <mergeCell ref="W108:X108"/>
    <mergeCell ref="C109:G109"/>
    <mergeCell ref="H109:N109"/>
    <mergeCell ref="O109:T109"/>
    <mergeCell ref="U109:V109"/>
    <mergeCell ref="W109:X109"/>
    <mergeCell ref="B123:C123"/>
    <mergeCell ref="B124:B125"/>
    <mergeCell ref="B126:B128"/>
    <mergeCell ref="B129:C129"/>
    <mergeCell ref="B130:C130"/>
    <mergeCell ref="B131:B132"/>
    <mergeCell ref="F116:G116"/>
    <mergeCell ref="H116:O116"/>
    <mergeCell ref="B119:C119"/>
    <mergeCell ref="B120:C120"/>
    <mergeCell ref="B121:C121"/>
    <mergeCell ref="B122:C122"/>
    <mergeCell ref="B147:B149"/>
    <mergeCell ref="B150:C150"/>
    <mergeCell ref="B151:C151"/>
    <mergeCell ref="B152:B153"/>
    <mergeCell ref="C162:G162"/>
    <mergeCell ref="H162:N162"/>
    <mergeCell ref="B140:C140"/>
    <mergeCell ref="B141:C141"/>
    <mergeCell ref="B142:C142"/>
    <mergeCell ref="B143:C143"/>
    <mergeCell ref="B144:C144"/>
    <mergeCell ref="B145:B146"/>
    <mergeCell ref="C164:G164"/>
    <mergeCell ref="H164:N164"/>
    <mergeCell ref="O164:T164"/>
    <mergeCell ref="U164:V164"/>
    <mergeCell ref="C165:G165"/>
    <mergeCell ref="H165:N165"/>
    <mergeCell ref="O165:T165"/>
    <mergeCell ref="U165:V165"/>
    <mergeCell ref="O162:T162"/>
    <mergeCell ref="U162:V162"/>
    <mergeCell ref="C163:G163"/>
    <mergeCell ref="H163:N163"/>
    <mergeCell ref="O163:T163"/>
    <mergeCell ref="U163:V163"/>
    <mergeCell ref="C168:G168"/>
    <mergeCell ref="H168:N168"/>
    <mergeCell ref="O168:T168"/>
    <mergeCell ref="U168:V168"/>
    <mergeCell ref="C169:G169"/>
    <mergeCell ref="H169:N169"/>
    <mergeCell ref="O169:T169"/>
    <mergeCell ref="U169:V169"/>
    <mergeCell ref="C166:G166"/>
    <mergeCell ref="H166:N166"/>
    <mergeCell ref="O166:T166"/>
    <mergeCell ref="U166:V166"/>
    <mergeCell ref="C167:G167"/>
    <mergeCell ref="H167:N167"/>
    <mergeCell ref="O167:T167"/>
    <mergeCell ref="U167:V167"/>
    <mergeCell ref="C172:G172"/>
    <mergeCell ref="H172:N172"/>
    <mergeCell ref="O172:T172"/>
    <mergeCell ref="U172:V172"/>
    <mergeCell ref="C173:G173"/>
    <mergeCell ref="H173:N173"/>
    <mergeCell ref="O173:T173"/>
    <mergeCell ref="U173:V173"/>
    <mergeCell ref="C170:G170"/>
    <mergeCell ref="H170:N170"/>
    <mergeCell ref="O170:T170"/>
    <mergeCell ref="U170:V170"/>
    <mergeCell ref="C171:G171"/>
    <mergeCell ref="H171:N171"/>
    <mergeCell ref="O171:T171"/>
    <mergeCell ref="U171:V171"/>
    <mergeCell ref="C176:G176"/>
    <mergeCell ref="H176:N176"/>
    <mergeCell ref="O176:T176"/>
    <mergeCell ref="U176:V176"/>
    <mergeCell ref="C177:G177"/>
    <mergeCell ref="H177:N177"/>
    <mergeCell ref="O177:T177"/>
    <mergeCell ref="U177:V177"/>
    <mergeCell ref="C174:G174"/>
    <mergeCell ref="H174:N174"/>
    <mergeCell ref="O174:T174"/>
    <mergeCell ref="U174:V174"/>
    <mergeCell ref="C175:G175"/>
    <mergeCell ref="H175:N175"/>
    <mergeCell ref="O175:T175"/>
    <mergeCell ref="U175:V175"/>
    <mergeCell ref="C180:G180"/>
    <mergeCell ref="H180:N180"/>
    <mergeCell ref="O180:T180"/>
    <mergeCell ref="U180:V180"/>
    <mergeCell ref="C181:G181"/>
    <mergeCell ref="H181:N181"/>
    <mergeCell ref="O181:T181"/>
    <mergeCell ref="U181:V181"/>
    <mergeCell ref="C178:G178"/>
    <mergeCell ref="H178:N178"/>
    <mergeCell ref="O178:T178"/>
    <mergeCell ref="U178:V178"/>
    <mergeCell ref="C179:G179"/>
    <mergeCell ref="H179:N179"/>
    <mergeCell ref="O179:T179"/>
    <mergeCell ref="U179:V179"/>
    <mergeCell ref="W184:X184"/>
    <mergeCell ref="C185:G185"/>
    <mergeCell ref="H185:N185"/>
    <mergeCell ref="O185:T185"/>
    <mergeCell ref="U185:V185"/>
    <mergeCell ref="W185:X185"/>
    <mergeCell ref="C182:G182"/>
    <mergeCell ref="H182:N182"/>
    <mergeCell ref="O182:T182"/>
    <mergeCell ref="U182:V182"/>
    <mergeCell ref="C184:G184"/>
    <mergeCell ref="H184:N184"/>
    <mergeCell ref="O184:T184"/>
    <mergeCell ref="U184:V184"/>
    <mergeCell ref="C186:G186"/>
    <mergeCell ref="H186:N186"/>
    <mergeCell ref="O186:T186"/>
    <mergeCell ref="U186:V186"/>
    <mergeCell ref="W186:X186"/>
    <mergeCell ref="C187:G187"/>
    <mergeCell ref="H187:N187"/>
    <mergeCell ref="O187:T187"/>
    <mergeCell ref="U187:V187"/>
    <mergeCell ref="W187:X187"/>
    <mergeCell ref="C188:G188"/>
    <mergeCell ref="H188:N188"/>
    <mergeCell ref="O188:T188"/>
    <mergeCell ref="U188:V188"/>
    <mergeCell ref="W188:X188"/>
    <mergeCell ref="C189:G189"/>
    <mergeCell ref="H189:N189"/>
    <mergeCell ref="O189:T189"/>
    <mergeCell ref="U189:V189"/>
    <mergeCell ref="W189:X189"/>
    <mergeCell ref="C190:G190"/>
    <mergeCell ref="H190:N190"/>
    <mergeCell ref="O190:T190"/>
    <mergeCell ref="U190:V190"/>
    <mergeCell ref="W190:X190"/>
    <mergeCell ref="C191:G191"/>
    <mergeCell ref="H191:N191"/>
    <mergeCell ref="O191:T191"/>
    <mergeCell ref="U191:V191"/>
    <mergeCell ref="W191:X191"/>
    <mergeCell ref="C192:G192"/>
    <mergeCell ref="H192:N192"/>
    <mergeCell ref="O192:T192"/>
    <mergeCell ref="U192:V192"/>
    <mergeCell ref="W192:X192"/>
    <mergeCell ref="C193:G193"/>
    <mergeCell ref="H193:N193"/>
    <mergeCell ref="O193:T193"/>
    <mergeCell ref="U193:V193"/>
    <mergeCell ref="W193:X193"/>
    <mergeCell ref="C194:G194"/>
    <mergeCell ref="H194:N194"/>
    <mergeCell ref="O194:T194"/>
    <mergeCell ref="U194:V194"/>
    <mergeCell ref="W194:X194"/>
    <mergeCell ref="C195:G195"/>
    <mergeCell ref="H195:N195"/>
    <mergeCell ref="O195:T195"/>
    <mergeCell ref="U195:V195"/>
    <mergeCell ref="W195:X195"/>
    <mergeCell ref="C196:G196"/>
    <mergeCell ref="H196:N196"/>
    <mergeCell ref="O196:T196"/>
    <mergeCell ref="U196:V196"/>
    <mergeCell ref="W196:X196"/>
    <mergeCell ref="C197:G197"/>
    <mergeCell ref="H197:N197"/>
    <mergeCell ref="O197:T197"/>
    <mergeCell ref="U197:V197"/>
    <mergeCell ref="W197:X197"/>
    <mergeCell ref="C198:G198"/>
    <mergeCell ref="H198:N198"/>
    <mergeCell ref="O198:T198"/>
    <mergeCell ref="U198:V198"/>
    <mergeCell ref="W198:X198"/>
    <mergeCell ref="C199:G199"/>
    <mergeCell ref="H199:N199"/>
    <mergeCell ref="O199:T199"/>
    <mergeCell ref="U199:V199"/>
    <mergeCell ref="W199:X199"/>
    <mergeCell ref="C200:G200"/>
    <mergeCell ref="H200:N200"/>
    <mergeCell ref="O200:T200"/>
    <mergeCell ref="U200:V200"/>
    <mergeCell ref="W200:X200"/>
    <mergeCell ref="C201:G201"/>
    <mergeCell ref="H201:N201"/>
    <mergeCell ref="O201:T201"/>
    <mergeCell ref="U201:V201"/>
    <mergeCell ref="W201:X201"/>
    <mergeCell ref="C204:G204"/>
    <mergeCell ref="H204:N204"/>
    <mergeCell ref="O204:T204"/>
    <mergeCell ref="U204:V204"/>
    <mergeCell ref="W204:X204"/>
    <mergeCell ref="C202:G202"/>
    <mergeCell ref="H202:N202"/>
    <mergeCell ref="O202:T202"/>
    <mergeCell ref="U202:V202"/>
    <mergeCell ref="W202:X202"/>
    <mergeCell ref="C203:G203"/>
    <mergeCell ref="H203:N203"/>
    <mergeCell ref="O203:T203"/>
    <mergeCell ref="U203:V203"/>
    <mergeCell ref="W203:X203"/>
  </mergeCells>
  <phoneticPr fontId="2"/>
  <conditionalFormatting sqref="D47:W47">
    <cfRule type="expression" dxfId="189" priority="22">
      <formula>D54=1</formula>
    </cfRule>
    <cfRule type="expression" dxfId="188" priority="35">
      <formula>D47="---"</formula>
    </cfRule>
    <cfRule type="expression" dxfId="187" priority="36">
      <formula>D47&gt;0.4</formula>
    </cfRule>
  </conditionalFormatting>
  <conditionalFormatting sqref="D48:W48">
    <cfRule type="expression" dxfId="186" priority="18">
      <formula>OR(D42="継続",D48="")</formula>
    </cfRule>
    <cfRule type="expression" dxfId="185" priority="33">
      <formula>AND(D48&lt;&gt;"継続",D48&lt;40)</formula>
    </cfRule>
  </conditionalFormatting>
  <conditionalFormatting sqref="D49:W49">
    <cfRule type="expression" dxfId="184" priority="19">
      <formula>OR(D42="継続",D49="")</formula>
    </cfRule>
    <cfRule type="expression" dxfId="183" priority="34">
      <formula>AND(D42&lt;&gt;"継続",D49&lt;40)</formula>
    </cfRule>
  </conditionalFormatting>
  <conditionalFormatting sqref="H25">
    <cfRule type="expression" dxfId="182" priority="10">
      <formula>$H$25="換気設備の導入は必須です。換気設備について入力してください。"</formula>
    </cfRule>
    <cfRule type="expression" dxfId="181" priority="11">
      <formula>H25="旧設備の入力をご確認ください。"</formula>
    </cfRule>
    <cfRule type="expression" dxfId="180" priority="37">
      <formula>H25="新設備の入力をご確認ください。"</formula>
    </cfRule>
  </conditionalFormatting>
  <conditionalFormatting sqref="I43:W43">
    <cfRule type="expression" dxfId="179" priority="21">
      <formula>I$57=1</formula>
    </cfRule>
  </conditionalFormatting>
  <conditionalFormatting sqref="D119:W119">
    <cfRule type="expression" dxfId="178" priority="26">
      <formula>OR(D136=1,D137=1)</formula>
    </cfRule>
  </conditionalFormatting>
  <conditionalFormatting sqref="D140:W140">
    <cfRule type="expression" dxfId="177" priority="30">
      <formula>OR(D157=1,D158=1)</formula>
    </cfRule>
  </conditionalFormatting>
  <conditionalFormatting sqref="E120:W120">
    <cfRule type="expression" dxfId="176" priority="27">
      <formula>E135=1</formula>
    </cfRule>
  </conditionalFormatting>
  <conditionalFormatting sqref="E122:W122">
    <cfRule type="expression" dxfId="175" priority="28">
      <formula>E135=1</formula>
    </cfRule>
  </conditionalFormatting>
  <conditionalFormatting sqref="E128:W128">
    <cfRule type="expression" dxfId="174" priority="29">
      <formula>E135=1</formula>
    </cfRule>
  </conditionalFormatting>
  <conditionalFormatting sqref="D141:W141">
    <cfRule type="expression" dxfId="173" priority="25">
      <formula>D156=1</formula>
    </cfRule>
  </conditionalFormatting>
  <conditionalFormatting sqref="D143:W143">
    <cfRule type="expression" dxfId="172" priority="24">
      <formula>D156=1</formula>
    </cfRule>
  </conditionalFormatting>
  <conditionalFormatting sqref="D149:W149">
    <cfRule type="expression" dxfId="171" priority="23">
      <formula>D156=1</formula>
    </cfRule>
  </conditionalFormatting>
  <conditionalFormatting sqref="H116">
    <cfRule type="expression" dxfId="170" priority="12">
      <formula>$H$116="新設備の入力をご確認ください。"</formula>
    </cfRule>
    <cfRule type="expression" dxfId="169" priority="14">
      <formula>$H$116="旧設備の入力をご確認ください。"</formula>
    </cfRule>
  </conditionalFormatting>
  <conditionalFormatting sqref="D28:W28">
    <cfRule type="expression" dxfId="168" priority="15">
      <formula>D36=1</formula>
    </cfRule>
  </conditionalFormatting>
  <conditionalFormatting sqref="D39:W39">
    <cfRule type="expression" dxfId="167" priority="16">
      <formula>D62=1</formula>
    </cfRule>
  </conditionalFormatting>
  <conditionalFormatting sqref="W91">
    <cfRule type="expression" dxfId="166" priority="42">
      <formula>$D$56=2</formula>
    </cfRule>
  </conditionalFormatting>
  <conditionalFormatting sqref="H25">
    <cfRule type="expression" dxfId="165" priority="39">
      <formula>$H$25="換気設備導入の要件を満たしていないため、申請できません。"</formula>
    </cfRule>
  </conditionalFormatting>
  <conditionalFormatting sqref="H116">
    <cfRule type="expression" dxfId="164" priority="13">
      <formula>$H$116="省エネ設備更新の要件を満たしていないため、申請できません。"</formula>
    </cfRule>
  </conditionalFormatting>
  <conditionalFormatting sqref="X151">
    <cfRule type="expression" dxfId="163" priority="20">
      <formula>AND($AE$158&lt;&gt;0,$X$130&lt;=$X$151)</formula>
    </cfRule>
  </conditionalFormatting>
  <conditionalFormatting sqref="I40:W40 D41:W41 I42:W43">
    <cfRule type="expression" dxfId="162" priority="31">
      <formula>OR(D$41="補器（排気）",D$41="補器（給気）")</formula>
    </cfRule>
    <cfRule type="expression" dxfId="161" priority="32">
      <formula>D$41="給気"</formula>
    </cfRule>
  </conditionalFormatting>
  <conditionalFormatting sqref="D30:W30 F29:W29">
    <cfRule type="expression" dxfId="160" priority="40">
      <formula>D$30="給気"</formula>
    </cfRule>
    <cfRule type="expression" dxfId="159" priority="41">
      <formula>OR(D$30="補器（排気）",D$30="補器（給気）")</formula>
    </cfRule>
  </conditionalFormatting>
  <conditionalFormatting sqref="W92">
    <cfRule type="expression" dxfId="158" priority="43">
      <formula>$E$56=2</formula>
    </cfRule>
  </conditionalFormatting>
  <conditionalFormatting sqref="W93">
    <cfRule type="expression" dxfId="157" priority="44">
      <formula>$F$56=2</formula>
    </cfRule>
  </conditionalFormatting>
  <conditionalFormatting sqref="W94">
    <cfRule type="expression" dxfId="156" priority="45">
      <formula>$G$56=2</formula>
    </cfRule>
  </conditionalFormatting>
  <conditionalFormatting sqref="W95">
    <cfRule type="expression" dxfId="155" priority="46">
      <formula>$H$56=2</formula>
    </cfRule>
  </conditionalFormatting>
  <conditionalFormatting sqref="W96">
    <cfRule type="expression" dxfId="154" priority="47">
      <formula>$I$56=2</formula>
    </cfRule>
  </conditionalFormatting>
  <conditionalFormatting sqref="W97">
    <cfRule type="expression" dxfId="153" priority="48">
      <formula>$J$56=2</formula>
    </cfRule>
  </conditionalFormatting>
  <conditionalFormatting sqref="W98">
    <cfRule type="expression" dxfId="152" priority="49">
      <formula>$K$56=2</formula>
    </cfRule>
  </conditionalFormatting>
  <conditionalFormatting sqref="W99">
    <cfRule type="expression" dxfId="151" priority="50">
      <formula>$L$56=2</formula>
    </cfRule>
  </conditionalFormatting>
  <conditionalFormatting sqref="W100">
    <cfRule type="expression" dxfId="150" priority="51">
      <formula>$M$56=2</formula>
    </cfRule>
  </conditionalFormatting>
  <conditionalFormatting sqref="W101">
    <cfRule type="expression" dxfId="149" priority="52">
      <formula>$N$56=2</formula>
    </cfRule>
  </conditionalFormatting>
  <conditionalFormatting sqref="W102">
    <cfRule type="expression" dxfId="148" priority="53">
      <formula>$O$56=2</formula>
    </cfRule>
  </conditionalFormatting>
  <conditionalFormatting sqref="W103">
    <cfRule type="expression" dxfId="147" priority="54">
      <formula>$P$56=2</formula>
    </cfRule>
  </conditionalFormatting>
  <conditionalFormatting sqref="W104">
    <cfRule type="expression" dxfId="146" priority="55">
      <formula>$Q$56=2</formula>
    </cfRule>
  </conditionalFormatting>
  <conditionalFormatting sqref="W105">
    <cfRule type="expression" dxfId="145" priority="56">
      <formula>$R$56=2</formula>
    </cfRule>
  </conditionalFormatting>
  <conditionalFormatting sqref="W106">
    <cfRule type="expression" dxfId="144" priority="57">
      <formula>$S$56=2</formula>
    </cfRule>
  </conditionalFormatting>
  <conditionalFormatting sqref="W107">
    <cfRule type="expression" dxfId="143" priority="58">
      <formula>$T$56=2</formula>
    </cfRule>
  </conditionalFormatting>
  <conditionalFormatting sqref="W108">
    <cfRule type="expression" dxfId="142" priority="59">
      <formula>$U$56=2</formula>
    </cfRule>
  </conditionalFormatting>
  <conditionalFormatting sqref="W109">
    <cfRule type="expression" dxfId="141" priority="60">
      <formula>$V$56=2</formula>
    </cfRule>
  </conditionalFormatting>
  <conditionalFormatting sqref="W110">
    <cfRule type="expression" dxfId="140" priority="61">
      <formula>$W$56=2</formula>
    </cfRule>
  </conditionalFormatting>
  <conditionalFormatting sqref="X45:Y45">
    <cfRule type="expression" dxfId="139" priority="17">
      <formula>AND($X$63="不適合",$AA$62&lt;&gt;20)</formula>
    </cfRule>
  </conditionalFormatting>
  <conditionalFormatting sqref="H25:O25">
    <cfRule type="expression" dxfId="138" priority="38">
      <formula>$H$25="新設備の導入がない計画は申請できません。"</formula>
    </cfRule>
  </conditionalFormatting>
  <conditionalFormatting sqref="D129:X132 D141:X153 C164:V182 C186:X204 E120:X128">
    <cfRule type="expression" dxfId="137" priority="9">
      <formula>$G$113&lt;&gt;"はい"</formula>
    </cfRule>
  </conditionalFormatting>
  <conditionalFormatting sqref="I40:W40 I42:W42">
    <cfRule type="expression" dxfId="136" priority="62">
      <formula>I$52=1</formula>
    </cfRule>
    <cfRule type="expression" dxfId="135" priority="63">
      <formula>I$57=1</formula>
    </cfRule>
  </conditionalFormatting>
  <conditionalFormatting sqref="D40:H40">
    <cfRule type="expression" dxfId="134" priority="7">
      <formula>D$48=1</formula>
    </cfRule>
    <cfRule type="expression" dxfId="133" priority="8">
      <formula>D$43=1</formula>
    </cfRule>
  </conditionalFormatting>
  <conditionalFormatting sqref="D42:H42">
    <cfRule type="expression" dxfId="132" priority="4">
      <formula>D$48=1</formula>
    </cfRule>
    <cfRule type="expression" dxfId="131" priority="6">
      <formula>D$43=1</formula>
    </cfRule>
  </conditionalFormatting>
  <conditionalFormatting sqref="D43:H43">
    <cfRule type="expression" dxfId="130" priority="5">
      <formula>D$48=1</formula>
    </cfRule>
  </conditionalFormatting>
  <conditionalFormatting sqref="D120">
    <cfRule type="expression" dxfId="129" priority="3">
      <formula>D135=1</formula>
    </cfRule>
  </conditionalFormatting>
  <conditionalFormatting sqref="D122">
    <cfRule type="expression" dxfId="128" priority="2">
      <formula>D135=1</formula>
    </cfRule>
  </conditionalFormatting>
  <conditionalFormatting sqref="D128">
    <cfRule type="expression" dxfId="127" priority="1">
      <formula>D135=1</formula>
    </cfRule>
  </conditionalFormatting>
  <dataValidations count="4">
    <dataValidation type="list" allowBlank="1" showInputMessage="1" showErrorMessage="1" sqref="G113">
      <formula1>"実施を選択,はい,いいえ"</formula1>
    </dataValidation>
    <dataValidation allowBlank="1" sqref="C19:C20"/>
    <dataValidation allowBlank="1" showErrorMessage="1" promptTitle="『機器仕様入力書』　記入時のご注意" prompt="本シートご利用の場合は、省エネ計算シートの設備欄には記入しないでください。" sqref="D150:W151 D44:W51 D129:W130 D31:W35 D126:W127"/>
    <dataValidation allowBlank="1" showErrorMessage="1" sqref="D121:W121 D145:W148 D142:W142 D131:W132 D152:W153 D124:W125"/>
  </dataValidations>
  <pageMargins left="0.6692913385826772" right="0.31496062992125984" top="0.46" bottom="0.22" header="0.22" footer="0.16"/>
  <pageSetup paperSize="9" scale="32" fitToHeight="0" orientation="portrait" r:id="rId1"/>
  <headerFooter>
    <oddHeader>&amp;C&amp;20換気量・省エネ計算シート</oddHeader>
  </headerFooter>
  <rowBreaks count="1" manualBreakCount="1">
    <brk id="111" max="24" man="1"/>
  </row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W185:X185 D120 D42:H42</xm:sqref>
        </x14:dataValidation>
        <x14:dataValidation type="list" allowBlank="1" showErrorMessage="1" promptTitle="『機器仕様入力書』　記入時のご注意" prompt="本シートご利用の場合は、省エネ計算シートの設備欄には記入しないでください。">
          <x14:formula1>
            <xm:f>'\\fs00001\総務部\東京都地球温暖化防止活動推進センター\事業支援チーム\Ｒ４\200_個人用\和田\[◆換気量・省エネ計算シート（R4_Ver5.5）_記入例.xlsx]計算'!#REF!</xm:f>
          </x14:formula1>
          <xm:sqref>D128</xm:sqref>
        </x14:dataValidation>
        <x14:dataValidation type="list" allowBlank="1" showErrorMessage="1">
          <x14:formula1>
            <xm:f>'\\fs00001\総務部\東京都地球温暖化防止活動推進センター\事業支援チーム\Ｒ４\200_個人用\和田\[◆換気量・省エネ計算シート（R4_Ver5.5）_記入例.xlsx]計算'!#REF!</xm:f>
          </x14:formula1>
          <xm:sqref>D122:D123 D43:H43 D29:E29</xm:sqref>
        </x14:dataValidation>
        <x14:dataValidation type="list" allowBlank="1">
          <x14:formula1>
            <xm:f>'\\fs00001\総務部\東京都地球温暖化防止活動推進センター\事業支援チーム\Ｒ４\200_個人用\和田\[◆換気量・省エネ計算シート（R4_Ver5.5）_記入例.xlsx]計算'!#REF!</xm:f>
          </x14:formula1>
          <xm:sqref>D40:H40</xm:sqref>
        </x14:dataValidation>
        <x14:dataValidation type="list" allowBlank="1" showErrorMessage="1">
          <x14:formula1>
            <xm:f>計算!$T$20:$T$23</xm:f>
          </x14:formula1>
          <xm:sqref>D30:W30 D41:W41</xm:sqref>
        </x14:dataValidation>
        <x14:dataValidation type="list" allowBlank="1" showErrorMessage="1">
          <x14:formula1>
            <xm:f>計算!$Z$4:$Z$14</xm:f>
          </x14:formula1>
          <xm:sqref>D144:W144 E123:W123</xm:sqref>
        </x14:dataValidation>
        <x14:dataValidation type="list" allowBlank="1" showErrorMessage="1">
          <x14:formula1>
            <xm:f>計算!$Z$3:$Z$14</xm:f>
          </x14:formula1>
          <xm:sqref>I43:W43</xm:sqref>
        </x14:dataValidation>
        <x14:dataValidation type="list" allowBlank="1" showInputMessage="1" showErrorMessage="1">
          <x14:formula1>
            <xm:f>計算!$V$4:$V$6</xm:f>
          </x14:formula1>
          <xm:sqref>W91:X110 Y163:Y182 W186:X204</xm:sqref>
        </x14:dataValidation>
        <x14:dataValidation type="list" allowBlank="1" showErrorMessage="1">
          <x14:formula1>
            <xm:f>計算!$S$4:$S$8</xm:f>
          </x14:formula1>
          <xm:sqref>F29:W29</xm:sqref>
        </x14:dataValidation>
        <x14:dataValidation type="list" allowBlank="1" showErrorMessage="1">
          <x14:formula1>
            <xm:f>計算!$AA$4:$AA$6</xm:f>
          </x14:formula1>
          <xm:sqref>D143:W143 E122:W122</xm:sqref>
        </x14:dataValidation>
        <x14:dataValidation type="list" allowBlank="1" showInputMessage="1" showErrorMessage="1">
          <x14:formula1>
            <xm:f>計算!$U$4:$U$6</xm:f>
          </x14:formula1>
          <xm:sqref>D141:W141 E120:W120</xm:sqref>
        </x14:dataValidation>
        <x14:dataValidation type="list" allowBlank="1" showInputMessage="1" showErrorMessage="1">
          <x14:formula1>
            <xm:f>計算!$T$4:$T$7</xm:f>
          </x14:formula1>
          <xm:sqref>I42:W42</xm:sqref>
        </x14:dataValidation>
        <x14:dataValidation type="list" allowBlank="1">
          <x14:formula1>
            <xm:f>計算!$R$4:$R$9</xm:f>
          </x14:formula1>
          <xm:sqref>I40:W40</xm:sqref>
        </x14:dataValidation>
        <x14:dataValidation type="list" allowBlank="1" showErrorMessage="1" promptTitle="『機器仕様入力書』　記入時のご注意" prompt="本シートご利用の場合は、省エネ計算シートの設備欄には記入しないでください。">
          <x14:formula1>
            <xm:f>計算!$X$4:$X$6</xm:f>
          </x14:formula1>
          <xm:sqref>D149:W149 E128:W128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AF205"/>
  <sheetViews>
    <sheetView view="pageBreakPreview" zoomScale="70" zoomScaleNormal="80" zoomScaleSheetLayoutView="70" workbookViewId="0">
      <selection sqref="A1:XFD1048576"/>
    </sheetView>
  </sheetViews>
  <sheetFormatPr defaultColWidth="8.83203125" defaultRowHeight="19.2" x14ac:dyDescent="0.55000000000000004"/>
  <cols>
    <col min="1" max="1" width="7.5" style="18" customWidth="1"/>
    <col min="2" max="2" width="11.4140625" style="19" customWidth="1"/>
    <col min="3" max="3" width="4.6640625" style="19" customWidth="1"/>
    <col min="4" max="4" width="8.83203125" style="18" customWidth="1"/>
    <col min="5" max="15" width="8.83203125" style="18"/>
    <col min="16" max="25" width="8.83203125" style="18" customWidth="1"/>
    <col min="26" max="26" width="4.08203125" style="155" customWidth="1"/>
    <col min="27" max="28" width="4.1640625" style="155" customWidth="1"/>
    <col min="29" max="30" width="3.58203125" style="18" customWidth="1"/>
    <col min="31" max="31" width="3.83203125" style="18" customWidth="1"/>
    <col min="32" max="33" width="6.08203125" style="18" customWidth="1"/>
    <col min="34" max="69" width="3.9140625" style="18" customWidth="1"/>
    <col min="70" max="16384" width="8.83203125" style="18"/>
  </cols>
  <sheetData>
    <row r="1" spans="2:28" s="115" customFormat="1" ht="19.5" customHeight="1" x14ac:dyDescent="0.55000000000000004">
      <c r="B1" s="116"/>
      <c r="C1" s="116"/>
      <c r="D1" s="116"/>
      <c r="E1" s="116"/>
      <c r="F1" s="116"/>
      <c r="G1" s="116"/>
      <c r="H1" s="116"/>
      <c r="I1" s="116"/>
      <c r="J1" s="116"/>
      <c r="K1" s="116"/>
      <c r="L1" s="116"/>
      <c r="M1" s="116"/>
      <c r="N1" s="116"/>
      <c r="O1" s="116"/>
      <c r="P1" s="116"/>
      <c r="Q1" s="116"/>
      <c r="R1" s="116"/>
      <c r="S1" s="116"/>
      <c r="T1" s="116"/>
      <c r="U1" s="116"/>
      <c r="V1" s="116"/>
      <c r="W1" s="116"/>
      <c r="X1" s="116"/>
      <c r="Y1" s="117"/>
      <c r="Z1" s="153"/>
      <c r="AA1" s="154"/>
      <c r="AB1" s="154"/>
    </row>
    <row r="2" spans="2:28" x14ac:dyDescent="0.55000000000000004">
      <c r="B2" s="48" t="s">
        <v>177</v>
      </c>
      <c r="C2" s="18"/>
    </row>
    <row r="3" spans="2:28" s="59" customFormat="1" x14ac:dyDescent="0.55000000000000004">
      <c r="B3" s="108" t="s">
        <v>475</v>
      </c>
      <c r="K3" s="18"/>
      <c r="Z3" s="61"/>
      <c r="AA3" s="61"/>
      <c r="AB3" s="61"/>
    </row>
    <row r="4" spans="2:28" s="59" customFormat="1" x14ac:dyDescent="0.55000000000000004">
      <c r="B4" s="108" t="s">
        <v>485</v>
      </c>
      <c r="K4" s="18"/>
      <c r="Z4" s="61"/>
      <c r="AA4" s="61"/>
      <c r="AB4" s="61"/>
    </row>
    <row r="5" spans="2:28" s="59" customFormat="1" x14ac:dyDescent="0.55000000000000004">
      <c r="B5" s="108" t="s">
        <v>511</v>
      </c>
      <c r="K5" s="18"/>
      <c r="Z5" s="61"/>
      <c r="AA5" s="61"/>
      <c r="AB5" s="61"/>
    </row>
    <row r="6" spans="2:28" s="59" customFormat="1" x14ac:dyDescent="0.55000000000000004">
      <c r="B6" s="108" t="s">
        <v>512</v>
      </c>
      <c r="K6" s="18"/>
      <c r="Z6" s="61"/>
      <c r="AA6" s="61"/>
      <c r="AB6" s="61"/>
    </row>
    <row r="7" spans="2:28" s="59" customFormat="1" x14ac:dyDescent="0.55000000000000004">
      <c r="B7" s="108" t="s">
        <v>505</v>
      </c>
      <c r="K7" s="18"/>
      <c r="Z7" s="61"/>
      <c r="AA7" s="61"/>
      <c r="AB7" s="61"/>
    </row>
    <row r="8" spans="2:28" s="59" customFormat="1" x14ac:dyDescent="0.55000000000000004">
      <c r="B8" s="108" t="s">
        <v>506</v>
      </c>
      <c r="K8" s="18"/>
      <c r="Z8" s="61"/>
      <c r="AA8" s="61"/>
      <c r="AB8" s="61"/>
    </row>
    <row r="9" spans="2:28" s="59" customFormat="1" x14ac:dyDescent="0.55000000000000004">
      <c r="B9" s="108" t="s">
        <v>507</v>
      </c>
      <c r="G9" s="97"/>
      <c r="H9" s="97"/>
      <c r="K9" s="18"/>
      <c r="Z9" s="61"/>
      <c r="AA9" s="61"/>
      <c r="AB9" s="61"/>
    </row>
    <row r="10" spans="2:28" s="59" customFormat="1" x14ac:dyDescent="0.55000000000000004">
      <c r="B10" s="143" t="s">
        <v>508</v>
      </c>
      <c r="C10" s="97"/>
      <c r="D10" s="97"/>
      <c r="E10" s="97"/>
      <c r="F10" s="97"/>
      <c r="G10" s="97"/>
      <c r="H10" s="97"/>
      <c r="I10" s="106"/>
      <c r="J10" s="106"/>
      <c r="K10" s="107"/>
      <c r="L10" s="106"/>
      <c r="Z10" s="61"/>
      <c r="AA10" s="61"/>
      <c r="AB10" s="61"/>
    </row>
    <row r="11" spans="2:28" s="59" customFormat="1" x14ac:dyDescent="0.55000000000000004">
      <c r="B11" s="136" t="s">
        <v>261</v>
      </c>
      <c r="C11" s="106"/>
      <c r="D11" s="106"/>
      <c r="E11" s="106"/>
      <c r="F11" s="106"/>
      <c r="G11" s="106"/>
      <c r="H11" s="106"/>
      <c r="I11" s="106"/>
      <c r="J11" s="106"/>
      <c r="K11" s="107"/>
      <c r="L11" s="106"/>
      <c r="Z11" s="61"/>
      <c r="AA11" s="61"/>
      <c r="AB11" s="61"/>
    </row>
    <row r="12" spans="2:28" s="59" customFormat="1" x14ac:dyDescent="0.55000000000000004">
      <c r="B12" s="108" t="s">
        <v>509</v>
      </c>
      <c r="K12" s="18"/>
      <c r="Z12" s="61"/>
      <c r="AA12" s="61"/>
      <c r="AB12" s="61"/>
    </row>
    <row r="13" spans="2:28" s="59" customFormat="1" x14ac:dyDescent="0.55000000000000004">
      <c r="B13" s="108" t="s">
        <v>407</v>
      </c>
      <c r="K13" s="18"/>
      <c r="Z13" s="61"/>
      <c r="AA13" s="61"/>
      <c r="AB13" s="61"/>
    </row>
    <row r="14" spans="2:28" s="59" customFormat="1" x14ac:dyDescent="0.55000000000000004">
      <c r="B14" s="108" t="s">
        <v>224</v>
      </c>
      <c r="K14" s="18"/>
      <c r="Z14" s="61"/>
      <c r="AA14" s="61"/>
      <c r="AB14" s="61"/>
    </row>
    <row r="15" spans="2:28" s="59" customFormat="1" x14ac:dyDescent="0.55000000000000004">
      <c r="B15" s="108" t="s">
        <v>225</v>
      </c>
      <c r="K15" s="18"/>
      <c r="Z15" s="61"/>
      <c r="AA15" s="61"/>
      <c r="AB15" s="61"/>
    </row>
    <row r="16" spans="2:28" s="59" customFormat="1" x14ac:dyDescent="0.55000000000000004">
      <c r="B16" s="108" t="s">
        <v>226</v>
      </c>
      <c r="K16" s="18"/>
      <c r="Z16" s="61"/>
      <c r="AA16" s="61"/>
      <c r="AB16" s="61"/>
    </row>
    <row r="17" spans="2:28" s="59" customFormat="1" x14ac:dyDescent="0.55000000000000004">
      <c r="B17" s="108" t="s">
        <v>510</v>
      </c>
      <c r="K17" s="18"/>
      <c r="Z17" s="61"/>
      <c r="AA17" s="61"/>
      <c r="AB17" s="61"/>
    </row>
    <row r="18" spans="2:28" s="59" customFormat="1" x14ac:dyDescent="0.55000000000000004">
      <c r="B18" s="74"/>
      <c r="K18" s="18"/>
      <c r="Z18" s="61"/>
      <c r="AA18" s="61"/>
      <c r="AB18" s="61"/>
    </row>
    <row r="19" spans="2:28" ht="19.5" customHeight="1" x14ac:dyDescent="0.55000000000000004">
      <c r="B19" s="87" t="s">
        <v>178</v>
      </c>
      <c r="C19" s="20"/>
      <c r="D19" s="46" t="s">
        <v>228</v>
      </c>
    </row>
    <row r="20" spans="2:28" ht="19.5" customHeight="1" x14ac:dyDescent="0.55000000000000004">
      <c r="C20" s="21"/>
      <c r="D20" s="47" t="s">
        <v>134</v>
      </c>
    </row>
    <row r="21" spans="2:28" ht="19.5" customHeight="1" x14ac:dyDescent="0.55000000000000004">
      <c r="C21" s="22"/>
      <c r="D21" s="47" t="s">
        <v>135</v>
      </c>
    </row>
    <row r="22" spans="2:28" ht="19.5" customHeight="1" x14ac:dyDescent="0.55000000000000004">
      <c r="D22" s="19"/>
    </row>
    <row r="23" spans="2:28" x14ac:dyDescent="0.55000000000000004">
      <c r="AA23" s="196"/>
    </row>
    <row r="25" spans="2:28" ht="42.75" customHeight="1" x14ac:dyDescent="0.55000000000000004">
      <c r="B25" s="23" t="s">
        <v>205</v>
      </c>
      <c r="C25" s="24"/>
      <c r="F25" s="252" t="s">
        <v>415</v>
      </c>
      <c r="G25" s="224"/>
      <c r="H25" s="217" t="str">
        <f>IF(X36="入力確認","旧設備の入力をご確認ください。",IF(X62="入力確認","新設備の入力をご確認ください。",IF(AND(AC52=0,AC54=0,AC55=0,AC58=0,AC60=0),"換気設備の導入は必須です。換気設備について入力してください。",IF(X53="非適合","新設備の導入がない計画は申請できません。",IF(AND(X52="適合",X53="適合",X54="適合",X55="適合",X57="適合",X59="適合",X61="適合",X63="適合"),"換気設備導入の要件を満たしています。","換気設備導入の要件を満たしていないため、申請できません。")))))</f>
        <v>換気設備導入の要件を満たしていないため、申請できません。</v>
      </c>
      <c r="I25" s="218"/>
      <c r="J25" s="218"/>
      <c r="K25" s="218"/>
      <c r="L25" s="218"/>
      <c r="M25" s="218"/>
      <c r="N25" s="218"/>
      <c r="O25" s="219"/>
      <c r="X25" s="103"/>
    </row>
    <row r="26" spans="2:28" ht="18.75" customHeight="1" x14ac:dyDescent="0.55000000000000004">
      <c r="B26" s="23"/>
      <c r="C26" s="24"/>
    </row>
    <row r="27" spans="2:28" ht="42" customHeight="1" thickBot="1" x14ac:dyDescent="0.6">
      <c r="B27" s="152" t="s">
        <v>431</v>
      </c>
      <c r="C27" s="25"/>
    </row>
    <row r="28" spans="2:28" x14ac:dyDescent="0.55000000000000004">
      <c r="B28" s="225" t="s">
        <v>130</v>
      </c>
      <c r="C28" s="225"/>
      <c r="D28" s="26" t="s">
        <v>153</v>
      </c>
      <c r="E28" s="26" t="s">
        <v>154</v>
      </c>
      <c r="F28" s="26" t="s">
        <v>155</v>
      </c>
      <c r="G28" s="26" t="s">
        <v>156</v>
      </c>
      <c r="H28" s="26" t="s">
        <v>157</v>
      </c>
      <c r="I28" s="26" t="s">
        <v>158</v>
      </c>
      <c r="J28" s="26" t="s">
        <v>159</v>
      </c>
      <c r="K28" s="26" t="s">
        <v>160</v>
      </c>
      <c r="L28" s="26" t="s">
        <v>161</v>
      </c>
      <c r="M28" s="26" t="s">
        <v>162</v>
      </c>
      <c r="N28" s="26" t="s">
        <v>340</v>
      </c>
      <c r="O28" s="26" t="s">
        <v>163</v>
      </c>
      <c r="P28" s="26" t="s">
        <v>164</v>
      </c>
      <c r="Q28" s="26" t="s">
        <v>165</v>
      </c>
      <c r="R28" s="26" t="s">
        <v>166</v>
      </c>
      <c r="S28" s="26" t="s">
        <v>167</v>
      </c>
      <c r="T28" s="26" t="s">
        <v>168</v>
      </c>
      <c r="U28" s="26" t="s">
        <v>169</v>
      </c>
      <c r="V28" s="26" t="s">
        <v>170</v>
      </c>
      <c r="W28" s="177" t="s">
        <v>171</v>
      </c>
      <c r="X28" s="180" t="s">
        <v>479</v>
      </c>
      <c r="Y28" s="181" t="s">
        <v>480</v>
      </c>
      <c r="AB28" s="74" t="s">
        <v>433</v>
      </c>
    </row>
    <row r="29" spans="2:28" ht="63" customHeight="1" x14ac:dyDescent="0.55000000000000004">
      <c r="B29" s="230" t="s">
        <v>1</v>
      </c>
      <c r="C29" s="230"/>
      <c r="D29" s="287" t="s">
        <v>513</v>
      </c>
      <c r="E29" s="287" t="s">
        <v>513</v>
      </c>
      <c r="F29" s="287"/>
      <c r="G29" s="287"/>
      <c r="H29" s="287"/>
      <c r="I29" s="287"/>
      <c r="J29" s="287"/>
      <c r="K29" s="287"/>
      <c r="L29" s="287"/>
      <c r="M29" s="287"/>
      <c r="N29" s="287"/>
      <c r="O29" s="287"/>
      <c r="P29" s="287"/>
      <c r="Q29" s="287"/>
      <c r="R29" s="287"/>
      <c r="S29" s="287"/>
      <c r="T29" s="287"/>
      <c r="U29" s="287"/>
      <c r="V29" s="287"/>
      <c r="W29" s="288"/>
      <c r="X29" s="182" t="s">
        <v>10</v>
      </c>
      <c r="Y29" s="183" t="s">
        <v>10</v>
      </c>
      <c r="AA29" s="18"/>
      <c r="AB29" s="187" t="s">
        <v>486</v>
      </c>
    </row>
    <row r="30" spans="2:28" ht="26.25" customHeight="1" thickBot="1" x14ac:dyDescent="0.6">
      <c r="B30" s="230" t="s">
        <v>483</v>
      </c>
      <c r="C30" s="230"/>
      <c r="D30" s="289" t="s">
        <v>477</v>
      </c>
      <c r="E30" s="289" t="s">
        <v>477</v>
      </c>
      <c r="F30" s="289"/>
      <c r="G30" s="289"/>
      <c r="H30" s="289"/>
      <c r="I30" s="289"/>
      <c r="J30" s="289"/>
      <c r="K30" s="289"/>
      <c r="L30" s="289"/>
      <c r="M30" s="289"/>
      <c r="N30" s="289"/>
      <c r="O30" s="289"/>
      <c r="P30" s="289"/>
      <c r="Q30" s="289"/>
      <c r="R30" s="289"/>
      <c r="S30" s="289"/>
      <c r="T30" s="289"/>
      <c r="U30" s="289"/>
      <c r="V30" s="289"/>
      <c r="W30" s="289"/>
      <c r="X30" s="178" t="s">
        <v>10</v>
      </c>
      <c r="Y30" s="179" t="s">
        <v>10</v>
      </c>
    </row>
    <row r="31" spans="2:28" ht="27" customHeight="1" x14ac:dyDescent="0.55000000000000004">
      <c r="B31" s="230" t="s">
        <v>3</v>
      </c>
      <c r="C31" s="230"/>
      <c r="D31" s="290">
        <v>1</v>
      </c>
      <c r="E31" s="290">
        <v>1</v>
      </c>
      <c r="F31" s="290"/>
      <c r="G31" s="290"/>
      <c r="H31" s="290"/>
      <c r="I31" s="290"/>
      <c r="J31" s="290"/>
      <c r="K31" s="290"/>
      <c r="L31" s="290"/>
      <c r="M31" s="290"/>
      <c r="N31" s="290"/>
      <c r="O31" s="290"/>
      <c r="P31" s="290"/>
      <c r="Q31" s="290"/>
      <c r="R31" s="290"/>
      <c r="S31" s="290"/>
      <c r="T31" s="290"/>
      <c r="U31" s="290"/>
      <c r="V31" s="290"/>
      <c r="W31" s="291"/>
      <c r="X31" s="171">
        <f>IF(SUMIF($D$30:$W$30,"排気",$D$31:$W$31)=0,"",SUMIF($D$30:$W$30,"排気",$D$31:$W$31))</f>
        <v>2</v>
      </c>
      <c r="Y31" s="172" t="str">
        <f>IF(SUMIF($D$30:$W$30,"給気",$D$31:$W$31)=0,"",SUMIF($D$30:$W$30,"給気",$D$31:$W$31))</f>
        <v/>
      </c>
    </row>
    <row r="32" spans="2:28" ht="27" customHeight="1" x14ac:dyDescent="0.55000000000000004">
      <c r="B32" s="246" t="s">
        <v>4</v>
      </c>
      <c r="C32" s="246"/>
      <c r="D32" s="292">
        <v>500</v>
      </c>
      <c r="E32" s="292">
        <v>850</v>
      </c>
      <c r="F32" s="292"/>
      <c r="G32" s="292"/>
      <c r="H32" s="292"/>
      <c r="I32" s="292"/>
      <c r="J32" s="292"/>
      <c r="K32" s="292"/>
      <c r="L32" s="292"/>
      <c r="M32" s="292"/>
      <c r="N32" s="292"/>
      <c r="O32" s="292"/>
      <c r="P32" s="292"/>
      <c r="Q32" s="292"/>
      <c r="R32" s="292"/>
      <c r="S32" s="292"/>
      <c r="T32" s="292"/>
      <c r="U32" s="292"/>
      <c r="V32" s="292"/>
      <c r="W32" s="293"/>
      <c r="X32" s="173">
        <f>IF(AC36=0,"",X34)</f>
        <v>1350</v>
      </c>
      <c r="Y32" s="174" t="str">
        <f>IF(AD36=0,"",Y34)</f>
        <v/>
      </c>
    </row>
    <row r="33" spans="2:31" ht="27" customHeight="1" thickBot="1" x14ac:dyDescent="0.6">
      <c r="B33" s="230" t="s">
        <v>5</v>
      </c>
      <c r="C33" s="230"/>
      <c r="D33" s="294">
        <v>25</v>
      </c>
      <c r="E33" s="295">
        <v>40</v>
      </c>
      <c r="F33" s="294"/>
      <c r="G33" s="295"/>
      <c r="H33" s="294"/>
      <c r="I33" s="295"/>
      <c r="J33" s="294"/>
      <c r="K33" s="295"/>
      <c r="L33" s="294"/>
      <c r="M33" s="295"/>
      <c r="N33" s="295"/>
      <c r="O33" s="295"/>
      <c r="P33" s="295"/>
      <c r="Q33" s="295"/>
      <c r="R33" s="295"/>
      <c r="S33" s="295"/>
      <c r="T33" s="295"/>
      <c r="U33" s="295"/>
      <c r="V33" s="295"/>
      <c r="W33" s="296"/>
      <c r="X33" s="176">
        <f>IF(AC36=0,"",X35)</f>
        <v>65</v>
      </c>
      <c r="Y33" s="175" t="str">
        <f>IF(AD36=0,"",Y35)</f>
        <v/>
      </c>
    </row>
    <row r="34" spans="2:31" ht="27" hidden="1" customHeight="1" x14ac:dyDescent="0.55000000000000004">
      <c r="B34" s="246" t="s">
        <v>481</v>
      </c>
      <c r="C34" s="246"/>
      <c r="D34" s="292">
        <f t="shared" ref="D34:W34" si="0">D31*D32</f>
        <v>500</v>
      </c>
      <c r="E34" s="292">
        <f t="shared" si="0"/>
        <v>850</v>
      </c>
      <c r="F34" s="292">
        <f t="shared" si="0"/>
        <v>0</v>
      </c>
      <c r="G34" s="292">
        <f t="shared" si="0"/>
        <v>0</v>
      </c>
      <c r="H34" s="292">
        <f t="shared" si="0"/>
        <v>0</v>
      </c>
      <c r="I34" s="292">
        <f t="shared" si="0"/>
        <v>0</v>
      </c>
      <c r="J34" s="292">
        <f t="shared" si="0"/>
        <v>0</v>
      </c>
      <c r="K34" s="292">
        <f t="shared" si="0"/>
        <v>0</v>
      </c>
      <c r="L34" s="292">
        <f t="shared" si="0"/>
        <v>0</v>
      </c>
      <c r="M34" s="292">
        <f t="shared" si="0"/>
        <v>0</v>
      </c>
      <c r="N34" s="292">
        <f t="shared" si="0"/>
        <v>0</v>
      </c>
      <c r="O34" s="292">
        <f t="shared" si="0"/>
        <v>0</v>
      </c>
      <c r="P34" s="292">
        <f t="shared" si="0"/>
        <v>0</v>
      </c>
      <c r="Q34" s="292">
        <f t="shared" si="0"/>
        <v>0</v>
      </c>
      <c r="R34" s="292">
        <f t="shared" si="0"/>
        <v>0</v>
      </c>
      <c r="S34" s="292">
        <f t="shared" si="0"/>
        <v>0</v>
      </c>
      <c r="T34" s="292">
        <f t="shared" si="0"/>
        <v>0</v>
      </c>
      <c r="U34" s="292">
        <f t="shared" si="0"/>
        <v>0</v>
      </c>
      <c r="V34" s="292">
        <f t="shared" si="0"/>
        <v>0</v>
      </c>
      <c r="W34" s="293">
        <f t="shared" si="0"/>
        <v>0</v>
      </c>
      <c r="X34" s="189">
        <f>IF(SUMIF($D$30:$W$30,"排気",$D$34:$W$34)=0,0,SUMIF($D$30:$W$30,"排気",$D$34:$W$34))</f>
        <v>1350</v>
      </c>
      <c r="Y34" s="190">
        <f>IF(SUMIF($D$30:$W$30,"給気",$D$34:$W$34)=0,0,SUMIF($D$30:$W$30,"給気",$D$34:$W$34))</f>
        <v>0</v>
      </c>
    </row>
    <row r="35" spans="2:31" ht="27" hidden="1" customHeight="1" thickBot="1" x14ac:dyDescent="0.6">
      <c r="B35" s="230" t="s">
        <v>482</v>
      </c>
      <c r="C35" s="230"/>
      <c r="D35" s="292">
        <f>D31*D33</f>
        <v>25</v>
      </c>
      <c r="E35" s="292">
        <f t="shared" ref="E35:W35" si="1">E31*E33</f>
        <v>40</v>
      </c>
      <c r="F35" s="292">
        <f t="shared" si="1"/>
        <v>0</v>
      </c>
      <c r="G35" s="292">
        <f t="shared" si="1"/>
        <v>0</v>
      </c>
      <c r="H35" s="292">
        <f t="shared" si="1"/>
        <v>0</v>
      </c>
      <c r="I35" s="292">
        <f t="shared" si="1"/>
        <v>0</v>
      </c>
      <c r="J35" s="292">
        <f t="shared" si="1"/>
        <v>0</v>
      </c>
      <c r="K35" s="292">
        <f t="shared" si="1"/>
        <v>0</v>
      </c>
      <c r="L35" s="292">
        <f t="shared" si="1"/>
        <v>0</v>
      </c>
      <c r="M35" s="292">
        <f t="shared" si="1"/>
        <v>0</v>
      </c>
      <c r="N35" s="292">
        <f t="shared" si="1"/>
        <v>0</v>
      </c>
      <c r="O35" s="292">
        <f t="shared" si="1"/>
        <v>0</v>
      </c>
      <c r="P35" s="292">
        <f t="shared" si="1"/>
        <v>0</v>
      </c>
      <c r="Q35" s="292">
        <f t="shared" si="1"/>
        <v>0</v>
      </c>
      <c r="R35" s="292">
        <f t="shared" si="1"/>
        <v>0</v>
      </c>
      <c r="S35" s="292">
        <f t="shared" si="1"/>
        <v>0</v>
      </c>
      <c r="T35" s="292">
        <f t="shared" si="1"/>
        <v>0</v>
      </c>
      <c r="U35" s="292">
        <f t="shared" si="1"/>
        <v>0</v>
      </c>
      <c r="V35" s="292">
        <f t="shared" si="1"/>
        <v>0</v>
      </c>
      <c r="W35" s="293">
        <f t="shared" si="1"/>
        <v>0</v>
      </c>
      <c r="X35" s="191">
        <f>IF(SUMIF($D$30:$W$30,"排気",$D$35:$W$35)=0,0,SUMIF($D$30:$W$30,"排気",$D$35:$W$35))</f>
        <v>65</v>
      </c>
      <c r="Y35" s="192">
        <f>IF(SUMIF($D$30:$W$30,"給気",$D$35:$W$35)=0,0,SUMIF($D$30:$W$30,"給気",$D$35:$W$35))</f>
        <v>0</v>
      </c>
    </row>
    <row r="36" spans="2:31" hidden="1" x14ac:dyDescent="0.55000000000000004">
      <c r="B36" s="96" t="s">
        <v>443</v>
      </c>
      <c r="C36" s="94"/>
      <c r="D36" s="94">
        <f>IF(AND(D29="",D30="",D31="",D32="",D33=""),2,IF(AND(D29&lt;&gt;"",D30&lt;&gt;"",D31&lt;&gt;"",D32&lt;&gt;"",D33&lt;&gt;""),0,1))</f>
        <v>0</v>
      </c>
      <c r="E36" s="94">
        <f t="shared" ref="E36:W36" si="2">IF(AND(E29="",E30="",E31="",E32="",E33=""),2,IF(AND(E29&lt;&gt;"",E30&lt;&gt;"",E31&lt;&gt;"",E32&lt;&gt;"",E33&lt;&gt;""),0,1))</f>
        <v>0</v>
      </c>
      <c r="F36" s="94">
        <f t="shared" si="2"/>
        <v>2</v>
      </c>
      <c r="G36" s="94">
        <f t="shared" si="2"/>
        <v>2</v>
      </c>
      <c r="H36" s="94">
        <f t="shared" si="2"/>
        <v>2</v>
      </c>
      <c r="I36" s="94">
        <f t="shared" si="2"/>
        <v>2</v>
      </c>
      <c r="J36" s="94">
        <f t="shared" si="2"/>
        <v>2</v>
      </c>
      <c r="K36" s="94">
        <f t="shared" si="2"/>
        <v>2</v>
      </c>
      <c r="L36" s="94">
        <f t="shared" si="2"/>
        <v>2</v>
      </c>
      <c r="M36" s="94">
        <f t="shared" si="2"/>
        <v>2</v>
      </c>
      <c r="N36" s="94">
        <f t="shared" si="2"/>
        <v>2</v>
      </c>
      <c r="O36" s="94">
        <f t="shared" si="2"/>
        <v>2</v>
      </c>
      <c r="P36" s="94">
        <f t="shared" si="2"/>
        <v>2</v>
      </c>
      <c r="Q36" s="94">
        <f t="shared" si="2"/>
        <v>2</v>
      </c>
      <c r="R36" s="94">
        <f t="shared" si="2"/>
        <v>2</v>
      </c>
      <c r="S36" s="94">
        <f t="shared" si="2"/>
        <v>2</v>
      </c>
      <c r="T36" s="94">
        <f t="shared" si="2"/>
        <v>2</v>
      </c>
      <c r="U36" s="94">
        <f t="shared" si="2"/>
        <v>2</v>
      </c>
      <c r="V36" s="94">
        <f t="shared" si="2"/>
        <v>2</v>
      </c>
      <c r="W36" s="94">
        <f t="shared" si="2"/>
        <v>2</v>
      </c>
      <c r="X36" s="94" t="str">
        <f>IF(Z36&gt;0,"入力確認",IF(AB36=Y36,"適合","不適合"))</f>
        <v>適合</v>
      </c>
      <c r="Y36" s="18">
        <f>COUNTIF($D36:$W36,0)</f>
        <v>2</v>
      </c>
      <c r="Z36" s="155">
        <f>COUNTIF($D36:$W36,1)</f>
        <v>0</v>
      </c>
      <c r="AA36" s="155">
        <f>COUNTIF($D36:$W36,2)</f>
        <v>18</v>
      </c>
      <c r="AB36" s="18">
        <f>20-COUNTIF($D$29:$W$29,"")</f>
        <v>2</v>
      </c>
      <c r="AC36" s="18">
        <f>COUNTIF($D$30:$W$30,"排気")</f>
        <v>2</v>
      </c>
      <c r="AD36" s="18">
        <f>COUNTIF($D$30:$W$30,"給気")</f>
        <v>0</v>
      </c>
      <c r="AE36" s="99">
        <v>34</v>
      </c>
    </row>
    <row r="38" spans="2:31" ht="42" customHeight="1" thickBot="1" x14ac:dyDescent="0.6">
      <c r="B38" s="152" t="s">
        <v>432</v>
      </c>
      <c r="C38" s="25"/>
    </row>
    <row r="39" spans="2:31" x14ac:dyDescent="0.55000000000000004">
      <c r="B39" s="225" t="s">
        <v>129</v>
      </c>
      <c r="C39" s="225"/>
      <c r="D39" s="26" t="s">
        <v>276</v>
      </c>
      <c r="E39" s="26" t="s">
        <v>277</v>
      </c>
      <c r="F39" s="26" t="s">
        <v>278</v>
      </c>
      <c r="G39" s="26" t="s">
        <v>279</v>
      </c>
      <c r="H39" s="26" t="s">
        <v>280</v>
      </c>
      <c r="I39" s="26" t="s">
        <v>281</v>
      </c>
      <c r="J39" s="26" t="s">
        <v>282</v>
      </c>
      <c r="K39" s="26" t="s">
        <v>283</v>
      </c>
      <c r="L39" s="26" t="s">
        <v>284</v>
      </c>
      <c r="M39" s="26" t="s">
        <v>285</v>
      </c>
      <c r="N39" s="26" t="s">
        <v>341</v>
      </c>
      <c r="O39" s="26" t="s">
        <v>342</v>
      </c>
      <c r="P39" s="26" t="s">
        <v>343</v>
      </c>
      <c r="Q39" s="26" t="s">
        <v>344</v>
      </c>
      <c r="R39" s="26" t="s">
        <v>345</v>
      </c>
      <c r="S39" s="26" t="s">
        <v>346</v>
      </c>
      <c r="T39" s="26" t="s">
        <v>347</v>
      </c>
      <c r="U39" s="26" t="s">
        <v>348</v>
      </c>
      <c r="V39" s="26" t="s">
        <v>349</v>
      </c>
      <c r="W39" s="26" t="s">
        <v>350</v>
      </c>
      <c r="X39" s="180" t="s">
        <v>479</v>
      </c>
      <c r="Y39" s="181" t="s">
        <v>480</v>
      </c>
      <c r="Z39" s="18"/>
      <c r="AA39" s="74" t="s">
        <v>434</v>
      </c>
    </row>
    <row r="40" spans="2:31" ht="63" customHeight="1" x14ac:dyDescent="0.55000000000000004">
      <c r="B40" s="230" t="s">
        <v>1</v>
      </c>
      <c r="C40" s="230"/>
      <c r="D40" s="287" t="s">
        <v>208</v>
      </c>
      <c r="E40" s="287" t="s">
        <v>208</v>
      </c>
      <c r="F40" s="287" t="s">
        <v>208</v>
      </c>
      <c r="G40" s="287" t="s">
        <v>208</v>
      </c>
      <c r="H40" s="287" t="s">
        <v>208</v>
      </c>
      <c r="I40" s="287"/>
      <c r="J40" s="287"/>
      <c r="K40" s="287"/>
      <c r="L40" s="287"/>
      <c r="M40" s="287"/>
      <c r="N40" s="287"/>
      <c r="O40" s="287"/>
      <c r="P40" s="287"/>
      <c r="Q40" s="287"/>
      <c r="R40" s="287"/>
      <c r="S40" s="287"/>
      <c r="T40" s="287"/>
      <c r="U40" s="287"/>
      <c r="V40" s="287"/>
      <c r="W40" s="287"/>
      <c r="X40" s="182" t="s">
        <v>10</v>
      </c>
      <c r="Y40" s="183" t="s">
        <v>10</v>
      </c>
      <c r="Z40" s="18"/>
      <c r="AB40" s="186" t="s">
        <v>486</v>
      </c>
    </row>
    <row r="41" spans="2:31" ht="26.25" customHeight="1" x14ac:dyDescent="0.55000000000000004">
      <c r="B41" s="230" t="s">
        <v>483</v>
      </c>
      <c r="C41" s="230"/>
      <c r="D41" s="289" t="s">
        <v>477</v>
      </c>
      <c r="E41" s="289" t="s">
        <v>477</v>
      </c>
      <c r="F41" s="289" t="s">
        <v>477</v>
      </c>
      <c r="G41" s="289" t="s">
        <v>477</v>
      </c>
      <c r="H41" s="289" t="s">
        <v>477</v>
      </c>
      <c r="I41" s="289"/>
      <c r="J41" s="289"/>
      <c r="K41" s="289"/>
      <c r="L41" s="289"/>
      <c r="M41" s="289"/>
      <c r="N41" s="289"/>
      <c r="O41" s="289"/>
      <c r="P41" s="289"/>
      <c r="Q41" s="289"/>
      <c r="R41" s="289"/>
      <c r="S41" s="289"/>
      <c r="T41" s="289"/>
      <c r="U41" s="289"/>
      <c r="V41" s="289"/>
      <c r="W41" s="289"/>
      <c r="X41" s="182" t="s">
        <v>10</v>
      </c>
      <c r="Y41" s="183" t="s">
        <v>10</v>
      </c>
      <c r="AA41" s="74"/>
    </row>
    <row r="42" spans="2:31" ht="27" customHeight="1" x14ac:dyDescent="0.55000000000000004">
      <c r="B42" s="247" t="s">
        <v>9</v>
      </c>
      <c r="C42" s="248"/>
      <c r="D42" s="297" t="s">
        <v>93</v>
      </c>
      <c r="E42" s="297" t="s">
        <v>92</v>
      </c>
      <c r="F42" s="297" t="s">
        <v>91</v>
      </c>
      <c r="G42" s="297" t="s">
        <v>91</v>
      </c>
      <c r="H42" s="297" t="s">
        <v>91</v>
      </c>
      <c r="I42" s="297"/>
      <c r="J42" s="297"/>
      <c r="K42" s="297"/>
      <c r="L42" s="297"/>
      <c r="M42" s="297"/>
      <c r="N42" s="297"/>
      <c r="O42" s="297"/>
      <c r="P42" s="297"/>
      <c r="Q42" s="297"/>
      <c r="R42" s="297"/>
      <c r="S42" s="297"/>
      <c r="T42" s="297"/>
      <c r="U42" s="297"/>
      <c r="V42" s="297"/>
      <c r="W42" s="297"/>
      <c r="X42" s="182" t="s">
        <v>10</v>
      </c>
      <c r="Y42" s="183" t="s">
        <v>10</v>
      </c>
      <c r="Z42" s="18"/>
      <c r="AA42" s="74"/>
    </row>
    <row r="43" spans="2:31" ht="27" customHeight="1" thickBot="1" x14ac:dyDescent="0.6">
      <c r="B43" s="250" t="s">
        <v>116</v>
      </c>
      <c r="C43" s="251"/>
      <c r="D43" s="298" t="s">
        <v>98</v>
      </c>
      <c r="E43" s="298" t="s">
        <v>98</v>
      </c>
      <c r="F43" s="298" t="s">
        <v>98</v>
      </c>
      <c r="G43" s="298" t="s">
        <v>98</v>
      </c>
      <c r="H43" s="298" t="s">
        <v>108</v>
      </c>
      <c r="I43" s="289"/>
      <c r="J43" s="289"/>
      <c r="K43" s="289"/>
      <c r="L43" s="289"/>
      <c r="M43" s="289"/>
      <c r="N43" s="289"/>
      <c r="O43" s="289"/>
      <c r="P43" s="289"/>
      <c r="Q43" s="289"/>
      <c r="R43" s="289"/>
      <c r="S43" s="289"/>
      <c r="T43" s="289"/>
      <c r="U43" s="289"/>
      <c r="V43" s="289"/>
      <c r="W43" s="289"/>
      <c r="X43" s="178" t="s">
        <v>10</v>
      </c>
      <c r="Y43" s="179" t="s">
        <v>10</v>
      </c>
      <c r="Z43" s="18"/>
      <c r="AA43" s="74"/>
    </row>
    <row r="44" spans="2:31" ht="27" customHeight="1" x14ac:dyDescent="0.55000000000000004">
      <c r="B44" s="230" t="s">
        <v>3</v>
      </c>
      <c r="C44" s="230"/>
      <c r="D44" s="290">
        <v>1</v>
      </c>
      <c r="E44" s="290">
        <v>1</v>
      </c>
      <c r="F44" s="290">
        <v>1</v>
      </c>
      <c r="G44" s="290">
        <v>1</v>
      </c>
      <c r="H44" s="290">
        <v>1</v>
      </c>
      <c r="I44" s="290"/>
      <c r="J44" s="290"/>
      <c r="K44" s="290"/>
      <c r="L44" s="290"/>
      <c r="M44" s="290"/>
      <c r="N44" s="290"/>
      <c r="O44" s="290"/>
      <c r="P44" s="290"/>
      <c r="Q44" s="290"/>
      <c r="R44" s="290"/>
      <c r="S44" s="290"/>
      <c r="T44" s="290"/>
      <c r="U44" s="290"/>
      <c r="V44" s="290"/>
      <c r="W44" s="290"/>
      <c r="X44" s="171">
        <f>IF(SUMIF($D$41:$W$41,"排気",$D$44:$W$44)=0,"",SUMIF($D$41:$W$41,"排気",$D$44:$W$44))</f>
        <v>5</v>
      </c>
      <c r="Y44" s="172" t="str">
        <f>IF(SUMIF($D$41:$W$41,"給気",$D$44:$W$44)=0,"",SUMIF($D$41:$W$41,"給気",$D$44:$W$44))</f>
        <v/>
      </c>
      <c r="Z44" s="18"/>
    </row>
    <row r="45" spans="2:31" ht="27" customHeight="1" x14ac:dyDescent="0.55000000000000004">
      <c r="B45" s="246" t="s">
        <v>4</v>
      </c>
      <c r="C45" s="246"/>
      <c r="D45" s="292">
        <v>600</v>
      </c>
      <c r="E45" s="292">
        <v>100</v>
      </c>
      <c r="F45" s="292">
        <v>100</v>
      </c>
      <c r="G45" s="292">
        <v>200</v>
      </c>
      <c r="H45" s="292">
        <v>200</v>
      </c>
      <c r="I45" s="292"/>
      <c r="J45" s="292"/>
      <c r="K45" s="292"/>
      <c r="L45" s="292"/>
      <c r="M45" s="292"/>
      <c r="N45" s="292"/>
      <c r="O45" s="292"/>
      <c r="P45" s="292"/>
      <c r="Q45" s="292"/>
      <c r="R45" s="292"/>
      <c r="S45" s="292"/>
      <c r="T45" s="292"/>
      <c r="U45" s="292"/>
      <c r="V45" s="292"/>
      <c r="W45" s="292"/>
      <c r="X45" s="173">
        <f>IF(AC63=0,"",X50)</f>
        <v>1200</v>
      </c>
      <c r="Y45" s="174" t="str">
        <f>IF(AD63=0,"",Y50)</f>
        <v/>
      </c>
      <c r="Z45" s="18"/>
      <c r="AA45" s="74" t="s">
        <v>487</v>
      </c>
    </row>
    <row r="46" spans="2:31" ht="27" customHeight="1" thickBot="1" x14ac:dyDescent="0.6">
      <c r="B46" s="230" t="s">
        <v>5</v>
      </c>
      <c r="C46" s="230"/>
      <c r="D46" s="294">
        <v>20</v>
      </c>
      <c r="E46" s="295">
        <v>20</v>
      </c>
      <c r="F46" s="295">
        <v>20</v>
      </c>
      <c r="G46" s="295">
        <v>26</v>
      </c>
      <c r="H46" s="295">
        <v>26</v>
      </c>
      <c r="I46" s="295"/>
      <c r="J46" s="295"/>
      <c r="K46" s="295"/>
      <c r="L46" s="295"/>
      <c r="M46" s="295"/>
      <c r="N46" s="295"/>
      <c r="O46" s="295"/>
      <c r="P46" s="295"/>
      <c r="Q46" s="295"/>
      <c r="R46" s="295"/>
      <c r="S46" s="295"/>
      <c r="T46" s="295"/>
      <c r="U46" s="295"/>
      <c r="V46" s="295"/>
      <c r="W46" s="295"/>
      <c r="X46" s="176">
        <f>IF(AC63=0,"",X51)</f>
        <v>112</v>
      </c>
      <c r="Y46" s="175" t="str">
        <f>IF(AD63=0,"",Y51)</f>
        <v/>
      </c>
      <c r="Z46" s="18"/>
    </row>
    <row r="47" spans="2:31" ht="27" customHeight="1" x14ac:dyDescent="0.55000000000000004">
      <c r="B47" s="249" t="s">
        <v>13</v>
      </c>
      <c r="C47" s="249"/>
      <c r="D47" s="28">
        <f t="shared" ref="D47:W47" si="3">IF(D40="高効率換気設備",IF(ISERROR(D46/D45),"",D46/D45),"---")</f>
        <v>3.3333333333333333E-2</v>
      </c>
      <c r="E47" s="29">
        <f t="shared" si="3"/>
        <v>0.2</v>
      </c>
      <c r="F47" s="29">
        <f t="shared" si="3"/>
        <v>0.2</v>
      </c>
      <c r="G47" s="29">
        <f t="shared" si="3"/>
        <v>0.13</v>
      </c>
      <c r="H47" s="29">
        <f t="shared" si="3"/>
        <v>0.13</v>
      </c>
      <c r="I47" s="29" t="str">
        <f t="shared" si="3"/>
        <v>---</v>
      </c>
      <c r="J47" s="29" t="str">
        <f t="shared" si="3"/>
        <v>---</v>
      </c>
      <c r="K47" s="29" t="str">
        <f t="shared" si="3"/>
        <v>---</v>
      </c>
      <c r="L47" s="29" t="str">
        <f t="shared" si="3"/>
        <v>---</v>
      </c>
      <c r="M47" s="29" t="str">
        <f t="shared" si="3"/>
        <v>---</v>
      </c>
      <c r="N47" s="29" t="str">
        <f t="shared" si="3"/>
        <v>---</v>
      </c>
      <c r="O47" s="29" t="str">
        <f t="shared" si="3"/>
        <v>---</v>
      </c>
      <c r="P47" s="29" t="str">
        <f t="shared" si="3"/>
        <v>---</v>
      </c>
      <c r="Q47" s="29" t="str">
        <f t="shared" si="3"/>
        <v>---</v>
      </c>
      <c r="R47" s="29" t="str">
        <f t="shared" si="3"/>
        <v>---</v>
      </c>
      <c r="S47" s="29" t="str">
        <f t="shared" si="3"/>
        <v>---</v>
      </c>
      <c r="T47" s="29" t="str">
        <f t="shared" si="3"/>
        <v>---</v>
      </c>
      <c r="U47" s="29" t="str">
        <f t="shared" si="3"/>
        <v>---</v>
      </c>
      <c r="V47" s="29" t="str">
        <f t="shared" si="3"/>
        <v>---</v>
      </c>
      <c r="W47" s="29" t="str">
        <f t="shared" si="3"/>
        <v>---</v>
      </c>
      <c r="X47" s="184" t="s">
        <v>10</v>
      </c>
      <c r="Y47" s="185" t="s">
        <v>10</v>
      </c>
      <c r="Z47" s="18"/>
    </row>
    <row r="48" spans="2:31" ht="27" customHeight="1" x14ac:dyDescent="0.55000000000000004">
      <c r="B48" s="42" t="s">
        <v>95</v>
      </c>
      <c r="C48" s="199" t="s">
        <v>7</v>
      </c>
      <c r="D48" s="299"/>
      <c r="E48" s="300"/>
      <c r="F48" s="300"/>
      <c r="G48" s="300"/>
      <c r="H48" s="300"/>
      <c r="I48" s="300"/>
      <c r="J48" s="300"/>
      <c r="K48" s="300"/>
      <c r="L48" s="300"/>
      <c r="M48" s="300"/>
      <c r="N48" s="300"/>
      <c r="O48" s="300"/>
      <c r="P48" s="300"/>
      <c r="Q48" s="300"/>
      <c r="R48" s="300"/>
      <c r="S48" s="300"/>
      <c r="T48" s="300"/>
      <c r="U48" s="300"/>
      <c r="V48" s="300"/>
      <c r="W48" s="300"/>
      <c r="X48" s="182" t="s">
        <v>10</v>
      </c>
      <c r="Y48" s="183" t="s">
        <v>10</v>
      </c>
      <c r="Z48" s="18"/>
      <c r="AB48" s="74" t="s">
        <v>440</v>
      </c>
    </row>
    <row r="49" spans="2:31" ht="27" customHeight="1" x14ac:dyDescent="0.55000000000000004">
      <c r="B49" s="43" t="s">
        <v>12</v>
      </c>
      <c r="C49" s="199" t="s">
        <v>8</v>
      </c>
      <c r="D49" s="299"/>
      <c r="E49" s="300"/>
      <c r="F49" s="300"/>
      <c r="G49" s="300"/>
      <c r="H49" s="300"/>
      <c r="I49" s="300"/>
      <c r="J49" s="300"/>
      <c r="K49" s="300"/>
      <c r="L49" s="300"/>
      <c r="M49" s="300"/>
      <c r="N49" s="300"/>
      <c r="O49" s="300"/>
      <c r="P49" s="300"/>
      <c r="Q49" s="300"/>
      <c r="R49" s="300"/>
      <c r="S49" s="300"/>
      <c r="T49" s="300"/>
      <c r="U49" s="300"/>
      <c r="V49" s="300"/>
      <c r="W49" s="300"/>
      <c r="X49" s="182" t="s">
        <v>10</v>
      </c>
      <c r="Y49" s="183" t="s">
        <v>10</v>
      </c>
      <c r="Z49" s="18"/>
    </row>
    <row r="50" spans="2:31" ht="27" hidden="1" customHeight="1" x14ac:dyDescent="0.55000000000000004">
      <c r="B50" s="246" t="s">
        <v>481</v>
      </c>
      <c r="C50" s="246"/>
      <c r="D50" s="292">
        <f>D44*D45</f>
        <v>600</v>
      </c>
      <c r="E50" s="292">
        <f t="shared" ref="E50:W50" si="4">E44*E45</f>
        <v>100</v>
      </c>
      <c r="F50" s="292">
        <f t="shared" si="4"/>
        <v>100</v>
      </c>
      <c r="G50" s="292">
        <f t="shared" si="4"/>
        <v>200</v>
      </c>
      <c r="H50" s="292">
        <f t="shared" si="4"/>
        <v>200</v>
      </c>
      <c r="I50" s="292">
        <f t="shared" si="4"/>
        <v>0</v>
      </c>
      <c r="J50" s="292">
        <f t="shared" si="4"/>
        <v>0</v>
      </c>
      <c r="K50" s="292">
        <f t="shared" si="4"/>
        <v>0</v>
      </c>
      <c r="L50" s="292">
        <f t="shared" si="4"/>
        <v>0</v>
      </c>
      <c r="M50" s="292">
        <f t="shared" si="4"/>
        <v>0</v>
      </c>
      <c r="N50" s="292">
        <f t="shared" si="4"/>
        <v>0</v>
      </c>
      <c r="O50" s="292">
        <f t="shared" si="4"/>
        <v>0</v>
      </c>
      <c r="P50" s="292">
        <f t="shared" si="4"/>
        <v>0</v>
      </c>
      <c r="Q50" s="292">
        <f t="shared" si="4"/>
        <v>0</v>
      </c>
      <c r="R50" s="292">
        <f t="shared" si="4"/>
        <v>0</v>
      </c>
      <c r="S50" s="292">
        <f t="shared" si="4"/>
        <v>0</v>
      </c>
      <c r="T50" s="292">
        <f t="shared" si="4"/>
        <v>0</v>
      </c>
      <c r="U50" s="292">
        <f t="shared" si="4"/>
        <v>0</v>
      </c>
      <c r="V50" s="292">
        <f t="shared" si="4"/>
        <v>0</v>
      </c>
      <c r="W50" s="292">
        <f t="shared" si="4"/>
        <v>0</v>
      </c>
      <c r="X50" s="182">
        <f>IF(SUMIF($D$41:$W$41,"排気",$D$50:$W$50)=0,0,SUMIF($D$41:$W$41,"排気",$D$50:$W$50))</f>
        <v>1200</v>
      </c>
      <c r="Y50" s="183">
        <f>IF(SUMIF($D$41:$W$41,"給気",$D$50:$W$50)=0,0,SUMIF($D$41:$W$41,"給気",$D$50:$W$50))</f>
        <v>0</v>
      </c>
    </row>
    <row r="51" spans="2:31" ht="27" hidden="1" customHeight="1" thickBot="1" x14ac:dyDescent="0.6">
      <c r="B51" s="230" t="s">
        <v>482</v>
      </c>
      <c r="C51" s="230"/>
      <c r="D51" s="292">
        <f>D44*D46</f>
        <v>20</v>
      </c>
      <c r="E51" s="292">
        <f t="shared" ref="E51:W51" si="5">E44*E46</f>
        <v>20</v>
      </c>
      <c r="F51" s="292">
        <f t="shared" si="5"/>
        <v>20</v>
      </c>
      <c r="G51" s="292">
        <f t="shared" si="5"/>
        <v>26</v>
      </c>
      <c r="H51" s="292">
        <f t="shared" si="5"/>
        <v>26</v>
      </c>
      <c r="I51" s="292">
        <f t="shared" si="5"/>
        <v>0</v>
      </c>
      <c r="J51" s="292">
        <f t="shared" si="5"/>
        <v>0</v>
      </c>
      <c r="K51" s="292">
        <f t="shared" si="5"/>
        <v>0</v>
      </c>
      <c r="L51" s="292">
        <f t="shared" si="5"/>
        <v>0</v>
      </c>
      <c r="M51" s="292">
        <f t="shared" si="5"/>
        <v>0</v>
      </c>
      <c r="N51" s="292">
        <f t="shared" si="5"/>
        <v>0</v>
      </c>
      <c r="O51" s="292">
        <f t="shared" si="5"/>
        <v>0</v>
      </c>
      <c r="P51" s="292">
        <f t="shared" si="5"/>
        <v>0</v>
      </c>
      <c r="Q51" s="292">
        <f t="shared" si="5"/>
        <v>0</v>
      </c>
      <c r="R51" s="292">
        <f t="shared" si="5"/>
        <v>0</v>
      </c>
      <c r="S51" s="292">
        <f t="shared" si="5"/>
        <v>0</v>
      </c>
      <c r="T51" s="292">
        <f t="shared" si="5"/>
        <v>0</v>
      </c>
      <c r="U51" s="292">
        <f t="shared" si="5"/>
        <v>0</v>
      </c>
      <c r="V51" s="292">
        <f t="shared" si="5"/>
        <v>0</v>
      </c>
      <c r="W51" s="292">
        <f t="shared" si="5"/>
        <v>0</v>
      </c>
      <c r="X51" s="178">
        <f>IF(SUMIF($D$41:$W$41,"排気",$D$51:$W$51)=0,0,SUMIF($D$41:$W$41,"排気",$D$51:$W$51))</f>
        <v>112</v>
      </c>
      <c r="Y51" s="179">
        <f>IF(SUMIF($D$41:$W$41,"給気",$D$51:$W$51)=0,0,SUMIF($D$41:$W$41,"給気",$D$51:$W$51))</f>
        <v>0</v>
      </c>
    </row>
    <row r="52" spans="2:31" hidden="1" x14ac:dyDescent="0.55000000000000004">
      <c r="B52" s="109" t="s">
        <v>267</v>
      </c>
      <c r="C52" s="109"/>
      <c r="D52" s="109">
        <f t="shared" ref="D52:W52" si="6">IF(D$40&lt;&gt;"機械換気（換気扇等）",2,IF(AND(D$40="機械換気（換気扇等）",D$42="継続"),0,1))</f>
        <v>2</v>
      </c>
      <c r="E52" s="109">
        <f t="shared" si="6"/>
        <v>2</v>
      </c>
      <c r="F52" s="109">
        <f t="shared" si="6"/>
        <v>2</v>
      </c>
      <c r="G52" s="109">
        <f t="shared" si="6"/>
        <v>2</v>
      </c>
      <c r="H52" s="109">
        <f t="shared" si="6"/>
        <v>2</v>
      </c>
      <c r="I52" s="109">
        <f t="shared" si="6"/>
        <v>2</v>
      </c>
      <c r="J52" s="109">
        <f t="shared" si="6"/>
        <v>2</v>
      </c>
      <c r="K52" s="109">
        <f t="shared" si="6"/>
        <v>2</v>
      </c>
      <c r="L52" s="109">
        <f t="shared" si="6"/>
        <v>2</v>
      </c>
      <c r="M52" s="109">
        <f t="shared" si="6"/>
        <v>2</v>
      </c>
      <c r="N52" s="109">
        <f t="shared" si="6"/>
        <v>2</v>
      </c>
      <c r="O52" s="109">
        <f t="shared" si="6"/>
        <v>2</v>
      </c>
      <c r="P52" s="109">
        <f t="shared" si="6"/>
        <v>2</v>
      </c>
      <c r="Q52" s="109">
        <f>IF(Q$40&lt;&gt;"機械換気（換気扇等）",2,IF(AND(Q$40="機械換気（換気扇等）",Q$42="継続"),0,1))</f>
        <v>2</v>
      </c>
      <c r="R52" s="109">
        <f>IF(R$40&lt;&gt;"機械換気（換気扇等）",2,IF(AND(R$40="機械換気（換気扇等）",R$42="継続"),0,1))</f>
        <v>2</v>
      </c>
      <c r="S52" s="109">
        <f t="shared" si="6"/>
        <v>2</v>
      </c>
      <c r="T52" s="109">
        <f t="shared" si="6"/>
        <v>2</v>
      </c>
      <c r="U52" s="109">
        <f t="shared" si="6"/>
        <v>2</v>
      </c>
      <c r="V52" s="109">
        <f t="shared" si="6"/>
        <v>2</v>
      </c>
      <c r="W52" s="109">
        <f t="shared" si="6"/>
        <v>2</v>
      </c>
      <c r="X52" s="94" t="str">
        <f>IF(AC52=Y52,"適合","非適合")</f>
        <v>適合</v>
      </c>
      <c r="Y52" s="18">
        <f>COUNTIF($D52:$W52,0)</f>
        <v>0</v>
      </c>
      <c r="Z52" s="155">
        <f>COUNTIF($D52:$W52,1)</f>
        <v>0</v>
      </c>
      <c r="AA52" s="155">
        <f>COUNTIF($D52:$W52,2)</f>
        <v>20</v>
      </c>
      <c r="AC52" s="18">
        <f>COUNTIF($D$40:$W$40,"機械換気（換気扇等）")</f>
        <v>0</v>
      </c>
      <c r="AE52" s="99">
        <v>50</v>
      </c>
    </row>
    <row r="53" spans="2:31" hidden="1" x14ac:dyDescent="0.55000000000000004">
      <c r="B53" s="165" t="s">
        <v>462</v>
      </c>
      <c r="C53" s="165"/>
      <c r="D53" s="165">
        <f>IF(OR(D41="補器（排気）",D41="補器（給気）",D42="継続"),0,IF(D42="新設",1,IF(D42="増設",2,IF(D42="更新",3,9))))</f>
        <v>3</v>
      </c>
      <c r="E53" s="165">
        <f t="shared" ref="E53:W53" si="7">IF(OR(E41="補器（排気）",E41="補器（給気）",E42="継続"),0,IF(E42="新設",1,IF(E42="増設",2,IF(E42="更新",3,9))))</f>
        <v>2</v>
      </c>
      <c r="F53" s="165">
        <f t="shared" si="7"/>
        <v>1</v>
      </c>
      <c r="G53" s="165">
        <f t="shared" si="7"/>
        <v>1</v>
      </c>
      <c r="H53" s="165">
        <f t="shared" si="7"/>
        <v>1</v>
      </c>
      <c r="I53" s="165">
        <f t="shared" si="7"/>
        <v>9</v>
      </c>
      <c r="J53" s="165">
        <f t="shared" si="7"/>
        <v>9</v>
      </c>
      <c r="K53" s="165">
        <f t="shared" si="7"/>
        <v>9</v>
      </c>
      <c r="L53" s="165">
        <f t="shared" si="7"/>
        <v>9</v>
      </c>
      <c r="M53" s="165">
        <f t="shared" si="7"/>
        <v>9</v>
      </c>
      <c r="N53" s="165">
        <f t="shared" si="7"/>
        <v>9</v>
      </c>
      <c r="O53" s="165">
        <f t="shared" si="7"/>
        <v>9</v>
      </c>
      <c r="P53" s="165">
        <f t="shared" si="7"/>
        <v>9</v>
      </c>
      <c r="Q53" s="165">
        <f t="shared" si="7"/>
        <v>9</v>
      </c>
      <c r="R53" s="165">
        <f t="shared" si="7"/>
        <v>9</v>
      </c>
      <c r="S53" s="165">
        <f t="shared" si="7"/>
        <v>9</v>
      </c>
      <c r="T53" s="165">
        <f t="shared" si="7"/>
        <v>9</v>
      </c>
      <c r="U53" s="165">
        <f t="shared" si="7"/>
        <v>9</v>
      </c>
      <c r="V53" s="165">
        <f t="shared" si="7"/>
        <v>9</v>
      </c>
      <c r="W53" s="165">
        <f t="shared" si="7"/>
        <v>9</v>
      </c>
      <c r="X53" s="94" t="str">
        <f>IF(Y53=AD53,"非適合","適合")</f>
        <v>適合</v>
      </c>
      <c r="Y53" s="18">
        <f>COUNTIF($D53:$W53,0)</f>
        <v>0</v>
      </c>
      <c r="Z53" s="155">
        <f>COUNTIF($D53:$W53,1)</f>
        <v>3</v>
      </c>
      <c r="AA53" s="155">
        <f>COUNTIF($D53:$W53,2)</f>
        <v>1</v>
      </c>
      <c r="AB53" s="155">
        <f>COUNTIF($D53:$W53,3)</f>
        <v>1</v>
      </c>
      <c r="AC53" s="155">
        <f>COUNTIF($D53:$W53,9)</f>
        <v>15</v>
      </c>
      <c r="AD53" s="18">
        <f>20-COUNTIF($D$40:$W$40,"")</f>
        <v>5</v>
      </c>
      <c r="AE53" s="99">
        <v>52</v>
      </c>
    </row>
    <row r="54" spans="2:31" hidden="1" x14ac:dyDescent="0.55000000000000004">
      <c r="B54" s="96" t="s">
        <v>260</v>
      </c>
      <c r="C54" s="94"/>
      <c r="D54" s="94">
        <f t="shared" ref="D54:W54" si="8">IF(D47="---",2,IF(AND(D40="高効率換気設備",D47&lt;=0.4),0,1))</f>
        <v>0</v>
      </c>
      <c r="E54" s="94">
        <f t="shared" si="8"/>
        <v>0</v>
      </c>
      <c r="F54" s="94">
        <f t="shared" si="8"/>
        <v>0</v>
      </c>
      <c r="G54" s="94">
        <f t="shared" si="8"/>
        <v>0</v>
      </c>
      <c r="H54" s="94">
        <f t="shared" si="8"/>
        <v>0</v>
      </c>
      <c r="I54" s="94">
        <f t="shared" si="8"/>
        <v>2</v>
      </c>
      <c r="J54" s="94">
        <f t="shared" si="8"/>
        <v>2</v>
      </c>
      <c r="K54" s="94">
        <f t="shared" si="8"/>
        <v>2</v>
      </c>
      <c r="L54" s="94">
        <f t="shared" si="8"/>
        <v>2</v>
      </c>
      <c r="M54" s="94">
        <f t="shared" si="8"/>
        <v>2</v>
      </c>
      <c r="N54" s="94">
        <f t="shared" si="8"/>
        <v>2</v>
      </c>
      <c r="O54" s="94">
        <f t="shared" si="8"/>
        <v>2</v>
      </c>
      <c r="P54" s="94">
        <f t="shared" si="8"/>
        <v>2</v>
      </c>
      <c r="Q54" s="94">
        <f t="shared" si="8"/>
        <v>2</v>
      </c>
      <c r="R54" s="94">
        <f t="shared" si="8"/>
        <v>2</v>
      </c>
      <c r="S54" s="94">
        <f t="shared" si="8"/>
        <v>2</v>
      </c>
      <c r="T54" s="94">
        <f t="shared" si="8"/>
        <v>2</v>
      </c>
      <c r="U54" s="94">
        <f t="shared" si="8"/>
        <v>2</v>
      </c>
      <c r="V54" s="94">
        <f t="shared" si="8"/>
        <v>2</v>
      </c>
      <c r="W54" s="94">
        <f t="shared" si="8"/>
        <v>2</v>
      </c>
      <c r="X54" s="94" t="str">
        <f>IF(AC54=Y54,"適合","非適合")</f>
        <v>適合</v>
      </c>
      <c r="Y54" s="18">
        <f>COUNTIF($D54:$W54,0)</f>
        <v>5</v>
      </c>
      <c r="Z54" s="155">
        <f>COUNTIF($D54:$W54,1)</f>
        <v>0</v>
      </c>
      <c r="AA54" s="155">
        <f>COUNTIF($D54:$W54,2)</f>
        <v>15</v>
      </c>
      <c r="AB54" s="155">
        <f>COUNTIF($D$47:$W$47,"---")</f>
        <v>15</v>
      </c>
      <c r="AC54" s="18">
        <f>COUNTIF($D$40:$W$40,"高効率換気設備")</f>
        <v>5</v>
      </c>
      <c r="AE54" s="99">
        <v>53</v>
      </c>
    </row>
    <row r="55" spans="2:31" hidden="1" x14ac:dyDescent="0.55000000000000004">
      <c r="B55" s="94" t="s">
        <v>245</v>
      </c>
      <c r="C55" s="94"/>
      <c r="D55" s="94">
        <f>IF(D$40&lt;&gt;"換気・空調一体型設備",2,IF(D$40="換気・空調一体型設備",0,1))</f>
        <v>2</v>
      </c>
      <c r="E55" s="94">
        <f t="shared" ref="E55:W55" si="9">IF(E$40&lt;&gt;"換気・空調一体型設備",2,IF(E$40="換気・空調一体型設備",0,1))</f>
        <v>2</v>
      </c>
      <c r="F55" s="94">
        <f t="shared" si="9"/>
        <v>2</v>
      </c>
      <c r="G55" s="94">
        <f t="shared" si="9"/>
        <v>2</v>
      </c>
      <c r="H55" s="94">
        <f t="shared" si="9"/>
        <v>2</v>
      </c>
      <c r="I55" s="94">
        <f t="shared" si="9"/>
        <v>2</v>
      </c>
      <c r="J55" s="94">
        <f t="shared" si="9"/>
        <v>2</v>
      </c>
      <c r="K55" s="94">
        <f t="shared" si="9"/>
        <v>2</v>
      </c>
      <c r="L55" s="94">
        <f t="shared" si="9"/>
        <v>2</v>
      </c>
      <c r="M55" s="94">
        <f t="shared" si="9"/>
        <v>2</v>
      </c>
      <c r="N55" s="94">
        <f t="shared" si="9"/>
        <v>2</v>
      </c>
      <c r="O55" s="94">
        <f t="shared" si="9"/>
        <v>2</v>
      </c>
      <c r="P55" s="94">
        <f t="shared" si="9"/>
        <v>2</v>
      </c>
      <c r="Q55" s="94">
        <f t="shared" si="9"/>
        <v>2</v>
      </c>
      <c r="R55" s="94">
        <f t="shared" si="9"/>
        <v>2</v>
      </c>
      <c r="S55" s="94">
        <f t="shared" si="9"/>
        <v>2</v>
      </c>
      <c r="T55" s="94">
        <f t="shared" si="9"/>
        <v>2</v>
      </c>
      <c r="U55" s="94">
        <f t="shared" si="9"/>
        <v>2</v>
      </c>
      <c r="V55" s="94">
        <f t="shared" si="9"/>
        <v>2</v>
      </c>
      <c r="W55" s="94">
        <f t="shared" si="9"/>
        <v>2</v>
      </c>
      <c r="X55" s="94" t="str">
        <f>IF(AC55=Y55,"適合","非適合")</f>
        <v>適合</v>
      </c>
      <c r="Y55" s="18">
        <f>COUNTIF($D55:$W55,0)</f>
        <v>0</v>
      </c>
      <c r="Z55" s="155">
        <f>COUNTIF($D55:$W55,1)</f>
        <v>0</v>
      </c>
      <c r="AA55" s="155">
        <f>COUNTIF($D55:$W55,2)</f>
        <v>20</v>
      </c>
      <c r="AC55" s="18">
        <f>COUNTIF($D$40:$W$40,"換気・空調一体型設備")</f>
        <v>0</v>
      </c>
      <c r="AE55" s="99">
        <v>54</v>
      </c>
    </row>
    <row r="56" spans="2:31" hidden="1" x14ac:dyDescent="0.55000000000000004">
      <c r="B56" s="94" t="s">
        <v>274</v>
      </c>
      <c r="C56" s="94"/>
      <c r="D56" s="94">
        <f t="shared" ref="D56:W56" si="10">IF(AND(D55=0,OR(D42="新設",D42="増設",D42="更新")),0,2)</f>
        <v>2</v>
      </c>
      <c r="E56" s="94">
        <f t="shared" si="10"/>
        <v>2</v>
      </c>
      <c r="F56" s="94">
        <f t="shared" si="10"/>
        <v>2</v>
      </c>
      <c r="G56" s="94">
        <f t="shared" si="10"/>
        <v>2</v>
      </c>
      <c r="H56" s="94">
        <f t="shared" si="10"/>
        <v>2</v>
      </c>
      <c r="I56" s="94">
        <f t="shared" si="10"/>
        <v>2</v>
      </c>
      <c r="J56" s="94">
        <f t="shared" si="10"/>
        <v>2</v>
      </c>
      <c r="K56" s="94">
        <f t="shared" si="10"/>
        <v>2</v>
      </c>
      <c r="L56" s="94">
        <f t="shared" si="10"/>
        <v>2</v>
      </c>
      <c r="M56" s="94">
        <f t="shared" si="10"/>
        <v>2</v>
      </c>
      <c r="N56" s="94">
        <f t="shared" si="10"/>
        <v>2</v>
      </c>
      <c r="O56" s="94">
        <f t="shared" si="10"/>
        <v>2</v>
      </c>
      <c r="P56" s="94">
        <f t="shared" si="10"/>
        <v>2</v>
      </c>
      <c r="Q56" s="94">
        <f t="shared" si="10"/>
        <v>2</v>
      </c>
      <c r="R56" s="94">
        <f t="shared" si="10"/>
        <v>2</v>
      </c>
      <c r="S56" s="94">
        <f t="shared" si="10"/>
        <v>2</v>
      </c>
      <c r="T56" s="94">
        <f t="shared" si="10"/>
        <v>2</v>
      </c>
      <c r="U56" s="94">
        <f t="shared" si="10"/>
        <v>2</v>
      </c>
      <c r="V56" s="94">
        <f t="shared" si="10"/>
        <v>2</v>
      </c>
      <c r="W56" s="94">
        <f t="shared" si="10"/>
        <v>2</v>
      </c>
      <c r="X56" s="94"/>
      <c r="AE56" s="99">
        <v>55</v>
      </c>
    </row>
    <row r="57" spans="2:31" hidden="1" x14ac:dyDescent="0.55000000000000004">
      <c r="B57" s="109" t="s">
        <v>268</v>
      </c>
      <c r="C57" s="109"/>
      <c r="D57" s="109">
        <f>IF(AND(D$40&lt;&gt;"熱交換型換気設備",D$40&lt;&gt;"顕熱交換器"),2,IF(AND(OR(D$40="熱交換型換気設備",D$40="顕熱交換器"),OR(D$42="継続",D$43="工場",D$43="倉庫")),0,1))</f>
        <v>2</v>
      </c>
      <c r="E57" s="109">
        <f t="shared" ref="E57:W57" si="11">IF(AND(E$40&lt;&gt;"熱交換型換気設備",E$40&lt;&gt;"顕熱交換器"),2,IF(AND(OR(E$40="熱交換型換気設備",E$40="顕熱交換器"),OR(E$42="継続",E$43="工場",E$43="倉庫")),0,1))</f>
        <v>2</v>
      </c>
      <c r="F57" s="109">
        <f t="shared" si="11"/>
        <v>2</v>
      </c>
      <c r="G57" s="109">
        <f t="shared" si="11"/>
        <v>2</v>
      </c>
      <c r="H57" s="109">
        <f t="shared" si="11"/>
        <v>2</v>
      </c>
      <c r="I57" s="109">
        <f t="shared" si="11"/>
        <v>2</v>
      </c>
      <c r="J57" s="109">
        <f t="shared" si="11"/>
        <v>2</v>
      </c>
      <c r="K57" s="109">
        <f t="shared" si="11"/>
        <v>2</v>
      </c>
      <c r="L57" s="109">
        <f t="shared" si="11"/>
        <v>2</v>
      </c>
      <c r="M57" s="109">
        <f t="shared" si="11"/>
        <v>2</v>
      </c>
      <c r="N57" s="109">
        <f t="shared" si="11"/>
        <v>2</v>
      </c>
      <c r="O57" s="109">
        <f t="shared" si="11"/>
        <v>2</v>
      </c>
      <c r="P57" s="109">
        <f t="shared" si="11"/>
        <v>2</v>
      </c>
      <c r="Q57" s="109">
        <f t="shared" si="11"/>
        <v>2</v>
      </c>
      <c r="R57" s="109">
        <f t="shared" si="11"/>
        <v>2</v>
      </c>
      <c r="S57" s="109">
        <f t="shared" si="11"/>
        <v>2</v>
      </c>
      <c r="T57" s="109">
        <f t="shared" si="11"/>
        <v>2</v>
      </c>
      <c r="U57" s="109">
        <f t="shared" si="11"/>
        <v>2</v>
      </c>
      <c r="V57" s="109">
        <f t="shared" si="11"/>
        <v>2</v>
      </c>
      <c r="W57" s="109">
        <f t="shared" si="11"/>
        <v>2</v>
      </c>
      <c r="X57" s="94" t="str">
        <f>IF(AB57+AC57=Y57,"適合","非適合")</f>
        <v>適合</v>
      </c>
      <c r="Y57" s="18">
        <f t="shared" ref="Y57:Y62" si="12">COUNTIF($D57:$W57,0)</f>
        <v>0</v>
      </c>
      <c r="Z57" s="155">
        <f t="shared" ref="Z57:Z62" si="13">COUNTIF($D57:$W57,1)</f>
        <v>0</v>
      </c>
      <c r="AA57" s="155">
        <f t="shared" ref="AA57:AA62" si="14">COUNTIF($D57:$W57,2)</f>
        <v>20</v>
      </c>
      <c r="AB57" s="155">
        <f>COUNTIF($D$40:$W$40,"熱交換型換気設備")</f>
        <v>0</v>
      </c>
      <c r="AC57" s="18">
        <f>COUNTIF($D$40:$W$40,"顕熱交換器")</f>
        <v>0</v>
      </c>
      <c r="AE57" s="99">
        <v>56</v>
      </c>
    </row>
    <row r="58" spans="2:31" hidden="1" x14ac:dyDescent="0.55000000000000004">
      <c r="B58" s="94" t="s">
        <v>247</v>
      </c>
      <c r="C58" s="94"/>
      <c r="D58" s="94">
        <f t="shared" ref="D58:W59" si="15">IF(D$40&lt;&gt;"顕熱交換器",2,IF(OR(D$42="継続",AND(D$40="顕熱交換器",OR(D$43="工場",D$43="倉庫",D$43="私学学校"),D48&gt;=40)),0,1))</f>
        <v>2</v>
      </c>
      <c r="E58" s="94">
        <f t="shared" si="15"/>
        <v>2</v>
      </c>
      <c r="F58" s="94">
        <f t="shared" si="15"/>
        <v>2</v>
      </c>
      <c r="G58" s="94">
        <f t="shared" si="15"/>
        <v>2</v>
      </c>
      <c r="H58" s="94">
        <f t="shared" si="15"/>
        <v>2</v>
      </c>
      <c r="I58" s="94">
        <f t="shared" si="15"/>
        <v>2</v>
      </c>
      <c r="J58" s="94">
        <f t="shared" si="15"/>
        <v>2</v>
      </c>
      <c r="K58" s="94">
        <f t="shared" si="15"/>
        <v>2</v>
      </c>
      <c r="L58" s="94">
        <f t="shared" si="15"/>
        <v>2</v>
      </c>
      <c r="M58" s="94">
        <f t="shared" si="15"/>
        <v>2</v>
      </c>
      <c r="N58" s="94">
        <f t="shared" si="15"/>
        <v>2</v>
      </c>
      <c r="O58" s="94">
        <f t="shared" si="15"/>
        <v>2</v>
      </c>
      <c r="P58" s="94">
        <f t="shared" si="15"/>
        <v>2</v>
      </c>
      <c r="Q58" s="94">
        <f t="shared" si="15"/>
        <v>2</v>
      </c>
      <c r="R58" s="94">
        <f t="shared" si="15"/>
        <v>2</v>
      </c>
      <c r="S58" s="94">
        <f t="shared" si="15"/>
        <v>2</v>
      </c>
      <c r="T58" s="94">
        <f t="shared" si="15"/>
        <v>2</v>
      </c>
      <c r="U58" s="94">
        <f t="shared" si="15"/>
        <v>2</v>
      </c>
      <c r="V58" s="94">
        <f t="shared" si="15"/>
        <v>2</v>
      </c>
      <c r="W58" s="94">
        <f t="shared" si="15"/>
        <v>2</v>
      </c>
      <c r="X58" s="94"/>
      <c r="Y58" s="18">
        <f t="shared" si="12"/>
        <v>0</v>
      </c>
      <c r="Z58" s="155">
        <f t="shared" si="13"/>
        <v>0</v>
      </c>
      <c r="AA58" s="155">
        <f t="shared" si="14"/>
        <v>20</v>
      </c>
      <c r="AC58" s="18">
        <f>COUNTIF($D$40:$W$40,"顕熱交換器")</f>
        <v>0</v>
      </c>
      <c r="AE58" s="99">
        <v>57</v>
      </c>
    </row>
    <row r="59" spans="2:31" hidden="1" x14ac:dyDescent="0.55000000000000004">
      <c r="B59" s="94" t="s">
        <v>248</v>
      </c>
      <c r="C59" s="94"/>
      <c r="D59" s="94">
        <f t="shared" si="15"/>
        <v>2</v>
      </c>
      <c r="E59" s="94">
        <f t="shared" si="15"/>
        <v>2</v>
      </c>
      <c r="F59" s="94">
        <f t="shared" si="15"/>
        <v>2</v>
      </c>
      <c r="G59" s="94">
        <f t="shared" si="15"/>
        <v>2</v>
      </c>
      <c r="H59" s="94">
        <f t="shared" si="15"/>
        <v>2</v>
      </c>
      <c r="I59" s="94">
        <f t="shared" si="15"/>
        <v>2</v>
      </c>
      <c r="J59" s="94">
        <f t="shared" si="15"/>
        <v>2</v>
      </c>
      <c r="K59" s="94">
        <f t="shared" si="15"/>
        <v>2</v>
      </c>
      <c r="L59" s="94">
        <f t="shared" si="15"/>
        <v>2</v>
      </c>
      <c r="M59" s="94">
        <f t="shared" si="15"/>
        <v>2</v>
      </c>
      <c r="N59" s="94">
        <f t="shared" si="15"/>
        <v>2</v>
      </c>
      <c r="O59" s="94">
        <f t="shared" si="15"/>
        <v>2</v>
      </c>
      <c r="P59" s="94">
        <f t="shared" si="15"/>
        <v>2</v>
      </c>
      <c r="Q59" s="94">
        <f t="shared" si="15"/>
        <v>2</v>
      </c>
      <c r="R59" s="94">
        <f t="shared" si="15"/>
        <v>2</v>
      </c>
      <c r="S59" s="94">
        <f t="shared" si="15"/>
        <v>2</v>
      </c>
      <c r="T59" s="94">
        <f t="shared" si="15"/>
        <v>2</v>
      </c>
      <c r="U59" s="94">
        <f t="shared" si="15"/>
        <v>2</v>
      </c>
      <c r="V59" s="94">
        <f t="shared" si="15"/>
        <v>2</v>
      </c>
      <c r="W59" s="94">
        <f t="shared" si="15"/>
        <v>2</v>
      </c>
      <c r="X59" s="94" t="str">
        <f>IF(AND(AC58=Y58,AC58=Y59),"適合","非適合")</f>
        <v>適合</v>
      </c>
      <c r="Y59" s="18">
        <f t="shared" si="12"/>
        <v>0</v>
      </c>
      <c r="Z59" s="155">
        <f t="shared" si="13"/>
        <v>0</v>
      </c>
      <c r="AA59" s="155">
        <f t="shared" si="14"/>
        <v>20</v>
      </c>
      <c r="AE59" s="99">
        <v>58</v>
      </c>
    </row>
    <row r="60" spans="2:31" hidden="1" x14ac:dyDescent="0.55000000000000004">
      <c r="B60" s="96" t="s">
        <v>243</v>
      </c>
      <c r="C60" s="94"/>
      <c r="D60" s="94">
        <f t="shared" ref="D60:W61" si="16">IF(D$40&lt;&gt;"熱交換型換気設備",2,IF(OR(D$42="継続",AND(D$40="熱交換型換気設備",OR(D$43="工場",D$43="倉庫",D$43="私学学校"),D48&gt;=40)),0,1))</f>
        <v>2</v>
      </c>
      <c r="E60" s="94">
        <f t="shared" si="16"/>
        <v>2</v>
      </c>
      <c r="F60" s="94">
        <f t="shared" si="16"/>
        <v>2</v>
      </c>
      <c r="G60" s="94">
        <f t="shared" si="16"/>
        <v>2</v>
      </c>
      <c r="H60" s="94">
        <f t="shared" si="16"/>
        <v>2</v>
      </c>
      <c r="I60" s="94">
        <f t="shared" si="16"/>
        <v>2</v>
      </c>
      <c r="J60" s="94">
        <f t="shared" si="16"/>
        <v>2</v>
      </c>
      <c r="K60" s="94">
        <f t="shared" si="16"/>
        <v>2</v>
      </c>
      <c r="L60" s="94">
        <f t="shared" si="16"/>
        <v>2</v>
      </c>
      <c r="M60" s="94">
        <f t="shared" si="16"/>
        <v>2</v>
      </c>
      <c r="N60" s="94">
        <f t="shared" si="16"/>
        <v>2</v>
      </c>
      <c r="O60" s="94">
        <f t="shared" si="16"/>
        <v>2</v>
      </c>
      <c r="P60" s="94">
        <f t="shared" si="16"/>
        <v>2</v>
      </c>
      <c r="Q60" s="94">
        <f t="shared" si="16"/>
        <v>2</v>
      </c>
      <c r="R60" s="94">
        <f t="shared" si="16"/>
        <v>2</v>
      </c>
      <c r="S60" s="94">
        <f t="shared" si="16"/>
        <v>2</v>
      </c>
      <c r="T60" s="94">
        <f t="shared" si="16"/>
        <v>2</v>
      </c>
      <c r="U60" s="94">
        <f t="shared" si="16"/>
        <v>2</v>
      </c>
      <c r="V60" s="94">
        <f t="shared" si="16"/>
        <v>2</v>
      </c>
      <c r="W60" s="94">
        <f t="shared" si="16"/>
        <v>2</v>
      </c>
      <c r="X60" s="94"/>
      <c r="Y60" s="18">
        <f t="shared" si="12"/>
        <v>0</v>
      </c>
      <c r="Z60" s="155">
        <f t="shared" si="13"/>
        <v>0</v>
      </c>
      <c r="AA60" s="155">
        <f t="shared" si="14"/>
        <v>20</v>
      </c>
      <c r="AB60" s="155">
        <f>COUNT($D48:$W48)</f>
        <v>0</v>
      </c>
      <c r="AC60" s="18">
        <f>COUNTIF($D$40:$W$40,"熱交換型換気設備")</f>
        <v>0</v>
      </c>
      <c r="AE60" s="99">
        <v>59</v>
      </c>
    </row>
    <row r="61" spans="2:31" hidden="1" x14ac:dyDescent="0.55000000000000004">
      <c r="B61" s="96" t="s">
        <v>244</v>
      </c>
      <c r="C61" s="94"/>
      <c r="D61" s="94">
        <f t="shared" si="16"/>
        <v>2</v>
      </c>
      <c r="E61" s="94">
        <f t="shared" si="16"/>
        <v>2</v>
      </c>
      <c r="F61" s="94">
        <f t="shared" si="16"/>
        <v>2</v>
      </c>
      <c r="G61" s="94">
        <f t="shared" si="16"/>
        <v>2</v>
      </c>
      <c r="H61" s="94">
        <f t="shared" si="16"/>
        <v>2</v>
      </c>
      <c r="I61" s="94">
        <f t="shared" si="16"/>
        <v>2</v>
      </c>
      <c r="J61" s="94">
        <f t="shared" si="16"/>
        <v>2</v>
      </c>
      <c r="K61" s="94">
        <f t="shared" si="16"/>
        <v>2</v>
      </c>
      <c r="L61" s="94">
        <f t="shared" si="16"/>
        <v>2</v>
      </c>
      <c r="M61" s="94">
        <f t="shared" si="16"/>
        <v>2</v>
      </c>
      <c r="N61" s="94">
        <f t="shared" si="16"/>
        <v>2</v>
      </c>
      <c r="O61" s="94">
        <f t="shared" si="16"/>
        <v>2</v>
      </c>
      <c r="P61" s="94">
        <f t="shared" si="16"/>
        <v>2</v>
      </c>
      <c r="Q61" s="94">
        <f t="shared" si="16"/>
        <v>2</v>
      </c>
      <c r="R61" s="94">
        <f t="shared" si="16"/>
        <v>2</v>
      </c>
      <c r="S61" s="94">
        <f t="shared" si="16"/>
        <v>2</v>
      </c>
      <c r="T61" s="94">
        <f t="shared" si="16"/>
        <v>2</v>
      </c>
      <c r="U61" s="94">
        <f t="shared" si="16"/>
        <v>2</v>
      </c>
      <c r="V61" s="94">
        <f t="shared" si="16"/>
        <v>2</v>
      </c>
      <c r="W61" s="94">
        <f t="shared" si="16"/>
        <v>2</v>
      </c>
      <c r="X61" s="94" t="str">
        <f>IF(AND(AC60=Y60,AC60=Y61),"適合","非適合")</f>
        <v>適合</v>
      </c>
      <c r="Y61" s="18">
        <f t="shared" si="12"/>
        <v>0</v>
      </c>
      <c r="Z61" s="155">
        <f t="shared" si="13"/>
        <v>0</v>
      </c>
      <c r="AA61" s="155">
        <f t="shared" si="14"/>
        <v>20</v>
      </c>
      <c r="AB61" s="155">
        <f>COUNT($D49:$W49)</f>
        <v>0</v>
      </c>
      <c r="AE61" s="99">
        <v>60</v>
      </c>
    </row>
    <row r="62" spans="2:31" hidden="1" x14ac:dyDescent="0.55000000000000004">
      <c r="B62" s="96" t="s">
        <v>246</v>
      </c>
      <c r="C62" s="94"/>
      <c r="D62" s="94">
        <f t="shared" ref="D62:W62" si="17">IF(AND(D40="",D41="",D42="",D43="",D44="",D45="",D46="",D48="",D49=""),2,IF(AND(D40&lt;&gt;"",D41&lt;&gt;"",D42&lt;&gt;"",D43&lt;&gt;"",D44&lt;&gt;"",D45&lt;&gt;"",D46&lt;&gt;"",D48&lt;&gt;"",D49&lt;&gt;"",OR(D$40="顕熱交換器",D$40="熱交換型換気設備")),0,IF(AND(D40&lt;&gt;"",D42&lt;&gt;"",D43&lt;&gt;"",D44&lt;&gt;"",D45&lt;&gt;"",D46&lt;&gt;"",D48="",D49="",D$40&lt;&gt;"顕熱交換器",D$40&lt;&gt;"熱交換型換気設備"),0,1)))</f>
        <v>0</v>
      </c>
      <c r="E62" s="94">
        <f t="shared" si="17"/>
        <v>0</v>
      </c>
      <c r="F62" s="94">
        <f t="shared" si="17"/>
        <v>0</v>
      </c>
      <c r="G62" s="94">
        <f t="shared" si="17"/>
        <v>0</v>
      </c>
      <c r="H62" s="94">
        <f t="shared" si="17"/>
        <v>0</v>
      </c>
      <c r="I62" s="94">
        <f t="shared" si="17"/>
        <v>2</v>
      </c>
      <c r="J62" s="94">
        <f t="shared" si="17"/>
        <v>2</v>
      </c>
      <c r="K62" s="94">
        <f t="shared" si="17"/>
        <v>2</v>
      </c>
      <c r="L62" s="94">
        <f t="shared" si="17"/>
        <v>2</v>
      </c>
      <c r="M62" s="94">
        <f t="shared" si="17"/>
        <v>2</v>
      </c>
      <c r="N62" s="94">
        <f t="shared" si="17"/>
        <v>2</v>
      </c>
      <c r="O62" s="94">
        <f t="shared" si="17"/>
        <v>2</v>
      </c>
      <c r="P62" s="94">
        <f t="shared" si="17"/>
        <v>2</v>
      </c>
      <c r="Q62" s="94">
        <f t="shared" si="17"/>
        <v>2</v>
      </c>
      <c r="R62" s="94">
        <f t="shared" si="17"/>
        <v>2</v>
      </c>
      <c r="S62" s="94">
        <f t="shared" si="17"/>
        <v>2</v>
      </c>
      <c r="T62" s="94">
        <f t="shared" si="17"/>
        <v>2</v>
      </c>
      <c r="U62" s="94">
        <f t="shared" si="17"/>
        <v>2</v>
      </c>
      <c r="V62" s="94">
        <f t="shared" si="17"/>
        <v>2</v>
      </c>
      <c r="W62" s="94">
        <f t="shared" si="17"/>
        <v>2</v>
      </c>
      <c r="X62" s="94" t="str">
        <f>IF(OR((AC58+AC60)&lt;&gt;AB60,(AC58+AC60)&lt;&gt;AB61,Z62&gt;0),"入力確認",IF(AC62=Y62,"適合","不適合"))</f>
        <v>適合</v>
      </c>
      <c r="Y62" s="18">
        <f t="shared" si="12"/>
        <v>5</v>
      </c>
      <c r="Z62" s="155">
        <f t="shared" si="13"/>
        <v>0</v>
      </c>
      <c r="AA62" s="155">
        <f t="shared" si="14"/>
        <v>15</v>
      </c>
      <c r="AC62" s="18">
        <f>20-COUNTIF($D$40:$W$40,"")</f>
        <v>5</v>
      </c>
      <c r="AE62" s="99">
        <v>61</v>
      </c>
    </row>
    <row r="63" spans="2:31" hidden="1" x14ac:dyDescent="0.55000000000000004">
      <c r="B63" s="96" t="s">
        <v>496</v>
      </c>
      <c r="C63" s="94"/>
      <c r="D63" s="94"/>
      <c r="E63" s="94"/>
      <c r="F63" s="94"/>
      <c r="G63" s="94"/>
      <c r="H63" s="94"/>
      <c r="I63" s="94"/>
      <c r="J63" s="94"/>
      <c r="K63" s="94"/>
      <c r="L63" s="94"/>
      <c r="M63" s="94"/>
      <c r="N63" s="94"/>
      <c r="O63" s="94"/>
      <c r="P63" s="94"/>
      <c r="Q63" s="193" t="s">
        <v>497</v>
      </c>
      <c r="R63" s="94">
        <f>IF(OR(X34=0,Y34=0),X34+Y34,MAX(X34,Y34))</f>
        <v>1350</v>
      </c>
      <c r="S63" s="94"/>
      <c r="T63" s="194" t="s">
        <v>498</v>
      </c>
      <c r="U63" s="94">
        <f>IF(OR(X50=0,Y50=0),X50+Y50,MAX(X50,Y50))</f>
        <v>1200</v>
      </c>
      <c r="V63" s="94"/>
      <c r="W63" s="94"/>
      <c r="X63" s="94" t="str">
        <f>IF(OR(Z63=0,AA63=0),"適合","不適合")</f>
        <v>不適合</v>
      </c>
      <c r="Z63" s="155">
        <f>IF(AND(X34=0,X50=0),2,IF(R63&lt;=U63,0,1))</f>
        <v>1</v>
      </c>
      <c r="AA63" s="155">
        <f>IF(AND(Y34=0,Y50=0),2,IF(R63&lt;=U63,0,1))</f>
        <v>2</v>
      </c>
      <c r="AC63" s="18">
        <f>COUNTIF($D$41:$W$41,"排気")</f>
        <v>5</v>
      </c>
      <c r="AD63" s="18">
        <f>COUNTIF($D$41:$W$41,"給気")</f>
        <v>0</v>
      </c>
      <c r="AE63" s="99">
        <v>62</v>
      </c>
    </row>
    <row r="64" spans="2:31" ht="27" customHeight="1" x14ac:dyDescent="0.55000000000000004">
      <c r="B64" s="31" t="s">
        <v>241</v>
      </c>
      <c r="C64" s="32"/>
    </row>
    <row r="65" spans="2:23" x14ac:dyDescent="0.55000000000000004">
      <c r="B65" s="31"/>
      <c r="C65" s="32"/>
      <c r="E65" s="118"/>
    </row>
    <row r="66" spans="2:23" ht="42.75" customHeight="1" x14ac:dyDescent="0.55000000000000004">
      <c r="B66" s="23" t="s">
        <v>265</v>
      </c>
      <c r="C66" s="32"/>
    </row>
    <row r="67" spans="2:23" ht="9" customHeight="1" x14ac:dyDescent="0.55000000000000004">
      <c r="B67" s="18"/>
      <c r="C67" s="32"/>
    </row>
    <row r="68" spans="2:23" ht="27" customHeight="1" x14ac:dyDescent="0.55000000000000004">
      <c r="B68" s="200" t="s">
        <v>191</v>
      </c>
      <c r="C68" s="225" t="s">
        <v>131</v>
      </c>
      <c r="D68" s="225"/>
      <c r="E68" s="225"/>
      <c r="F68" s="225"/>
      <c r="G68" s="225"/>
      <c r="H68" s="226" t="s">
        <v>132</v>
      </c>
      <c r="I68" s="226"/>
      <c r="J68" s="226"/>
      <c r="K68" s="226"/>
      <c r="L68" s="226"/>
      <c r="M68" s="226"/>
      <c r="N68" s="226"/>
      <c r="O68" s="227" t="s">
        <v>2</v>
      </c>
      <c r="P68" s="227"/>
      <c r="Q68" s="227"/>
      <c r="R68" s="227"/>
      <c r="S68" s="227"/>
      <c r="T68" s="227"/>
      <c r="U68" s="223" t="s">
        <v>190</v>
      </c>
      <c r="V68" s="224"/>
      <c r="W68" s="92"/>
    </row>
    <row r="69" spans="2:23" ht="27" customHeight="1" x14ac:dyDescent="0.55000000000000004">
      <c r="B69" s="81" t="s">
        <v>153</v>
      </c>
      <c r="C69" s="301" t="s">
        <v>514</v>
      </c>
      <c r="D69" s="301"/>
      <c r="E69" s="301"/>
      <c r="F69" s="301"/>
      <c r="G69" s="301"/>
      <c r="H69" s="301" t="s">
        <v>515</v>
      </c>
      <c r="I69" s="301"/>
      <c r="J69" s="301"/>
      <c r="K69" s="301"/>
      <c r="L69" s="301"/>
      <c r="M69" s="301"/>
      <c r="N69" s="301"/>
      <c r="O69" s="301" t="s">
        <v>516</v>
      </c>
      <c r="P69" s="301"/>
      <c r="Q69" s="301"/>
      <c r="R69" s="301"/>
      <c r="S69" s="301"/>
      <c r="T69" s="301"/>
      <c r="U69" s="301" t="s">
        <v>517</v>
      </c>
      <c r="V69" s="301"/>
      <c r="W69" s="92"/>
    </row>
    <row r="70" spans="2:23" ht="27" customHeight="1" x14ac:dyDescent="0.55000000000000004">
      <c r="B70" s="75" t="s">
        <v>154</v>
      </c>
      <c r="C70" s="302" t="s">
        <v>518</v>
      </c>
      <c r="D70" s="302"/>
      <c r="E70" s="302"/>
      <c r="F70" s="302"/>
      <c r="G70" s="302"/>
      <c r="H70" s="302" t="s">
        <v>519</v>
      </c>
      <c r="I70" s="302"/>
      <c r="J70" s="302"/>
      <c r="K70" s="302"/>
      <c r="L70" s="302"/>
      <c r="M70" s="302"/>
      <c r="N70" s="302"/>
      <c r="O70" s="302" t="s">
        <v>520</v>
      </c>
      <c r="P70" s="302"/>
      <c r="Q70" s="302"/>
      <c r="R70" s="302"/>
      <c r="S70" s="302"/>
      <c r="T70" s="302"/>
      <c r="U70" s="303" t="s">
        <v>517</v>
      </c>
      <c r="V70" s="304"/>
      <c r="W70" s="92"/>
    </row>
    <row r="71" spans="2:23" ht="27" customHeight="1" x14ac:dyDescent="0.55000000000000004">
      <c r="B71" s="75" t="s">
        <v>155</v>
      </c>
      <c r="C71" s="302"/>
      <c r="D71" s="302"/>
      <c r="E71" s="302"/>
      <c r="F71" s="302"/>
      <c r="G71" s="302"/>
      <c r="H71" s="302"/>
      <c r="I71" s="302"/>
      <c r="J71" s="302"/>
      <c r="K71" s="302"/>
      <c r="L71" s="302"/>
      <c r="M71" s="302"/>
      <c r="N71" s="302"/>
      <c r="O71" s="302"/>
      <c r="P71" s="302"/>
      <c r="Q71" s="302"/>
      <c r="R71" s="302"/>
      <c r="S71" s="302"/>
      <c r="T71" s="302"/>
      <c r="U71" s="302"/>
      <c r="V71" s="302"/>
      <c r="W71" s="92"/>
    </row>
    <row r="72" spans="2:23" ht="27" customHeight="1" x14ac:dyDescent="0.55000000000000004">
      <c r="B72" s="75" t="s">
        <v>156</v>
      </c>
      <c r="C72" s="302"/>
      <c r="D72" s="302"/>
      <c r="E72" s="302"/>
      <c r="F72" s="302"/>
      <c r="G72" s="302"/>
      <c r="H72" s="302"/>
      <c r="I72" s="302"/>
      <c r="J72" s="302"/>
      <c r="K72" s="302"/>
      <c r="L72" s="302"/>
      <c r="M72" s="302"/>
      <c r="N72" s="302"/>
      <c r="O72" s="302"/>
      <c r="P72" s="302"/>
      <c r="Q72" s="302"/>
      <c r="R72" s="302"/>
      <c r="S72" s="302"/>
      <c r="T72" s="302"/>
      <c r="U72" s="302"/>
      <c r="V72" s="302"/>
      <c r="W72" s="92"/>
    </row>
    <row r="73" spans="2:23" ht="27" customHeight="1" x14ac:dyDescent="0.55000000000000004">
      <c r="B73" s="75" t="s">
        <v>157</v>
      </c>
      <c r="C73" s="302"/>
      <c r="D73" s="302"/>
      <c r="E73" s="302"/>
      <c r="F73" s="302"/>
      <c r="G73" s="302"/>
      <c r="H73" s="302"/>
      <c r="I73" s="302"/>
      <c r="J73" s="302"/>
      <c r="K73" s="302"/>
      <c r="L73" s="302"/>
      <c r="M73" s="302"/>
      <c r="N73" s="302"/>
      <c r="O73" s="302"/>
      <c r="P73" s="302"/>
      <c r="Q73" s="302"/>
      <c r="R73" s="302"/>
      <c r="S73" s="302"/>
      <c r="T73" s="302"/>
      <c r="U73" s="302"/>
      <c r="V73" s="302"/>
      <c r="W73" s="92"/>
    </row>
    <row r="74" spans="2:23" ht="27" customHeight="1" x14ac:dyDescent="0.55000000000000004">
      <c r="B74" s="75" t="s">
        <v>158</v>
      </c>
      <c r="C74" s="302"/>
      <c r="D74" s="302"/>
      <c r="E74" s="302"/>
      <c r="F74" s="302"/>
      <c r="G74" s="302"/>
      <c r="H74" s="302"/>
      <c r="I74" s="302"/>
      <c r="J74" s="302"/>
      <c r="K74" s="302"/>
      <c r="L74" s="302"/>
      <c r="M74" s="302"/>
      <c r="N74" s="302"/>
      <c r="O74" s="302"/>
      <c r="P74" s="302"/>
      <c r="Q74" s="302"/>
      <c r="R74" s="302"/>
      <c r="S74" s="302"/>
      <c r="T74" s="302"/>
      <c r="U74" s="302"/>
      <c r="V74" s="302"/>
      <c r="W74" s="92"/>
    </row>
    <row r="75" spans="2:23" ht="27" customHeight="1" x14ac:dyDescent="0.55000000000000004">
      <c r="B75" s="75" t="s">
        <v>159</v>
      </c>
      <c r="C75" s="302"/>
      <c r="D75" s="302"/>
      <c r="E75" s="302"/>
      <c r="F75" s="302"/>
      <c r="G75" s="302"/>
      <c r="H75" s="302"/>
      <c r="I75" s="302"/>
      <c r="J75" s="302"/>
      <c r="K75" s="302"/>
      <c r="L75" s="302"/>
      <c r="M75" s="302"/>
      <c r="N75" s="302"/>
      <c r="O75" s="302"/>
      <c r="P75" s="302"/>
      <c r="Q75" s="302"/>
      <c r="R75" s="302"/>
      <c r="S75" s="302"/>
      <c r="T75" s="302"/>
      <c r="U75" s="302"/>
      <c r="V75" s="302"/>
      <c r="W75" s="92"/>
    </row>
    <row r="76" spans="2:23" ht="27" customHeight="1" x14ac:dyDescent="0.55000000000000004">
      <c r="B76" s="75" t="s">
        <v>160</v>
      </c>
      <c r="C76" s="302"/>
      <c r="D76" s="302"/>
      <c r="E76" s="302"/>
      <c r="F76" s="302"/>
      <c r="G76" s="302"/>
      <c r="H76" s="302"/>
      <c r="I76" s="302"/>
      <c r="J76" s="302"/>
      <c r="K76" s="302"/>
      <c r="L76" s="302"/>
      <c r="M76" s="302"/>
      <c r="N76" s="302"/>
      <c r="O76" s="302"/>
      <c r="P76" s="302"/>
      <c r="Q76" s="302"/>
      <c r="R76" s="302"/>
      <c r="S76" s="302"/>
      <c r="T76" s="302"/>
      <c r="U76" s="302"/>
      <c r="V76" s="302"/>
      <c r="W76" s="92"/>
    </row>
    <row r="77" spans="2:23" ht="27" customHeight="1" x14ac:dyDescent="0.55000000000000004">
      <c r="B77" s="75" t="s">
        <v>161</v>
      </c>
      <c r="C77" s="302"/>
      <c r="D77" s="302"/>
      <c r="E77" s="302"/>
      <c r="F77" s="302"/>
      <c r="G77" s="302"/>
      <c r="H77" s="302"/>
      <c r="I77" s="302"/>
      <c r="J77" s="302"/>
      <c r="K77" s="302"/>
      <c r="L77" s="302"/>
      <c r="M77" s="302"/>
      <c r="N77" s="302"/>
      <c r="O77" s="302"/>
      <c r="P77" s="302"/>
      <c r="Q77" s="302"/>
      <c r="R77" s="302"/>
      <c r="S77" s="302"/>
      <c r="T77" s="302"/>
      <c r="U77" s="302"/>
      <c r="V77" s="302"/>
      <c r="W77" s="92"/>
    </row>
    <row r="78" spans="2:23" ht="27" customHeight="1" x14ac:dyDescent="0.55000000000000004">
      <c r="B78" s="75" t="s">
        <v>162</v>
      </c>
      <c r="C78" s="302"/>
      <c r="D78" s="302"/>
      <c r="E78" s="302"/>
      <c r="F78" s="302"/>
      <c r="G78" s="302"/>
      <c r="H78" s="302"/>
      <c r="I78" s="302"/>
      <c r="J78" s="302"/>
      <c r="K78" s="302"/>
      <c r="L78" s="302"/>
      <c r="M78" s="302"/>
      <c r="N78" s="302"/>
      <c r="O78" s="302"/>
      <c r="P78" s="302"/>
      <c r="Q78" s="302"/>
      <c r="R78" s="302"/>
      <c r="S78" s="302"/>
      <c r="T78" s="302"/>
      <c r="U78" s="302"/>
      <c r="V78" s="302"/>
      <c r="W78" s="92"/>
    </row>
    <row r="79" spans="2:23" ht="27" customHeight="1" x14ac:dyDescent="0.55000000000000004">
      <c r="B79" s="75" t="s">
        <v>340</v>
      </c>
      <c r="C79" s="302"/>
      <c r="D79" s="302"/>
      <c r="E79" s="302"/>
      <c r="F79" s="302"/>
      <c r="G79" s="302"/>
      <c r="H79" s="302"/>
      <c r="I79" s="302"/>
      <c r="J79" s="302"/>
      <c r="K79" s="302"/>
      <c r="L79" s="302"/>
      <c r="M79" s="302"/>
      <c r="N79" s="302"/>
      <c r="O79" s="302"/>
      <c r="P79" s="302"/>
      <c r="Q79" s="302"/>
      <c r="R79" s="302"/>
      <c r="S79" s="302"/>
      <c r="T79" s="302"/>
      <c r="U79" s="302"/>
      <c r="V79" s="302"/>
      <c r="W79" s="92"/>
    </row>
    <row r="80" spans="2:23" ht="27" customHeight="1" x14ac:dyDescent="0.55000000000000004">
      <c r="B80" s="75" t="s">
        <v>163</v>
      </c>
      <c r="C80" s="302"/>
      <c r="D80" s="302"/>
      <c r="E80" s="302"/>
      <c r="F80" s="302"/>
      <c r="G80" s="302"/>
      <c r="H80" s="302"/>
      <c r="I80" s="302"/>
      <c r="J80" s="302"/>
      <c r="K80" s="302"/>
      <c r="L80" s="302"/>
      <c r="M80" s="302"/>
      <c r="N80" s="302"/>
      <c r="O80" s="302"/>
      <c r="P80" s="302"/>
      <c r="Q80" s="302"/>
      <c r="R80" s="302"/>
      <c r="S80" s="302"/>
      <c r="T80" s="302"/>
      <c r="U80" s="302"/>
      <c r="V80" s="302"/>
      <c r="W80" s="92"/>
    </row>
    <row r="81" spans="2:24" ht="27" customHeight="1" x14ac:dyDescent="0.55000000000000004">
      <c r="B81" s="75" t="s">
        <v>164</v>
      </c>
      <c r="C81" s="302"/>
      <c r="D81" s="302"/>
      <c r="E81" s="302"/>
      <c r="F81" s="302"/>
      <c r="G81" s="302"/>
      <c r="H81" s="302"/>
      <c r="I81" s="302"/>
      <c r="J81" s="302"/>
      <c r="K81" s="302"/>
      <c r="L81" s="302"/>
      <c r="M81" s="302"/>
      <c r="N81" s="302"/>
      <c r="O81" s="302"/>
      <c r="P81" s="302"/>
      <c r="Q81" s="302"/>
      <c r="R81" s="302"/>
      <c r="S81" s="302"/>
      <c r="T81" s="302"/>
      <c r="U81" s="302"/>
      <c r="V81" s="302"/>
      <c r="W81" s="92"/>
    </row>
    <row r="82" spans="2:24" ht="27" customHeight="1" x14ac:dyDescent="0.55000000000000004">
      <c r="B82" s="75" t="s">
        <v>165</v>
      </c>
      <c r="C82" s="302"/>
      <c r="D82" s="302"/>
      <c r="E82" s="302"/>
      <c r="F82" s="302"/>
      <c r="G82" s="302"/>
      <c r="H82" s="302"/>
      <c r="I82" s="302"/>
      <c r="J82" s="302"/>
      <c r="K82" s="302"/>
      <c r="L82" s="302"/>
      <c r="M82" s="302"/>
      <c r="N82" s="302"/>
      <c r="O82" s="302"/>
      <c r="P82" s="302"/>
      <c r="Q82" s="302"/>
      <c r="R82" s="302"/>
      <c r="S82" s="302"/>
      <c r="T82" s="302"/>
      <c r="U82" s="302"/>
      <c r="V82" s="302"/>
      <c r="W82" s="92"/>
    </row>
    <row r="83" spans="2:24" ht="27" customHeight="1" x14ac:dyDescent="0.55000000000000004">
      <c r="B83" s="75" t="s">
        <v>166</v>
      </c>
      <c r="C83" s="302"/>
      <c r="D83" s="302"/>
      <c r="E83" s="302"/>
      <c r="F83" s="302"/>
      <c r="G83" s="302"/>
      <c r="H83" s="302"/>
      <c r="I83" s="302"/>
      <c r="J83" s="302"/>
      <c r="K83" s="302"/>
      <c r="L83" s="302"/>
      <c r="M83" s="302"/>
      <c r="N83" s="302"/>
      <c r="O83" s="302"/>
      <c r="P83" s="302"/>
      <c r="Q83" s="302"/>
      <c r="R83" s="302"/>
      <c r="S83" s="302"/>
      <c r="T83" s="302"/>
      <c r="U83" s="302"/>
      <c r="V83" s="302"/>
      <c r="W83" s="92"/>
    </row>
    <row r="84" spans="2:24" ht="27" customHeight="1" x14ac:dyDescent="0.55000000000000004">
      <c r="B84" s="75" t="s">
        <v>167</v>
      </c>
      <c r="C84" s="302"/>
      <c r="D84" s="302"/>
      <c r="E84" s="302"/>
      <c r="F84" s="302"/>
      <c r="G84" s="302"/>
      <c r="H84" s="302"/>
      <c r="I84" s="302"/>
      <c r="J84" s="302"/>
      <c r="K84" s="302"/>
      <c r="L84" s="302"/>
      <c r="M84" s="302"/>
      <c r="N84" s="302"/>
      <c r="O84" s="302"/>
      <c r="P84" s="302"/>
      <c r="Q84" s="302"/>
      <c r="R84" s="302"/>
      <c r="S84" s="302"/>
      <c r="T84" s="302"/>
      <c r="U84" s="302"/>
      <c r="V84" s="302"/>
      <c r="W84" s="92"/>
    </row>
    <row r="85" spans="2:24" ht="27" customHeight="1" x14ac:dyDescent="0.55000000000000004">
      <c r="B85" s="75" t="s">
        <v>168</v>
      </c>
      <c r="C85" s="302"/>
      <c r="D85" s="302"/>
      <c r="E85" s="302"/>
      <c r="F85" s="302"/>
      <c r="G85" s="302"/>
      <c r="H85" s="302"/>
      <c r="I85" s="302"/>
      <c r="J85" s="302"/>
      <c r="K85" s="302"/>
      <c r="L85" s="302"/>
      <c r="M85" s="302"/>
      <c r="N85" s="302"/>
      <c r="O85" s="302"/>
      <c r="P85" s="302"/>
      <c r="Q85" s="302"/>
      <c r="R85" s="302"/>
      <c r="S85" s="302"/>
      <c r="T85" s="302"/>
      <c r="U85" s="302"/>
      <c r="V85" s="302"/>
      <c r="W85" s="92"/>
    </row>
    <row r="86" spans="2:24" ht="27" customHeight="1" x14ac:dyDescent="0.55000000000000004">
      <c r="B86" s="75" t="s">
        <v>169</v>
      </c>
      <c r="C86" s="302"/>
      <c r="D86" s="302"/>
      <c r="E86" s="302"/>
      <c r="F86" s="302"/>
      <c r="G86" s="302"/>
      <c r="H86" s="302"/>
      <c r="I86" s="302"/>
      <c r="J86" s="302"/>
      <c r="K86" s="302"/>
      <c r="L86" s="302"/>
      <c r="M86" s="302"/>
      <c r="N86" s="302"/>
      <c r="O86" s="302"/>
      <c r="P86" s="302"/>
      <c r="Q86" s="302"/>
      <c r="R86" s="302"/>
      <c r="S86" s="302"/>
      <c r="T86" s="302"/>
      <c r="U86" s="302"/>
      <c r="V86" s="302"/>
      <c r="W86" s="92"/>
    </row>
    <row r="87" spans="2:24" ht="27" customHeight="1" x14ac:dyDescent="0.55000000000000004">
      <c r="B87" s="75" t="s">
        <v>170</v>
      </c>
      <c r="C87" s="302"/>
      <c r="D87" s="302"/>
      <c r="E87" s="302"/>
      <c r="F87" s="302"/>
      <c r="G87" s="302"/>
      <c r="H87" s="302"/>
      <c r="I87" s="302"/>
      <c r="J87" s="302"/>
      <c r="K87" s="302"/>
      <c r="L87" s="302"/>
      <c r="M87" s="302"/>
      <c r="N87" s="302"/>
      <c r="O87" s="302"/>
      <c r="P87" s="302"/>
      <c r="Q87" s="302"/>
      <c r="R87" s="302"/>
      <c r="S87" s="302"/>
      <c r="T87" s="302"/>
      <c r="U87" s="302"/>
      <c r="V87" s="302"/>
      <c r="W87" s="92"/>
    </row>
    <row r="88" spans="2:24" ht="27" customHeight="1" x14ac:dyDescent="0.55000000000000004">
      <c r="B88" s="75" t="s">
        <v>171</v>
      </c>
      <c r="C88" s="305"/>
      <c r="D88" s="305"/>
      <c r="E88" s="305"/>
      <c r="F88" s="305"/>
      <c r="G88" s="305"/>
      <c r="H88" s="305"/>
      <c r="I88" s="305"/>
      <c r="J88" s="305"/>
      <c r="K88" s="305"/>
      <c r="L88" s="305"/>
      <c r="M88" s="305"/>
      <c r="N88" s="305"/>
      <c r="O88" s="305"/>
      <c r="P88" s="305"/>
      <c r="Q88" s="305"/>
      <c r="R88" s="305"/>
      <c r="S88" s="305"/>
      <c r="T88" s="305"/>
      <c r="U88" s="305"/>
      <c r="V88" s="305"/>
      <c r="W88" s="92"/>
    </row>
    <row r="89" spans="2:24" x14ac:dyDescent="0.55000000000000004">
      <c r="B89" s="76"/>
      <c r="C89" s="128"/>
      <c r="D89" s="128"/>
      <c r="E89" s="128"/>
      <c r="F89" s="128"/>
      <c r="G89" s="128"/>
      <c r="H89" s="128"/>
      <c r="I89" s="129"/>
      <c r="J89" s="129"/>
      <c r="K89" s="129"/>
      <c r="L89" s="129"/>
      <c r="M89" s="119"/>
      <c r="N89" s="127"/>
      <c r="O89" s="127"/>
      <c r="P89" s="127"/>
      <c r="Q89" s="127"/>
      <c r="R89" s="127"/>
      <c r="S89" s="127"/>
      <c r="T89" s="127"/>
      <c r="U89" s="127"/>
      <c r="V89" s="127"/>
      <c r="W89" s="127"/>
    </row>
    <row r="90" spans="2:24" ht="27" customHeight="1" x14ac:dyDescent="0.55000000000000004">
      <c r="B90" s="200" t="s">
        <v>192</v>
      </c>
      <c r="C90" s="225" t="s">
        <v>131</v>
      </c>
      <c r="D90" s="225"/>
      <c r="E90" s="225"/>
      <c r="F90" s="225"/>
      <c r="G90" s="225"/>
      <c r="H90" s="226" t="s">
        <v>132</v>
      </c>
      <c r="I90" s="226"/>
      <c r="J90" s="226"/>
      <c r="K90" s="226"/>
      <c r="L90" s="226"/>
      <c r="M90" s="226"/>
      <c r="N90" s="226"/>
      <c r="O90" s="227" t="s">
        <v>2</v>
      </c>
      <c r="P90" s="227"/>
      <c r="Q90" s="227"/>
      <c r="R90" s="227"/>
      <c r="S90" s="227"/>
      <c r="T90" s="227"/>
      <c r="U90" s="223" t="s">
        <v>190</v>
      </c>
      <c r="V90" s="224"/>
      <c r="W90" s="223" t="s">
        <v>212</v>
      </c>
      <c r="X90" s="224"/>
    </row>
    <row r="91" spans="2:24" ht="27" customHeight="1" x14ac:dyDescent="0.55000000000000004">
      <c r="B91" s="121" t="s">
        <v>276</v>
      </c>
      <c r="C91" s="306" t="s">
        <v>514</v>
      </c>
      <c r="D91" s="306"/>
      <c r="E91" s="306"/>
      <c r="F91" s="306"/>
      <c r="G91" s="306"/>
      <c r="H91" s="301" t="s">
        <v>521</v>
      </c>
      <c r="I91" s="301"/>
      <c r="J91" s="301"/>
      <c r="K91" s="301"/>
      <c r="L91" s="301"/>
      <c r="M91" s="301"/>
      <c r="N91" s="301"/>
      <c r="O91" s="306" t="s">
        <v>522</v>
      </c>
      <c r="P91" s="306"/>
      <c r="Q91" s="306"/>
      <c r="R91" s="306"/>
      <c r="S91" s="306"/>
      <c r="T91" s="306"/>
      <c r="U91" s="301" t="s">
        <v>517</v>
      </c>
      <c r="V91" s="301"/>
      <c r="W91" s="307"/>
      <c r="X91" s="308"/>
    </row>
    <row r="92" spans="2:24" ht="27" customHeight="1" x14ac:dyDescent="0.55000000000000004">
      <c r="B92" s="122" t="s">
        <v>277</v>
      </c>
      <c r="C92" s="302" t="s">
        <v>514</v>
      </c>
      <c r="D92" s="302"/>
      <c r="E92" s="302"/>
      <c r="F92" s="302"/>
      <c r="G92" s="302"/>
      <c r="H92" s="302" t="s">
        <v>523</v>
      </c>
      <c r="I92" s="302"/>
      <c r="J92" s="302"/>
      <c r="K92" s="302"/>
      <c r="L92" s="302"/>
      <c r="M92" s="302"/>
      <c r="N92" s="302"/>
      <c r="O92" s="302" t="s">
        <v>522</v>
      </c>
      <c r="P92" s="302"/>
      <c r="Q92" s="302"/>
      <c r="R92" s="302"/>
      <c r="S92" s="302"/>
      <c r="T92" s="302"/>
      <c r="U92" s="302" t="s">
        <v>517</v>
      </c>
      <c r="V92" s="302"/>
      <c r="W92" s="309"/>
      <c r="X92" s="310"/>
    </row>
    <row r="93" spans="2:24" ht="27" customHeight="1" x14ac:dyDescent="0.55000000000000004">
      <c r="B93" s="122" t="s">
        <v>278</v>
      </c>
      <c r="C93" s="302" t="s">
        <v>524</v>
      </c>
      <c r="D93" s="302"/>
      <c r="E93" s="302"/>
      <c r="F93" s="302"/>
      <c r="G93" s="302"/>
      <c r="H93" s="302" t="s">
        <v>525</v>
      </c>
      <c r="I93" s="302"/>
      <c r="J93" s="302"/>
      <c r="K93" s="302"/>
      <c r="L93" s="302"/>
      <c r="M93" s="302"/>
      <c r="N93" s="302"/>
      <c r="O93" s="302" t="s">
        <v>526</v>
      </c>
      <c r="P93" s="302"/>
      <c r="Q93" s="302"/>
      <c r="R93" s="302"/>
      <c r="S93" s="302"/>
      <c r="T93" s="302"/>
      <c r="U93" s="302" t="s">
        <v>517</v>
      </c>
      <c r="V93" s="302"/>
      <c r="W93" s="309"/>
      <c r="X93" s="310"/>
    </row>
    <row r="94" spans="2:24" ht="27" customHeight="1" x14ac:dyDescent="0.55000000000000004">
      <c r="B94" s="122" t="s">
        <v>279</v>
      </c>
      <c r="C94" s="302" t="s">
        <v>527</v>
      </c>
      <c r="D94" s="302"/>
      <c r="E94" s="302"/>
      <c r="F94" s="302"/>
      <c r="G94" s="302"/>
      <c r="H94" s="302" t="s">
        <v>528</v>
      </c>
      <c r="I94" s="302"/>
      <c r="J94" s="302"/>
      <c r="K94" s="302"/>
      <c r="L94" s="302"/>
      <c r="M94" s="302"/>
      <c r="N94" s="302"/>
      <c r="O94" s="303" t="s">
        <v>529</v>
      </c>
      <c r="P94" s="311"/>
      <c r="Q94" s="311"/>
      <c r="R94" s="311"/>
      <c r="S94" s="311"/>
      <c r="T94" s="304"/>
      <c r="U94" s="302" t="s">
        <v>530</v>
      </c>
      <c r="V94" s="302"/>
      <c r="W94" s="309"/>
      <c r="X94" s="310"/>
    </row>
    <row r="95" spans="2:24" ht="27" customHeight="1" x14ac:dyDescent="0.55000000000000004">
      <c r="B95" s="122" t="s">
        <v>280</v>
      </c>
      <c r="C95" s="302" t="s">
        <v>531</v>
      </c>
      <c r="D95" s="302"/>
      <c r="E95" s="302"/>
      <c r="F95" s="302"/>
      <c r="G95" s="302"/>
      <c r="H95" s="302" t="s">
        <v>532</v>
      </c>
      <c r="I95" s="302"/>
      <c r="J95" s="302"/>
      <c r="K95" s="302"/>
      <c r="L95" s="302"/>
      <c r="M95" s="302"/>
      <c r="N95" s="302"/>
      <c r="O95" s="302" t="s">
        <v>533</v>
      </c>
      <c r="P95" s="302"/>
      <c r="Q95" s="302"/>
      <c r="R95" s="302"/>
      <c r="S95" s="302"/>
      <c r="T95" s="302"/>
      <c r="U95" s="302" t="s">
        <v>530</v>
      </c>
      <c r="V95" s="302"/>
      <c r="W95" s="309"/>
      <c r="X95" s="310"/>
    </row>
    <row r="96" spans="2:24" ht="27" customHeight="1" x14ac:dyDescent="0.55000000000000004">
      <c r="B96" s="122" t="s">
        <v>281</v>
      </c>
      <c r="C96" s="302"/>
      <c r="D96" s="302"/>
      <c r="E96" s="302"/>
      <c r="F96" s="302"/>
      <c r="G96" s="302"/>
      <c r="H96" s="302"/>
      <c r="I96" s="302"/>
      <c r="J96" s="302"/>
      <c r="K96" s="302"/>
      <c r="L96" s="302"/>
      <c r="M96" s="302"/>
      <c r="N96" s="302"/>
      <c r="O96" s="302"/>
      <c r="P96" s="302"/>
      <c r="Q96" s="302"/>
      <c r="R96" s="302"/>
      <c r="S96" s="302"/>
      <c r="T96" s="302"/>
      <c r="U96" s="302"/>
      <c r="V96" s="302"/>
      <c r="W96" s="309"/>
      <c r="X96" s="310"/>
    </row>
    <row r="97" spans="2:24" ht="27" customHeight="1" x14ac:dyDescent="0.55000000000000004">
      <c r="B97" s="122" t="s">
        <v>282</v>
      </c>
      <c r="C97" s="302"/>
      <c r="D97" s="302"/>
      <c r="E97" s="302"/>
      <c r="F97" s="302"/>
      <c r="G97" s="302"/>
      <c r="H97" s="302"/>
      <c r="I97" s="302"/>
      <c r="J97" s="302"/>
      <c r="K97" s="302"/>
      <c r="L97" s="302"/>
      <c r="M97" s="302"/>
      <c r="N97" s="302"/>
      <c r="O97" s="302"/>
      <c r="P97" s="302"/>
      <c r="Q97" s="302"/>
      <c r="R97" s="302"/>
      <c r="S97" s="302"/>
      <c r="T97" s="302"/>
      <c r="U97" s="302"/>
      <c r="V97" s="302"/>
      <c r="W97" s="309"/>
      <c r="X97" s="310"/>
    </row>
    <row r="98" spans="2:24" ht="27" customHeight="1" x14ac:dyDescent="0.55000000000000004">
      <c r="B98" s="122" t="s">
        <v>283</v>
      </c>
      <c r="C98" s="302"/>
      <c r="D98" s="302"/>
      <c r="E98" s="302"/>
      <c r="F98" s="302"/>
      <c r="G98" s="302"/>
      <c r="H98" s="302"/>
      <c r="I98" s="302"/>
      <c r="J98" s="302"/>
      <c r="K98" s="302"/>
      <c r="L98" s="302"/>
      <c r="M98" s="302"/>
      <c r="N98" s="302"/>
      <c r="O98" s="302"/>
      <c r="P98" s="302"/>
      <c r="Q98" s="302"/>
      <c r="R98" s="302"/>
      <c r="S98" s="302"/>
      <c r="T98" s="302"/>
      <c r="U98" s="302"/>
      <c r="V98" s="302"/>
      <c r="W98" s="309"/>
      <c r="X98" s="310"/>
    </row>
    <row r="99" spans="2:24" ht="27" customHeight="1" x14ac:dyDescent="0.55000000000000004">
      <c r="B99" s="122" t="s">
        <v>284</v>
      </c>
      <c r="C99" s="302"/>
      <c r="D99" s="302"/>
      <c r="E99" s="302"/>
      <c r="F99" s="302"/>
      <c r="G99" s="302"/>
      <c r="H99" s="302"/>
      <c r="I99" s="302"/>
      <c r="J99" s="302"/>
      <c r="K99" s="302"/>
      <c r="L99" s="302"/>
      <c r="M99" s="302"/>
      <c r="N99" s="302"/>
      <c r="O99" s="302"/>
      <c r="P99" s="302"/>
      <c r="Q99" s="302"/>
      <c r="R99" s="302"/>
      <c r="S99" s="302"/>
      <c r="T99" s="302"/>
      <c r="U99" s="302"/>
      <c r="V99" s="302"/>
      <c r="W99" s="309"/>
      <c r="X99" s="310"/>
    </row>
    <row r="100" spans="2:24" ht="27" customHeight="1" x14ac:dyDescent="0.55000000000000004">
      <c r="B100" s="122" t="s">
        <v>285</v>
      </c>
      <c r="C100" s="302"/>
      <c r="D100" s="302"/>
      <c r="E100" s="302"/>
      <c r="F100" s="302"/>
      <c r="G100" s="302"/>
      <c r="H100" s="302"/>
      <c r="I100" s="302"/>
      <c r="J100" s="302"/>
      <c r="K100" s="302"/>
      <c r="L100" s="302"/>
      <c r="M100" s="302"/>
      <c r="N100" s="302"/>
      <c r="O100" s="302"/>
      <c r="P100" s="302"/>
      <c r="Q100" s="302"/>
      <c r="R100" s="302"/>
      <c r="S100" s="302"/>
      <c r="T100" s="302"/>
      <c r="U100" s="302"/>
      <c r="V100" s="302"/>
      <c r="W100" s="309"/>
      <c r="X100" s="310"/>
    </row>
    <row r="101" spans="2:24" ht="27" customHeight="1" x14ac:dyDescent="0.55000000000000004">
      <c r="B101" s="122" t="s">
        <v>341</v>
      </c>
      <c r="C101" s="302"/>
      <c r="D101" s="302"/>
      <c r="E101" s="302"/>
      <c r="F101" s="302"/>
      <c r="G101" s="302"/>
      <c r="H101" s="302"/>
      <c r="I101" s="302"/>
      <c r="J101" s="302"/>
      <c r="K101" s="302"/>
      <c r="L101" s="302"/>
      <c r="M101" s="302"/>
      <c r="N101" s="302"/>
      <c r="O101" s="302"/>
      <c r="P101" s="302"/>
      <c r="Q101" s="302"/>
      <c r="R101" s="302"/>
      <c r="S101" s="302"/>
      <c r="T101" s="302"/>
      <c r="U101" s="302"/>
      <c r="V101" s="302"/>
      <c r="W101" s="309"/>
      <c r="X101" s="310"/>
    </row>
    <row r="102" spans="2:24" ht="27" customHeight="1" x14ac:dyDescent="0.55000000000000004">
      <c r="B102" s="122" t="s">
        <v>342</v>
      </c>
      <c r="C102" s="302"/>
      <c r="D102" s="302"/>
      <c r="E102" s="302"/>
      <c r="F102" s="302"/>
      <c r="G102" s="302"/>
      <c r="H102" s="302"/>
      <c r="I102" s="302"/>
      <c r="J102" s="302"/>
      <c r="K102" s="302"/>
      <c r="L102" s="302"/>
      <c r="M102" s="302"/>
      <c r="N102" s="302"/>
      <c r="O102" s="302"/>
      <c r="P102" s="302"/>
      <c r="Q102" s="302"/>
      <c r="R102" s="302"/>
      <c r="S102" s="302"/>
      <c r="T102" s="302"/>
      <c r="U102" s="302"/>
      <c r="V102" s="302"/>
      <c r="W102" s="309"/>
      <c r="X102" s="310"/>
    </row>
    <row r="103" spans="2:24" ht="27" customHeight="1" x14ac:dyDescent="0.55000000000000004">
      <c r="B103" s="122" t="s">
        <v>343</v>
      </c>
      <c r="C103" s="302"/>
      <c r="D103" s="302"/>
      <c r="E103" s="302"/>
      <c r="F103" s="302"/>
      <c r="G103" s="302"/>
      <c r="H103" s="302"/>
      <c r="I103" s="302"/>
      <c r="J103" s="302"/>
      <c r="K103" s="302"/>
      <c r="L103" s="302"/>
      <c r="M103" s="302"/>
      <c r="N103" s="302"/>
      <c r="O103" s="302"/>
      <c r="P103" s="302"/>
      <c r="Q103" s="302"/>
      <c r="R103" s="302"/>
      <c r="S103" s="302"/>
      <c r="T103" s="302"/>
      <c r="U103" s="302"/>
      <c r="V103" s="302"/>
      <c r="W103" s="309"/>
      <c r="X103" s="310"/>
    </row>
    <row r="104" spans="2:24" ht="27" customHeight="1" x14ac:dyDescent="0.55000000000000004">
      <c r="B104" s="122" t="s">
        <v>344</v>
      </c>
      <c r="C104" s="302"/>
      <c r="D104" s="302"/>
      <c r="E104" s="302"/>
      <c r="F104" s="302"/>
      <c r="G104" s="302"/>
      <c r="H104" s="302"/>
      <c r="I104" s="302"/>
      <c r="J104" s="302"/>
      <c r="K104" s="302"/>
      <c r="L104" s="302"/>
      <c r="M104" s="302"/>
      <c r="N104" s="302"/>
      <c r="O104" s="302"/>
      <c r="P104" s="302"/>
      <c r="Q104" s="302"/>
      <c r="R104" s="302"/>
      <c r="S104" s="302"/>
      <c r="T104" s="302"/>
      <c r="U104" s="302"/>
      <c r="V104" s="302"/>
      <c r="W104" s="309"/>
      <c r="X104" s="310"/>
    </row>
    <row r="105" spans="2:24" ht="27" customHeight="1" x14ac:dyDescent="0.55000000000000004">
      <c r="B105" s="122" t="s">
        <v>345</v>
      </c>
      <c r="C105" s="302"/>
      <c r="D105" s="302"/>
      <c r="E105" s="302"/>
      <c r="F105" s="302"/>
      <c r="G105" s="302"/>
      <c r="H105" s="302"/>
      <c r="I105" s="302"/>
      <c r="J105" s="302"/>
      <c r="K105" s="302"/>
      <c r="L105" s="302"/>
      <c r="M105" s="302"/>
      <c r="N105" s="302"/>
      <c r="O105" s="302"/>
      <c r="P105" s="302"/>
      <c r="Q105" s="302"/>
      <c r="R105" s="302"/>
      <c r="S105" s="302"/>
      <c r="T105" s="302"/>
      <c r="U105" s="302"/>
      <c r="V105" s="302"/>
      <c r="W105" s="309"/>
      <c r="X105" s="310"/>
    </row>
    <row r="106" spans="2:24" ht="27" customHeight="1" x14ac:dyDescent="0.55000000000000004">
      <c r="B106" s="122" t="s">
        <v>346</v>
      </c>
      <c r="C106" s="302"/>
      <c r="D106" s="302"/>
      <c r="E106" s="302"/>
      <c r="F106" s="302"/>
      <c r="G106" s="302"/>
      <c r="H106" s="302"/>
      <c r="I106" s="302"/>
      <c r="J106" s="302"/>
      <c r="K106" s="302"/>
      <c r="L106" s="302"/>
      <c r="M106" s="302"/>
      <c r="N106" s="302"/>
      <c r="O106" s="302"/>
      <c r="P106" s="302"/>
      <c r="Q106" s="302"/>
      <c r="R106" s="302"/>
      <c r="S106" s="302"/>
      <c r="T106" s="302"/>
      <c r="U106" s="302"/>
      <c r="V106" s="302"/>
      <c r="W106" s="309"/>
      <c r="X106" s="310"/>
    </row>
    <row r="107" spans="2:24" ht="27" customHeight="1" x14ac:dyDescent="0.55000000000000004">
      <c r="B107" s="122" t="s">
        <v>347</v>
      </c>
      <c r="C107" s="302"/>
      <c r="D107" s="302"/>
      <c r="E107" s="302"/>
      <c r="F107" s="302"/>
      <c r="G107" s="302"/>
      <c r="H107" s="302"/>
      <c r="I107" s="302"/>
      <c r="J107" s="302"/>
      <c r="K107" s="302"/>
      <c r="L107" s="302"/>
      <c r="M107" s="302"/>
      <c r="N107" s="302"/>
      <c r="O107" s="302"/>
      <c r="P107" s="302"/>
      <c r="Q107" s="302"/>
      <c r="R107" s="302"/>
      <c r="S107" s="302"/>
      <c r="T107" s="302"/>
      <c r="U107" s="302"/>
      <c r="V107" s="302"/>
      <c r="W107" s="309"/>
      <c r="X107" s="310"/>
    </row>
    <row r="108" spans="2:24" ht="27" customHeight="1" x14ac:dyDescent="0.55000000000000004">
      <c r="B108" s="122" t="s">
        <v>348</v>
      </c>
      <c r="C108" s="302"/>
      <c r="D108" s="302"/>
      <c r="E108" s="302"/>
      <c r="F108" s="302"/>
      <c r="G108" s="302"/>
      <c r="H108" s="302"/>
      <c r="I108" s="302"/>
      <c r="J108" s="302"/>
      <c r="K108" s="302"/>
      <c r="L108" s="302"/>
      <c r="M108" s="302"/>
      <c r="N108" s="302"/>
      <c r="O108" s="302"/>
      <c r="P108" s="302"/>
      <c r="Q108" s="302"/>
      <c r="R108" s="302"/>
      <c r="S108" s="302"/>
      <c r="T108" s="302"/>
      <c r="U108" s="302"/>
      <c r="V108" s="302"/>
      <c r="W108" s="309"/>
      <c r="X108" s="310"/>
    </row>
    <row r="109" spans="2:24" ht="27" hidden="1" customHeight="1" x14ac:dyDescent="0.55000000000000004">
      <c r="B109" s="122" t="s">
        <v>349</v>
      </c>
      <c r="C109" s="302"/>
      <c r="D109" s="302"/>
      <c r="E109" s="302"/>
      <c r="F109" s="302"/>
      <c r="G109" s="302"/>
      <c r="H109" s="302"/>
      <c r="I109" s="302"/>
      <c r="J109" s="302"/>
      <c r="K109" s="302"/>
      <c r="L109" s="302"/>
      <c r="M109" s="302"/>
      <c r="N109" s="302"/>
      <c r="O109" s="302"/>
      <c r="P109" s="302"/>
      <c r="Q109" s="302"/>
      <c r="R109" s="302"/>
      <c r="S109" s="302"/>
      <c r="T109" s="302"/>
      <c r="U109" s="302"/>
      <c r="V109" s="302"/>
      <c r="W109" s="309"/>
      <c r="X109" s="310"/>
    </row>
    <row r="110" spans="2:24" ht="27" hidden="1" customHeight="1" x14ac:dyDescent="0.55000000000000004">
      <c r="B110" s="123" t="s">
        <v>350</v>
      </c>
      <c r="C110" s="305"/>
      <c r="D110" s="305"/>
      <c r="E110" s="305"/>
      <c r="F110" s="305"/>
      <c r="G110" s="305"/>
      <c r="H110" s="305"/>
      <c r="I110" s="305"/>
      <c r="J110" s="305"/>
      <c r="K110" s="305"/>
      <c r="L110" s="305"/>
      <c r="M110" s="305"/>
      <c r="N110" s="305"/>
      <c r="O110" s="305"/>
      <c r="P110" s="305"/>
      <c r="Q110" s="305"/>
      <c r="R110" s="305"/>
      <c r="S110" s="305"/>
      <c r="T110" s="305"/>
      <c r="U110" s="305"/>
      <c r="V110" s="305"/>
      <c r="W110" s="312"/>
      <c r="X110" s="313"/>
    </row>
    <row r="111" spans="2:24" hidden="1" x14ac:dyDescent="0.55000000000000004">
      <c r="B111" s="31"/>
      <c r="C111" s="32"/>
    </row>
    <row r="112" spans="2:24" ht="14.25" customHeight="1" thickBot="1" x14ac:dyDescent="0.6">
      <c r="B112" s="32"/>
      <c r="C112" s="32"/>
    </row>
    <row r="113" spans="2:27" ht="36" customHeight="1" thickBot="1" x14ac:dyDescent="0.6">
      <c r="B113" s="236" t="s">
        <v>229</v>
      </c>
      <c r="C113" s="237"/>
      <c r="D113" s="237"/>
      <c r="E113" s="237"/>
      <c r="F113" s="238"/>
      <c r="G113" s="314" t="s">
        <v>534</v>
      </c>
      <c r="H113" s="315"/>
      <c r="M113" s="39"/>
      <c r="N113" s="39"/>
      <c r="O113" s="39"/>
      <c r="P113" s="39"/>
      <c r="Q113" s="39"/>
      <c r="R113" s="39"/>
      <c r="S113" s="39"/>
      <c r="T113" s="39"/>
      <c r="U113" s="39"/>
      <c r="V113" s="39"/>
      <c r="W113" s="39"/>
    </row>
    <row r="114" spans="2:27" ht="27" customHeight="1" x14ac:dyDescent="0.55000000000000004">
      <c r="B114" s="95" t="str">
        <f>IF(G113="実施を選択","",IF(G113="はい","※「はい」を選択した場合は、【３．空調設備の新旧仕様入力表】に必要事項を入力してください。","※「いいえ」を選択した場合は、【３．空調設備の新旧仕様表】の入力は不要です。"))</f>
        <v>※「はい」を選択した場合は、【３．空調設備の新旧仕様入力表】に必要事項を入力してください。</v>
      </c>
      <c r="C114" s="24"/>
      <c r="M114" s="39"/>
      <c r="N114" s="39"/>
      <c r="O114" s="39"/>
      <c r="P114" s="39"/>
      <c r="Q114" s="39"/>
      <c r="R114" s="39"/>
      <c r="S114" s="39"/>
      <c r="T114" s="39"/>
      <c r="U114" s="39"/>
      <c r="V114" s="39"/>
      <c r="W114" s="39"/>
    </row>
    <row r="115" spans="2:27" ht="8.25" customHeight="1" x14ac:dyDescent="0.55000000000000004">
      <c r="B115" s="95"/>
      <c r="C115" s="24"/>
      <c r="M115" s="39"/>
      <c r="N115" s="39"/>
      <c r="O115" s="39"/>
      <c r="P115" s="39"/>
      <c r="Q115" s="39"/>
      <c r="R115" s="39"/>
      <c r="S115" s="39"/>
      <c r="T115" s="39"/>
      <c r="U115" s="39"/>
      <c r="V115" s="39"/>
      <c r="W115" s="39"/>
    </row>
    <row r="116" spans="2:27" ht="42.75" customHeight="1" x14ac:dyDescent="0.55000000000000004">
      <c r="B116" s="23" t="s">
        <v>211</v>
      </c>
      <c r="C116" s="24"/>
      <c r="F116" s="228" t="s">
        <v>249</v>
      </c>
      <c r="G116" s="229"/>
      <c r="H116" s="220" t="str">
        <f>IF($G$113="実施を選択","実施確認：空調設備の更新＜はい＞又は、＜いいえ＞を選択してください。",IF(OR($G$113="いいえ",$G$113="実施を選択"),"",IF(AND(G113="はい",AE137=0),"旧設備について入力してください。",IF(OR(X135="入力確認",X136="入力確認",X137="入力確認"),"旧設備の入力をご確認ください。",IF(AND(G113="はい",AE158=0),"新設備について入力してください。",IF(OR(X156="入力確認",X157="入力確認",X158="入力確認"),"新設備の入力をご確認ください。",IF(AND(G113&lt;&gt;"はい",X130-X151&lt;&gt;0),"実施確認：空調設備の更新＜はい＞を選択してください。",IF(AND(G113="はい",X130-X151&gt;0),"省エネ設備更新の要件を満たしています。","省エネ設備更新の要件を満たしていないため、申請できません。"))))))))</f>
        <v>省エネ設備更新の要件を満たしていないため、申請できません。</v>
      </c>
      <c r="I116" s="221"/>
      <c r="J116" s="221"/>
      <c r="K116" s="221"/>
      <c r="L116" s="221"/>
      <c r="M116" s="221"/>
      <c r="N116" s="221"/>
      <c r="O116" s="222"/>
      <c r="P116" s="39"/>
      <c r="Q116" s="39"/>
      <c r="R116" s="39"/>
      <c r="S116" s="39"/>
      <c r="T116" s="39"/>
      <c r="U116" s="39"/>
      <c r="V116" s="39"/>
      <c r="W116" s="39"/>
    </row>
    <row r="117" spans="2:27" ht="9" customHeight="1" x14ac:dyDescent="0.55000000000000004">
      <c r="B117" s="23"/>
      <c r="C117" s="24"/>
      <c r="M117" s="39"/>
      <c r="N117" s="39"/>
      <c r="O117" s="39"/>
      <c r="P117" s="39"/>
      <c r="Q117" s="39"/>
      <c r="R117" s="39"/>
      <c r="S117" s="39"/>
      <c r="T117" s="39"/>
      <c r="U117" s="39"/>
      <c r="V117" s="39"/>
      <c r="W117" s="39"/>
    </row>
    <row r="118" spans="2:27" ht="42" customHeight="1" thickBot="1" x14ac:dyDescent="0.6">
      <c r="B118" s="152" t="s">
        <v>430</v>
      </c>
      <c r="C118" s="25"/>
    </row>
    <row r="119" spans="2:27" ht="27" customHeight="1" thickBot="1" x14ac:dyDescent="0.6">
      <c r="B119" s="225" t="s">
        <v>130</v>
      </c>
      <c r="C119" s="225"/>
      <c r="D119" s="26" t="s">
        <v>286</v>
      </c>
      <c r="E119" s="26" t="s">
        <v>287</v>
      </c>
      <c r="F119" s="26" t="s">
        <v>288</v>
      </c>
      <c r="G119" s="26" t="s">
        <v>289</v>
      </c>
      <c r="H119" s="26" t="s">
        <v>290</v>
      </c>
      <c r="I119" s="26" t="s">
        <v>291</v>
      </c>
      <c r="J119" s="26" t="s">
        <v>292</v>
      </c>
      <c r="K119" s="26" t="s">
        <v>293</v>
      </c>
      <c r="L119" s="26" t="s">
        <v>294</v>
      </c>
      <c r="M119" s="26" t="s">
        <v>295</v>
      </c>
      <c r="N119" s="26" t="s">
        <v>351</v>
      </c>
      <c r="O119" s="26" t="s">
        <v>352</v>
      </c>
      <c r="P119" s="26" t="s">
        <v>353</v>
      </c>
      <c r="Q119" s="26" t="s">
        <v>354</v>
      </c>
      <c r="R119" s="26" t="s">
        <v>355</v>
      </c>
      <c r="S119" s="26" t="s">
        <v>356</v>
      </c>
      <c r="T119" s="26" t="s">
        <v>357</v>
      </c>
      <c r="U119" s="26" t="s">
        <v>358</v>
      </c>
      <c r="V119" s="26" t="s">
        <v>359</v>
      </c>
      <c r="W119" s="26" t="s">
        <v>360</v>
      </c>
      <c r="X119" s="33" t="s">
        <v>0</v>
      </c>
      <c r="Z119" s="74" t="s">
        <v>433</v>
      </c>
      <c r="AA119" s="156"/>
    </row>
    <row r="120" spans="2:27" ht="63" customHeight="1" thickBot="1" x14ac:dyDescent="0.6">
      <c r="B120" s="233" t="s">
        <v>264</v>
      </c>
      <c r="C120" s="233"/>
      <c r="D120" s="316" t="s">
        <v>14</v>
      </c>
      <c r="E120" s="316"/>
      <c r="F120" s="316"/>
      <c r="G120" s="316"/>
      <c r="H120" s="316"/>
      <c r="I120" s="316"/>
      <c r="J120" s="316"/>
      <c r="K120" s="316"/>
      <c r="L120" s="316"/>
      <c r="M120" s="316"/>
      <c r="N120" s="316"/>
      <c r="O120" s="316"/>
      <c r="P120" s="316"/>
      <c r="Q120" s="316"/>
      <c r="R120" s="316"/>
      <c r="S120" s="316"/>
      <c r="T120" s="316"/>
      <c r="U120" s="316"/>
      <c r="V120" s="316"/>
      <c r="W120" s="316"/>
      <c r="X120" s="27" t="s">
        <v>10</v>
      </c>
      <c r="Z120" s="74" t="s">
        <v>436</v>
      </c>
      <c r="AA120" s="156"/>
    </row>
    <row r="121" spans="2:27" ht="27" customHeight="1" thickBot="1" x14ac:dyDescent="0.6">
      <c r="B121" s="230" t="s">
        <v>3</v>
      </c>
      <c r="C121" s="230"/>
      <c r="D121" s="317">
        <v>1</v>
      </c>
      <c r="E121" s="317"/>
      <c r="F121" s="317"/>
      <c r="G121" s="317"/>
      <c r="H121" s="317"/>
      <c r="I121" s="317"/>
      <c r="J121" s="317"/>
      <c r="K121" s="317"/>
      <c r="L121" s="317"/>
      <c r="M121" s="317"/>
      <c r="N121" s="317"/>
      <c r="O121" s="317"/>
      <c r="P121" s="317"/>
      <c r="Q121" s="317"/>
      <c r="R121" s="317"/>
      <c r="S121" s="317"/>
      <c r="T121" s="317"/>
      <c r="U121" s="317"/>
      <c r="V121" s="317"/>
      <c r="W121" s="317"/>
      <c r="X121" s="142">
        <f>IF(SUM(D121:W121)=0,"",SUM(D121:W121))</f>
        <v>1</v>
      </c>
      <c r="Z121" s="74"/>
    </row>
    <row r="122" spans="2:27" ht="27" customHeight="1" x14ac:dyDescent="0.55000000000000004">
      <c r="B122" s="234" t="s">
        <v>16</v>
      </c>
      <c r="C122" s="235"/>
      <c r="D122" s="318" t="s">
        <v>97</v>
      </c>
      <c r="E122" s="318"/>
      <c r="F122" s="318"/>
      <c r="G122" s="318"/>
      <c r="H122" s="318"/>
      <c r="I122" s="318"/>
      <c r="J122" s="318"/>
      <c r="K122" s="318"/>
      <c r="L122" s="318"/>
      <c r="M122" s="318"/>
      <c r="N122" s="318"/>
      <c r="O122" s="318"/>
      <c r="P122" s="318"/>
      <c r="Q122" s="318"/>
      <c r="R122" s="318"/>
      <c r="S122" s="318"/>
      <c r="T122" s="318"/>
      <c r="U122" s="318"/>
      <c r="V122" s="318"/>
      <c r="W122" s="318"/>
      <c r="X122" s="35" t="s">
        <v>10</v>
      </c>
      <c r="Z122" s="74" t="s">
        <v>437</v>
      </c>
    </row>
    <row r="123" spans="2:27" ht="27" customHeight="1" x14ac:dyDescent="0.55000000000000004">
      <c r="B123" s="239" t="s">
        <v>116</v>
      </c>
      <c r="C123" s="240"/>
      <c r="D123" s="318" t="s">
        <v>98</v>
      </c>
      <c r="E123" s="318"/>
      <c r="F123" s="318"/>
      <c r="G123" s="318"/>
      <c r="H123" s="318"/>
      <c r="I123" s="318"/>
      <c r="J123" s="318"/>
      <c r="K123" s="318"/>
      <c r="L123" s="318"/>
      <c r="M123" s="318"/>
      <c r="N123" s="318"/>
      <c r="O123" s="318"/>
      <c r="P123" s="318"/>
      <c r="Q123" s="318"/>
      <c r="R123" s="318"/>
      <c r="S123" s="318"/>
      <c r="T123" s="318"/>
      <c r="U123" s="318"/>
      <c r="V123" s="318"/>
      <c r="W123" s="318"/>
      <c r="X123" s="35" t="s">
        <v>10</v>
      </c>
      <c r="Z123" s="74" t="s">
        <v>435</v>
      </c>
    </row>
    <row r="124" spans="2:27" ht="27" customHeight="1" x14ac:dyDescent="0.55000000000000004">
      <c r="B124" s="259" t="s">
        <v>216</v>
      </c>
      <c r="C124" s="199" t="s">
        <v>7</v>
      </c>
      <c r="D124" s="319">
        <v>10</v>
      </c>
      <c r="E124" s="319"/>
      <c r="F124" s="319"/>
      <c r="G124" s="319"/>
      <c r="H124" s="319"/>
      <c r="I124" s="319"/>
      <c r="J124" s="319"/>
      <c r="K124" s="319"/>
      <c r="L124" s="319"/>
      <c r="M124" s="319"/>
      <c r="N124" s="319"/>
      <c r="O124" s="319"/>
      <c r="P124" s="319"/>
      <c r="Q124" s="319"/>
      <c r="R124" s="319"/>
      <c r="S124" s="319"/>
      <c r="T124" s="319"/>
      <c r="U124" s="319"/>
      <c r="V124" s="319"/>
      <c r="W124" s="319"/>
      <c r="X124" s="35" t="s">
        <v>10</v>
      </c>
      <c r="Z124" s="126"/>
    </row>
    <row r="125" spans="2:27" ht="27" customHeight="1" x14ac:dyDescent="0.55000000000000004">
      <c r="B125" s="260"/>
      <c r="C125" s="199" t="s">
        <v>8</v>
      </c>
      <c r="D125" s="319">
        <v>11.2</v>
      </c>
      <c r="E125" s="319"/>
      <c r="F125" s="319"/>
      <c r="G125" s="319"/>
      <c r="H125" s="319"/>
      <c r="I125" s="319"/>
      <c r="J125" s="319"/>
      <c r="K125" s="319"/>
      <c r="L125" s="319"/>
      <c r="M125" s="319"/>
      <c r="N125" s="319"/>
      <c r="O125" s="319"/>
      <c r="P125" s="319"/>
      <c r="Q125" s="319"/>
      <c r="R125" s="319"/>
      <c r="S125" s="319"/>
      <c r="T125" s="319"/>
      <c r="U125" s="319"/>
      <c r="V125" s="319"/>
      <c r="W125" s="319"/>
      <c r="X125" s="30" t="s">
        <v>10</v>
      </c>
      <c r="Z125" s="126"/>
    </row>
    <row r="126" spans="2:27" ht="27" customHeight="1" x14ac:dyDescent="0.55000000000000004">
      <c r="B126" s="259" t="s">
        <v>217</v>
      </c>
      <c r="C126" s="199" t="s">
        <v>7</v>
      </c>
      <c r="D126" s="320">
        <v>3.6</v>
      </c>
      <c r="E126" s="320"/>
      <c r="F126" s="320"/>
      <c r="G126" s="320"/>
      <c r="H126" s="320"/>
      <c r="I126" s="320"/>
      <c r="J126" s="320"/>
      <c r="K126" s="320"/>
      <c r="L126" s="320"/>
      <c r="M126" s="320"/>
      <c r="N126" s="320"/>
      <c r="O126" s="320"/>
      <c r="P126" s="320"/>
      <c r="Q126" s="320"/>
      <c r="R126" s="320"/>
      <c r="S126" s="320"/>
      <c r="T126" s="320"/>
      <c r="U126" s="320"/>
      <c r="V126" s="320"/>
      <c r="W126" s="320"/>
      <c r="X126" s="27" t="s">
        <v>10</v>
      </c>
      <c r="Z126" s="126"/>
    </row>
    <row r="127" spans="2:27" ht="27" customHeight="1" x14ac:dyDescent="0.55000000000000004">
      <c r="B127" s="261"/>
      <c r="C127" s="199" t="s">
        <v>8</v>
      </c>
      <c r="D127" s="320">
        <v>3.8</v>
      </c>
      <c r="E127" s="320"/>
      <c r="F127" s="320"/>
      <c r="G127" s="320"/>
      <c r="H127" s="320"/>
      <c r="I127" s="320"/>
      <c r="J127" s="320"/>
      <c r="K127" s="320"/>
      <c r="L127" s="320"/>
      <c r="M127" s="320"/>
      <c r="N127" s="320"/>
      <c r="O127" s="320"/>
      <c r="P127" s="320"/>
      <c r="Q127" s="320"/>
      <c r="R127" s="320"/>
      <c r="S127" s="320"/>
      <c r="T127" s="320"/>
      <c r="U127" s="320"/>
      <c r="V127" s="320"/>
      <c r="W127" s="320"/>
      <c r="X127" s="30" t="s">
        <v>10</v>
      </c>
      <c r="Z127" s="126"/>
    </row>
    <row r="128" spans="2:27" ht="27" customHeight="1" thickBot="1" x14ac:dyDescent="0.6">
      <c r="B128" s="260"/>
      <c r="C128" s="199" t="s">
        <v>96</v>
      </c>
      <c r="D128" s="321" t="s">
        <v>535</v>
      </c>
      <c r="E128" s="321"/>
      <c r="F128" s="321"/>
      <c r="G128" s="321"/>
      <c r="H128" s="321"/>
      <c r="I128" s="321"/>
      <c r="J128" s="321"/>
      <c r="K128" s="321"/>
      <c r="L128" s="321"/>
      <c r="M128" s="321"/>
      <c r="N128" s="321"/>
      <c r="O128" s="321"/>
      <c r="P128" s="321"/>
      <c r="Q128" s="321"/>
      <c r="R128" s="321"/>
      <c r="S128" s="321"/>
      <c r="T128" s="321"/>
      <c r="U128" s="321"/>
      <c r="V128" s="321"/>
      <c r="W128" s="321"/>
      <c r="X128" s="30" t="s">
        <v>10</v>
      </c>
      <c r="Z128" s="74" t="s">
        <v>438</v>
      </c>
    </row>
    <row r="129" spans="2:32" ht="45.75" customHeight="1" x14ac:dyDescent="0.55000000000000004">
      <c r="B129" s="244" t="s">
        <v>219</v>
      </c>
      <c r="C129" s="258"/>
      <c r="D129" s="151">
        <f>IF(計算!$O31=1,計算!$R31,IF(計算!$O31=2,計算!$U31,IF(計算!$O31=3,計算!$X31,IF(計算!$O31=4,計算!$AA31,IF(計算!$O31=5,計算!$AD31,"")))))</f>
        <v>42.900000000000006</v>
      </c>
      <c r="E129" s="147" t="str">
        <f>IF(計算!$O32=1,計算!$R32,IF(計算!$O32=2,計算!$U32,IF(計算!$O32=3,計算!$X32,IF(計算!$O32=4,計算!$AA32,IF(計算!$O32=5,計算!$AD32,"")))))</f>
        <v/>
      </c>
      <c r="F129" s="147" t="str">
        <f>IF(計算!$O33=1,計算!$R33,IF(計算!$O33=2,計算!$U33,IF(計算!$O33=3,計算!$X33,IF(計算!$O33=4,計算!$AA33,IF(計算!$O33=5,計算!$AD33,"")))))</f>
        <v/>
      </c>
      <c r="G129" s="147" t="str">
        <f>IF(計算!$O34=1,計算!$R34,IF(計算!$O34=2,計算!$U34,IF(計算!$O34=3,計算!$X34,IF(計算!$O34=4,計算!$AA34,IF(計算!$O34=5,計算!$AD34,"")))))</f>
        <v/>
      </c>
      <c r="H129" s="147" t="str">
        <f>IF(計算!$O35=1,計算!$R35,IF(計算!$O35=2,計算!$U35,IF(計算!$O35=3,計算!$X35,IF(計算!$O35=4,計算!$AA35,IF(計算!$O35=5,計算!$AD35,"")))))</f>
        <v/>
      </c>
      <c r="I129" s="147" t="str">
        <f>IF(計算!$O36=1,計算!$R36,IF(計算!$O36=2,計算!$U36,IF(計算!$O36=3,計算!$X36,IF(計算!$O36=4,計算!$AA36,IF(計算!$O36=5,計算!$AD36,"")))))</f>
        <v/>
      </c>
      <c r="J129" s="147" t="str">
        <f>IF(計算!$O37=1,計算!$R37,IF(計算!$O37=2,計算!$U37,IF(計算!$O37=3,計算!$X37,IF(計算!$O37=4,計算!$AA37,IF(計算!$O37=5,計算!$AD37,"")))))</f>
        <v/>
      </c>
      <c r="K129" s="147" t="str">
        <f>IF(計算!$O38=1,計算!$R38,IF(計算!$O38=2,計算!$U38,IF(計算!$O38=3,計算!$X38,IF(計算!$O38=4,計算!$AA38,IF(計算!$O38=5,計算!$AD38,"")))))</f>
        <v/>
      </c>
      <c r="L129" s="147" t="str">
        <f>IF(計算!$O39=1,計算!$R39,IF(計算!$O39=2,計算!$U39,IF(計算!$O39=3,計算!$X39,IF(計算!$O39=4,計算!$AA39,IF(計算!$O39=5,計算!$AD39,"")))))</f>
        <v/>
      </c>
      <c r="M129" s="147" t="str">
        <f>IF(計算!$O40=1,計算!$R40,IF(計算!$O40=2,計算!$U40,IF(計算!$O40=3,計算!$X40,IF(計算!$O40=4,計算!$AA40,IF(計算!$O40=5,計算!$AD40,"")))))</f>
        <v/>
      </c>
      <c r="N129" s="147" t="str">
        <f>IF(計算!$O41=1,計算!$R41,IF(計算!$O41=2,計算!$U41,IF(計算!$O41=3,計算!$X41,IF(計算!$O41=4,計算!$AA41,IF(計算!$O41=5,計算!$AD41,"")))))</f>
        <v/>
      </c>
      <c r="O129" s="147" t="str">
        <f>IF(計算!$O42=1,計算!$R42,IF(計算!$O42=2,計算!$U42,IF(計算!$O42=3,計算!$X42,IF(計算!$O42=4,計算!$AA42,IF(計算!$O42=5,計算!$AD42,"")))))</f>
        <v/>
      </c>
      <c r="P129" s="147" t="str">
        <f>IF(計算!$O43=1,計算!$R43,IF(計算!$O43=2,計算!$U43,IF(計算!$O43=3,計算!$X43,IF(計算!$O43=4,計算!$AA43,IF(計算!$O43=5,計算!$AD43,"")))))</f>
        <v/>
      </c>
      <c r="Q129" s="147" t="str">
        <f>IF(計算!$O44=1,計算!$R44,IF(計算!$O44=2,計算!$U44,IF(計算!$O44=3,計算!$X44,IF(計算!$O44=4,計算!$AA44,IF(計算!$O44=5,計算!$AD44,"")))))</f>
        <v/>
      </c>
      <c r="R129" s="147" t="str">
        <f>IF(計算!$O45=1,計算!$R45,IF(計算!$O45=2,計算!$U45,IF(計算!$O45=3,計算!$X45,IF(計算!$O45=4,計算!$AA45,IF(計算!$O45=5,計算!$AD45,"")))))</f>
        <v/>
      </c>
      <c r="S129" s="147" t="str">
        <f>IF(計算!$O46=1,計算!$R46,IF(計算!$O46=2,計算!$U46,IF(計算!$O46=3,計算!$X46,IF(計算!$O46=4,計算!$AA46,IF(計算!$O46=5,計算!$AD46,"")))))</f>
        <v/>
      </c>
      <c r="T129" s="147" t="str">
        <f>IF(計算!$O47=1,計算!$R47,IF(計算!$O47=2,計算!$U47,IF(計算!$O47=3,計算!$X47,IF(計算!$O47=4,計算!$AA47,IF(計算!$O47=5,計算!$AD47,"")))))</f>
        <v/>
      </c>
      <c r="U129" s="147" t="str">
        <f>IF(計算!$O48=1,計算!$R48,IF(計算!$O48=2,計算!$U48,IF(計算!$O48=3,計算!$X48,IF(計算!$O48=4,計算!$AA48,IF(計算!$O48=5,計算!$AD48,"")))))</f>
        <v/>
      </c>
      <c r="V129" s="147" t="str">
        <f>IF(計算!$O49=1,計算!$R49,IF(計算!$O49=2,計算!$U49,IF(計算!$O49=3,計算!$X49,IF(計算!$O49=4,計算!$AA49,IF(計算!$O49=5,計算!$AD49,"")))))</f>
        <v/>
      </c>
      <c r="W129" s="147" t="str">
        <f>IF(計算!$O50=1,計算!$R50,IF(計算!$O50=2,計算!$U50,IF(計算!$O50=3,計算!$X50,IF(計算!$O50=4,計算!$AA50,IF(計算!$O50=5,計算!$AD50,"")))))</f>
        <v/>
      </c>
      <c r="X129" s="148">
        <f>IF(SUM(D129:W129)=0,"",SUM(D129:W129))</f>
        <v>42.900000000000006</v>
      </c>
    </row>
    <row r="130" spans="2:32" ht="27" customHeight="1" thickBot="1" x14ac:dyDescent="0.6">
      <c r="B130" s="257" t="s">
        <v>220</v>
      </c>
      <c r="C130" s="258"/>
      <c r="D130" s="149">
        <f>IF(D129="","",ROUND(D129*0.0258,2))</f>
        <v>1.1100000000000001</v>
      </c>
      <c r="E130" s="149" t="str">
        <f t="shared" ref="E130:W130" si="18">IF(E129="","",ROUND(E129*0.0258,2))</f>
        <v/>
      </c>
      <c r="F130" s="149" t="str">
        <f t="shared" si="18"/>
        <v/>
      </c>
      <c r="G130" s="149" t="str">
        <f t="shared" si="18"/>
        <v/>
      </c>
      <c r="H130" s="149" t="str">
        <f t="shared" si="18"/>
        <v/>
      </c>
      <c r="I130" s="149" t="str">
        <f t="shared" si="18"/>
        <v/>
      </c>
      <c r="J130" s="149" t="str">
        <f t="shared" si="18"/>
        <v/>
      </c>
      <c r="K130" s="149" t="str">
        <f t="shared" si="18"/>
        <v/>
      </c>
      <c r="L130" s="149" t="str">
        <f t="shared" si="18"/>
        <v/>
      </c>
      <c r="M130" s="149" t="str">
        <f t="shared" si="18"/>
        <v/>
      </c>
      <c r="N130" s="149" t="str">
        <f t="shared" si="18"/>
        <v/>
      </c>
      <c r="O130" s="149" t="str">
        <f t="shared" si="18"/>
        <v/>
      </c>
      <c r="P130" s="149" t="str">
        <f t="shared" si="18"/>
        <v/>
      </c>
      <c r="Q130" s="149" t="str">
        <f t="shared" si="18"/>
        <v/>
      </c>
      <c r="R130" s="149" t="str">
        <f t="shared" si="18"/>
        <v/>
      </c>
      <c r="S130" s="149" t="str">
        <f t="shared" si="18"/>
        <v/>
      </c>
      <c r="T130" s="149" t="str">
        <f t="shared" si="18"/>
        <v/>
      </c>
      <c r="U130" s="149" t="str">
        <f t="shared" si="18"/>
        <v/>
      </c>
      <c r="V130" s="149" t="str">
        <f t="shared" si="18"/>
        <v/>
      </c>
      <c r="W130" s="149" t="str">
        <f t="shared" si="18"/>
        <v/>
      </c>
      <c r="X130" s="150">
        <f>IF(SUM(D130:W130)=0,"",SUM(D130:W130))</f>
        <v>1.1100000000000001</v>
      </c>
    </row>
    <row r="131" spans="2:32" ht="27" customHeight="1" x14ac:dyDescent="0.55000000000000004">
      <c r="B131" s="253" t="s">
        <v>215</v>
      </c>
      <c r="C131" s="83" t="s">
        <v>213</v>
      </c>
      <c r="D131" s="322"/>
      <c r="E131" s="322"/>
      <c r="F131" s="322"/>
      <c r="G131" s="322"/>
      <c r="H131" s="322"/>
      <c r="I131" s="322"/>
      <c r="J131" s="322"/>
      <c r="K131" s="322"/>
      <c r="L131" s="322"/>
      <c r="M131" s="322"/>
      <c r="N131" s="322"/>
      <c r="O131" s="322"/>
      <c r="P131" s="322"/>
      <c r="Q131" s="322"/>
      <c r="R131" s="322"/>
      <c r="S131" s="322"/>
      <c r="T131" s="322"/>
      <c r="U131" s="322"/>
      <c r="V131" s="322"/>
      <c r="W131" s="322"/>
      <c r="X131" s="27" t="s">
        <v>10</v>
      </c>
    </row>
    <row r="132" spans="2:32" ht="27" customHeight="1" x14ac:dyDescent="0.55000000000000004">
      <c r="B132" s="254"/>
      <c r="C132" s="83" t="s">
        <v>214</v>
      </c>
      <c r="D132" s="322">
        <v>2.9</v>
      </c>
      <c r="E132" s="322"/>
      <c r="F132" s="322"/>
      <c r="G132" s="322"/>
      <c r="H132" s="322"/>
      <c r="I132" s="322"/>
      <c r="J132" s="322"/>
      <c r="K132" s="322"/>
      <c r="L132" s="322"/>
      <c r="M132" s="322"/>
      <c r="N132" s="322"/>
      <c r="O132" s="322"/>
      <c r="P132" s="322"/>
      <c r="Q132" s="322"/>
      <c r="R132" s="322"/>
      <c r="S132" s="322"/>
      <c r="T132" s="322"/>
      <c r="U132" s="322"/>
      <c r="V132" s="322"/>
      <c r="W132" s="322"/>
      <c r="X132" s="30" t="s">
        <v>10</v>
      </c>
    </row>
    <row r="133" spans="2:32" hidden="1" x14ac:dyDescent="0.55000000000000004">
      <c r="B133" s="110" t="s">
        <v>273</v>
      </c>
      <c r="C133" s="110"/>
      <c r="D133" s="111">
        <f t="shared" ref="D133:W133" si="19">IF(D$120="",9,IF(OR(D$120="電気式パッケージ形空調機",D$120="ルームエアコン"),1,IF(AND(D$120="ガスヒートポンプ式空調機",D$122="都市ガス",D$128="kW"),2,IF(AND(D$120="ガスヒートポンプ式空調機",D$122="都市ガス",D$128="ｍ3N/h"),3,IF(AND(D$120="ガスヒートポンプ式空調機",D$122="LPG",D$128="kW"),4,IF(AND(D$120="ガスヒートポンプ式空調機",D$122="LPG",D$128="kg/h"),5,0))))))</f>
        <v>1</v>
      </c>
      <c r="E133" s="111">
        <f t="shared" si="19"/>
        <v>9</v>
      </c>
      <c r="F133" s="111">
        <f t="shared" si="19"/>
        <v>9</v>
      </c>
      <c r="G133" s="111">
        <f t="shared" si="19"/>
        <v>9</v>
      </c>
      <c r="H133" s="111">
        <f t="shared" si="19"/>
        <v>9</v>
      </c>
      <c r="I133" s="111">
        <f t="shared" si="19"/>
        <v>9</v>
      </c>
      <c r="J133" s="111">
        <f t="shared" si="19"/>
        <v>9</v>
      </c>
      <c r="K133" s="111">
        <f t="shared" si="19"/>
        <v>9</v>
      </c>
      <c r="L133" s="111">
        <f t="shared" si="19"/>
        <v>9</v>
      </c>
      <c r="M133" s="111">
        <f t="shared" si="19"/>
        <v>9</v>
      </c>
      <c r="N133" s="111">
        <f t="shared" si="19"/>
        <v>9</v>
      </c>
      <c r="O133" s="111">
        <f>IF(O$120="",9,IF(OR(O$120="電気式パッケージ形空調機",O$120="ルームエアコン"),1,IF(AND(O$120="ガスヒートポンプ式空調機",O$122="都市ガス",O$128="kW"),2,IF(AND(O$120="ガスヒートポンプ式空調機",O$122="都市ガス",O$128="ｍ3N/h"),3,IF(AND(O$120="ガスヒートポンプ式空調機",O$122="LPG",O$128="kW"),4,IF(AND(O$120="ガスヒートポンプ式空調機",O$122="LPG",O$128="kg/h"),5,0))))))</f>
        <v>9</v>
      </c>
      <c r="P133" s="111">
        <f t="shared" si="19"/>
        <v>9</v>
      </c>
      <c r="Q133" s="111">
        <f t="shared" si="19"/>
        <v>9</v>
      </c>
      <c r="R133" s="111">
        <f t="shared" si="19"/>
        <v>9</v>
      </c>
      <c r="S133" s="111">
        <f t="shared" si="19"/>
        <v>9</v>
      </c>
      <c r="T133" s="111">
        <f t="shared" si="19"/>
        <v>9</v>
      </c>
      <c r="U133" s="111">
        <f t="shared" si="19"/>
        <v>9</v>
      </c>
      <c r="V133" s="111">
        <f t="shared" si="19"/>
        <v>9</v>
      </c>
      <c r="W133" s="111">
        <f t="shared" si="19"/>
        <v>9</v>
      </c>
      <c r="X133" s="94"/>
      <c r="Y133" s="112">
        <f>COUNTIF($D133:$W133,0)</f>
        <v>0</v>
      </c>
      <c r="Z133" s="157">
        <f>COUNTIF($D133:$W133,1)</f>
        <v>1</v>
      </c>
      <c r="AA133" s="157">
        <f>COUNTIF($D133:$W133,2)</f>
        <v>0</v>
      </c>
      <c r="AB133" s="157">
        <f>COUNTIF($D133:$W133,3)</f>
        <v>0</v>
      </c>
      <c r="AC133" s="112">
        <f>COUNTIF($D133:$W133,4)</f>
        <v>0</v>
      </c>
      <c r="AD133" s="112">
        <f>COUNTIF($D133:$W133,5)</f>
        <v>0</v>
      </c>
      <c r="AE133" s="112"/>
      <c r="AF133" s="99">
        <v>119</v>
      </c>
    </row>
    <row r="134" spans="2:32" hidden="1" x14ac:dyDescent="0.55000000000000004">
      <c r="B134" s="110" t="s">
        <v>272</v>
      </c>
      <c r="C134" s="110"/>
      <c r="D134" s="111">
        <f>IF(AND(D$122="",D$128=""),9,IF(AND(D$122="電気",D$128="kW"),1,IF(AND(D$122="都市ガス",D$128="kW"),2,IF(AND(D$122="都市ガス",D$128="ｍ3N/h"),3,IF(AND(D$122="LPG",D$128="kW"),4,IF(AND(D$122="LPG",D$128="kg/h"),5,0))))))</f>
        <v>1</v>
      </c>
      <c r="E134" s="111">
        <f t="shared" ref="E134:W134" si="20">IF(AND(E$122="",E$128=""),9,IF(AND(E$122="電気",E$128="kW"),1,IF(AND(E$122="都市ガス",E$128="kW"),2,IF(AND(E$122="都市ガス",E$128="ｍ3N/h"),3,IF(AND(E$122="LPG",E$128="kW"),4,IF(AND(E$122="LPG",E$128="kg/h"),5,0))))))</f>
        <v>9</v>
      </c>
      <c r="F134" s="111">
        <f t="shared" si="20"/>
        <v>9</v>
      </c>
      <c r="G134" s="111">
        <f t="shared" si="20"/>
        <v>9</v>
      </c>
      <c r="H134" s="111">
        <f t="shared" si="20"/>
        <v>9</v>
      </c>
      <c r="I134" s="111">
        <f t="shared" si="20"/>
        <v>9</v>
      </c>
      <c r="J134" s="111">
        <f t="shared" si="20"/>
        <v>9</v>
      </c>
      <c r="K134" s="111">
        <f t="shared" si="20"/>
        <v>9</v>
      </c>
      <c r="L134" s="111">
        <f t="shared" si="20"/>
        <v>9</v>
      </c>
      <c r="M134" s="111">
        <f t="shared" si="20"/>
        <v>9</v>
      </c>
      <c r="N134" s="111">
        <f t="shared" si="20"/>
        <v>9</v>
      </c>
      <c r="O134" s="111">
        <f>IF(AND(O$122="",O$128=""),9,IF(AND(O$122="電気",O$128="kW"),1,IF(AND(O$122="都市ガス",O$128="kW"),2,IF(AND(O$122="都市ガス",O$128="ｍ3N/h"),3,IF(AND(O$122="LPG",O$128="kW"),4,IF(AND(O$122="LPG",O$128="kg/h"),5,0))))))</f>
        <v>9</v>
      </c>
      <c r="P134" s="111">
        <f t="shared" si="20"/>
        <v>9</v>
      </c>
      <c r="Q134" s="111">
        <f t="shared" si="20"/>
        <v>9</v>
      </c>
      <c r="R134" s="111">
        <f t="shared" si="20"/>
        <v>9</v>
      </c>
      <c r="S134" s="111">
        <f t="shared" si="20"/>
        <v>9</v>
      </c>
      <c r="T134" s="111">
        <f t="shared" si="20"/>
        <v>9</v>
      </c>
      <c r="U134" s="111">
        <f t="shared" si="20"/>
        <v>9</v>
      </c>
      <c r="V134" s="111">
        <f t="shared" si="20"/>
        <v>9</v>
      </c>
      <c r="W134" s="111">
        <f t="shared" si="20"/>
        <v>9</v>
      </c>
      <c r="X134" s="94"/>
      <c r="Y134" s="112">
        <f>COUNTIF($D134:$W134,0)</f>
        <v>0</v>
      </c>
      <c r="Z134" s="157">
        <f>COUNTIF($D134:$W134,1)</f>
        <v>1</v>
      </c>
      <c r="AA134" s="157">
        <f>COUNTIF($D134:$W134,2)</f>
        <v>0</v>
      </c>
      <c r="AB134" s="157">
        <f>COUNTIF($D134:$W134,3)</f>
        <v>0</v>
      </c>
      <c r="AC134" s="112">
        <f>COUNTIF($D134:$W134,4)</f>
        <v>0</v>
      </c>
      <c r="AD134" s="112">
        <f>COUNTIF($D134:$W134,5)</f>
        <v>0</v>
      </c>
      <c r="AE134" s="112"/>
      <c r="AF134" s="99">
        <v>120</v>
      </c>
    </row>
    <row r="135" spans="2:32" hidden="1" x14ac:dyDescent="0.55000000000000004">
      <c r="B135" s="113" t="s">
        <v>269</v>
      </c>
      <c r="C135" s="113"/>
      <c r="D135" s="114">
        <f>IF(OR(AND(D133=0,D134=0),D133&lt;&gt;D134),1,IF(AND(D133=9,D134=9),2,IF(D133=D134,0,"")))</f>
        <v>0</v>
      </c>
      <c r="E135" s="114">
        <f t="shared" ref="E135:V135" si="21">IF(OR(AND(E133=0,E134=0),E133&lt;&gt;E134),1,IF(AND(E133=9,E134=9),2,IF(E133=E134,0,"")))</f>
        <v>2</v>
      </c>
      <c r="F135" s="114">
        <f t="shared" si="21"/>
        <v>2</v>
      </c>
      <c r="G135" s="114">
        <f t="shared" si="21"/>
        <v>2</v>
      </c>
      <c r="H135" s="114">
        <f t="shared" si="21"/>
        <v>2</v>
      </c>
      <c r="I135" s="114">
        <f t="shared" si="21"/>
        <v>2</v>
      </c>
      <c r="J135" s="114">
        <f t="shared" si="21"/>
        <v>2</v>
      </c>
      <c r="K135" s="114">
        <f t="shared" si="21"/>
        <v>2</v>
      </c>
      <c r="L135" s="114">
        <f t="shared" si="21"/>
        <v>2</v>
      </c>
      <c r="M135" s="114">
        <f t="shared" si="21"/>
        <v>2</v>
      </c>
      <c r="N135" s="114">
        <f t="shared" si="21"/>
        <v>2</v>
      </c>
      <c r="O135" s="114">
        <f>IF(OR(AND(O133=0,O134=0),O133&lt;&gt;O134),1,IF(AND(O133=9,O134=9),2,IF(O133=O134,0,"")))</f>
        <v>2</v>
      </c>
      <c r="P135" s="114">
        <f t="shared" si="21"/>
        <v>2</v>
      </c>
      <c r="Q135" s="114">
        <f t="shared" si="21"/>
        <v>2</v>
      </c>
      <c r="R135" s="114">
        <f t="shared" si="21"/>
        <v>2</v>
      </c>
      <c r="S135" s="114">
        <f t="shared" si="21"/>
        <v>2</v>
      </c>
      <c r="T135" s="114">
        <f t="shared" si="21"/>
        <v>2</v>
      </c>
      <c r="U135" s="114">
        <f t="shared" si="21"/>
        <v>2</v>
      </c>
      <c r="V135" s="114">
        <f t="shared" si="21"/>
        <v>2</v>
      </c>
      <c r="W135" s="114">
        <f>IF(OR(AND(W133=0,W134=0),W133&lt;&gt;W134),1,IF(AND(W133=9,W134=9),2,IF(W133=W134,0,"")))</f>
        <v>2</v>
      </c>
      <c r="X135" s="94" t="str">
        <f>IF(Z135&gt;0,"入力確認",IF(AE137=Y135,"適合","不適合"))</f>
        <v>適合</v>
      </c>
      <c r="Y135" s="112">
        <f>COUNTIF($D135:$W135,0)</f>
        <v>1</v>
      </c>
      <c r="Z135" s="157">
        <f>COUNTIF($D135:$W135,1)</f>
        <v>0</v>
      </c>
      <c r="AA135" s="157">
        <f>COUNTIF($D135:$W135,2)</f>
        <v>19</v>
      </c>
      <c r="AB135" s="157"/>
      <c r="AC135" s="112"/>
      <c r="AD135" s="112"/>
      <c r="AE135" s="112"/>
      <c r="AF135" s="99">
        <v>121</v>
      </c>
    </row>
    <row r="136" spans="2:32" hidden="1" x14ac:dyDescent="0.55000000000000004">
      <c r="B136" s="145" t="s">
        <v>428</v>
      </c>
      <c r="C136" s="145"/>
      <c r="D136" s="146">
        <f>IF(OR(D126&lt;0,D127&lt;0),1,IF(OR(D126&gt;0,D127&gt;0),0,2))</f>
        <v>0</v>
      </c>
      <c r="E136" s="146">
        <f t="shared" ref="E136:N136" si="22">IF(OR(E126&lt;0,E127&lt;0),1,IF(OR(E126&gt;0,E127&gt;0),0,2))</f>
        <v>2</v>
      </c>
      <c r="F136" s="146">
        <f t="shared" si="22"/>
        <v>2</v>
      </c>
      <c r="G136" s="146">
        <f t="shared" si="22"/>
        <v>2</v>
      </c>
      <c r="H136" s="146">
        <f t="shared" si="22"/>
        <v>2</v>
      </c>
      <c r="I136" s="146">
        <f t="shared" si="22"/>
        <v>2</v>
      </c>
      <c r="J136" s="146">
        <f t="shared" si="22"/>
        <v>2</v>
      </c>
      <c r="K136" s="146">
        <f t="shared" si="22"/>
        <v>2</v>
      </c>
      <c r="L136" s="146">
        <f t="shared" si="22"/>
        <v>2</v>
      </c>
      <c r="M136" s="146">
        <f t="shared" si="22"/>
        <v>2</v>
      </c>
      <c r="N136" s="146">
        <f t="shared" si="22"/>
        <v>2</v>
      </c>
      <c r="O136" s="146">
        <f>IF(OR(O126&lt;0,O127&lt;0),1,IF(OR(O126&gt;0,O127&gt;0),0,2))</f>
        <v>2</v>
      </c>
      <c r="P136" s="146">
        <f t="shared" ref="P136:W136" si="23">IF(OR(P126&lt;0,P127&lt;0),1,IF(OR(P126&gt;0,P127&gt;0),0,2))</f>
        <v>2</v>
      </c>
      <c r="Q136" s="146">
        <f t="shared" si="23"/>
        <v>2</v>
      </c>
      <c r="R136" s="146">
        <f t="shared" si="23"/>
        <v>2</v>
      </c>
      <c r="S136" s="146">
        <f t="shared" si="23"/>
        <v>2</v>
      </c>
      <c r="T136" s="146">
        <f t="shared" si="23"/>
        <v>2</v>
      </c>
      <c r="U136" s="146">
        <f t="shared" si="23"/>
        <v>2</v>
      </c>
      <c r="V136" s="146">
        <f t="shared" si="23"/>
        <v>2</v>
      </c>
      <c r="W136" s="146">
        <f t="shared" si="23"/>
        <v>2</v>
      </c>
      <c r="X136" s="94" t="str">
        <f>IF(Z136&gt;0,"入力確認",IF(AE137=Y136,"適合","不適合"))</f>
        <v>適合</v>
      </c>
      <c r="Y136" s="112">
        <f>COUNTIF($D136:$W136,0)</f>
        <v>1</v>
      </c>
      <c r="Z136" s="157">
        <f>COUNTIF($D136:$W136,1)</f>
        <v>0</v>
      </c>
      <c r="AA136" s="157">
        <f>COUNTIF($D136:$W136,2)</f>
        <v>19</v>
      </c>
      <c r="AB136" s="157"/>
      <c r="AC136" s="112"/>
      <c r="AD136" s="112"/>
      <c r="AE136" s="112"/>
      <c r="AF136" s="99">
        <v>122</v>
      </c>
    </row>
    <row r="137" spans="2:32" hidden="1" x14ac:dyDescent="0.55000000000000004">
      <c r="B137" s="96" t="s">
        <v>246</v>
      </c>
      <c r="C137" s="94"/>
      <c r="D137" s="94">
        <f t="shared" ref="D137:W137" si="24">IF(AND(D120="",D121="",D122="",D123="",D124="",D125="",D126="",D127="",D128="",D131="",D132=""),2,IF(AND(D120&lt;&gt;"",D121&lt;&gt;"",D122&lt;&gt;"",D123&lt;&gt;"",D124&lt;&gt;"",D125&lt;&gt;"",D126&lt;&gt;"",D127&lt;&gt;"",D128&lt;&gt;"",OR(D131&lt;&gt;"",D132&lt;&gt;"")),0,1))</f>
        <v>0</v>
      </c>
      <c r="E137" s="94">
        <f t="shared" si="24"/>
        <v>2</v>
      </c>
      <c r="F137" s="94">
        <f t="shared" si="24"/>
        <v>2</v>
      </c>
      <c r="G137" s="94">
        <f t="shared" si="24"/>
        <v>2</v>
      </c>
      <c r="H137" s="94">
        <f t="shared" si="24"/>
        <v>2</v>
      </c>
      <c r="I137" s="94">
        <f t="shared" si="24"/>
        <v>2</v>
      </c>
      <c r="J137" s="94">
        <f t="shared" si="24"/>
        <v>2</v>
      </c>
      <c r="K137" s="94">
        <f t="shared" si="24"/>
        <v>2</v>
      </c>
      <c r="L137" s="94">
        <f t="shared" si="24"/>
        <v>2</v>
      </c>
      <c r="M137" s="94">
        <f t="shared" si="24"/>
        <v>2</v>
      </c>
      <c r="N137" s="94">
        <f t="shared" si="24"/>
        <v>2</v>
      </c>
      <c r="O137" s="94">
        <f>IF(AND(O120="",O121="",O122="",O123="",O124="",O125="",O126="",O127="",O128="",O131="",O132=""),2,IF(AND(O120&lt;&gt;"",O121&lt;&gt;"",O122&lt;&gt;"",O123&lt;&gt;"",O124&lt;&gt;"",O125&lt;&gt;"",O126&lt;&gt;"",O127&lt;&gt;"",O128&lt;&gt;"",OR(O131&lt;&gt;"",O132&lt;&gt;"")),0,1))</f>
        <v>2</v>
      </c>
      <c r="P137" s="94">
        <f t="shared" si="24"/>
        <v>2</v>
      </c>
      <c r="Q137" s="94">
        <f t="shared" si="24"/>
        <v>2</v>
      </c>
      <c r="R137" s="94">
        <f t="shared" si="24"/>
        <v>2</v>
      </c>
      <c r="S137" s="94">
        <f t="shared" si="24"/>
        <v>2</v>
      </c>
      <c r="T137" s="94">
        <f t="shared" si="24"/>
        <v>2</v>
      </c>
      <c r="U137" s="94">
        <f t="shared" si="24"/>
        <v>2</v>
      </c>
      <c r="V137" s="94">
        <f t="shared" si="24"/>
        <v>2</v>
      </c>
      <c r="W137" s="94">
        <f t="shared" si="24"/>
        <v>2</v>
      </c>
      <c r="X137" s="94" t="str">
        <f>IF(Z137&gt;0,"入力確認",IF(AE137=Y137,"適合","不適合"))</f>
        <v>適合</v>
      </c>
      <c r="Y137" s="112">
        <f>COUNTIF($D137:$W137,0)</f>
        <v>1</v>
      </c>
      <c r="Z137" s="157">
        <f>COUNTIF($D137:$W137,1)</f>
        <v>0</v>
      </c>
      <c r="AA137" s="157">
        <f>COUNTIF($D137:$W137,2)</f>
        <v>19</v>
      </c>
      <c r="AB137" s="157"/>
      <c r="AC137" s="112"/>
      <c r="AD137" s="112"/>
      <c r="AE137" s="144">
        <f>20-COUNTIF($D$120:$W$120,"")</f>
        <v>1</v>
      </c>
      <c r="AF137" s="99">
        <v>123</v>
      </c>
    </row>
    <row r="138" spans="2:32" x14ac:dyDescent="0.55000000000000004">
      <c r="B138" s="36"/>
      <c r="C138" s="36"/>
      <c r="D138" s="37"/>
      <c r="E138" s="37"/>
      <c r="F138" s="37"/>
      <c r="G138" s="37"/>
      <c r="H138" s="37"/>
      <c r="I138" s="37"/>
      <c r="J138" s="37"/>
      <c r="K138" s="37"/>
      <c r="L138" s="37"/>
      <c r="M138" s="37"/>
      <c r="N138" s="37"/>
      <c r="O138" s="37"/>
      <c r="P138" s="37"/>
      <c r="Q138" s="37"/>
      <c r="R138" s="37"/>
      <c r="S138" s="37"/>
      <c r="T138" s="37"/>
      <c r="U138" s="37"/>
      <c r="V138" s="37"/>
      <c r="W138" s="37"/>
      <c r="X138" s="37"/>
    </row>
    <row r="139" spans="2:32" ht="42" customHeight="1" thickBot="1" x14ac:dyDescent="0.6">
      <c r="B139" s="152" t="s">
        <v>429</v>
      </c>
      <c r="C139" s="25"/>
    </row>
    <row r="140" spans="2:32" ht="27" customHeight="1" thickBot="1" x14ac:dyDescent="0.6">
      <c r="B140" s="232" t="s">
        <v>129</v>
      </c>
      <c r="C140" s="232"/>
      <c r="D140" s="26" t="s">
        <v>296</v>
      </c>
      <c r="E140" s="26" t="s">
        <v>297</v>
      </c>
      <c r="F140" s="26" t="s">
        <v>298</v>
      </c>
      <c r="G140" s="26" t="s">
        <v>299</v>
      </c>
      <c r="H140" s="26" t="s">
        <v>300</v>
      </c>
      <c r="I140" s="26" t="s">
        <v>301</v>
      </c>
      <c r="J140" s="26" t="s">
        <v>302</v>
      </c>
      <c r="K140" s="26" t="s">
        <v>303</v>
      </c>
      <c r="L140" s="26" t="s">
        <v>304</v>
      </c>
      <c r="M140" s="26" t="s">
        <v>305</v>
      </c>
      <c r="N140" s="26" t="s">
        <v>361</v>
      </c>
      <c r="O140" s="26" t="s">
        <v>362</v>
      </c>
      <c r="P140" s="26" t="s">
        <v>363</v>
      </c>
      <c r="Q140" s="26" t="s">
        <v>364</v>
      </c>
      <c r="R140" s="26" t="s">
        <v>365</v>
      </c>
      <c r="S140" s="26" t="s">
        <v>366</v>
      </c>
      <c r="T140" s="26" t="s">
        <v>367</v>
      </c>
      <c r="U140" s="26" t="s">
        <v>368</v>
      </c>
      <c r="V140" s="26" t="s">
        <v>369</v>
      </c>
      <c r="W140" s="26" t="s">
        <v>370</v>
      </c>
      <c r="X140" s="33" t="s">
        <v>0</v>
      </c>
      <c r="Z140" s="74" t="s">
        <v>434</v>
      </c>
    </row>
    <row r="141" spans="2:32" ht="63" customHeight="1" thickBot="1" x14ac:dyDescent="0.6">
      <c r="B141" s="231" t="s">
        <v>264</v>
      </c>
      <c r="C141" s="231"/>
      <c r="D141" s="316" t="s">
        <v>14</v>
      </c>
      <c r="E141" s="316"/>
      <c r="F141" s="316"/>
      <c r="G141" s="316"/>
      <c r="H141" s="316"/>
      <c r="I141" s="316"/>
      <c r="J141" s="316"/>
      <c r="K141" s="316"/>
      <c r="L141" s="316"/>
      <c r="M141" s="316"/>
      <c r="N141" s="323"/>
      <c r="O141" s="323"/>
      <c r="P141" s="323"/>
      <c r="Q141" s="323"/>
      <c r="R141" s="323"/>
      <c r="S141" s="323"/>
      <c r="T141" s="323"/>
      <c r="U141" s="323"/>
      <c r="V141" s="323"/>
      <c r="W141" s="323"/>
      <c r="X141" s="27" t="s">
        <v>10</v>
      </c>
      <c r="Z141" s="74" t="s">
        <v>436</v>
      </c>
    </row>
    <row r="142" spans="2:32" ht="27" customHeight="1" thickBot="1" x14ac:dyDescent="0.6">
      <c r="B142" s="231" t="s">
        <v>3</v>
      </c>
      <c r="C142" s="231"/>
      <c r="D142" s="317">
        <v>2</v>
      </c>
      <c r="E142" s="317"/>
      <c r="F142" s="317"/>
      <c r="G142" s="317"/>
      <c r="H142" s="317"/>
      <c r="I142" s="317"/>
      <c r="J142" s="317"/>
      <c r="K142" s="317"/>
      <c r="L142" s="317"/>
      <c r="M142" s="317"/>
      <c r="N142" s="317"/>
      <c r="O142" s="317"/>
      <c r="P142" s="317"/>
      <c r="Q142" s="317"/>
      <c r="R142" s="317"/>
      <c r="S142" s="317"/>
      <c r="T142" s="317"/>
      <c r="U142" s="317"/>
      <c r="V142" s="317"/>
      <c r="W142" s="317"/>
      <c r="X142" s="142">
        <f>IF(SUM(D142:W142)=0,"",SUM(D142:W142))</f>
        <v>2</v>
      </c>
      <c r="Z142" s="74"/>
    </row>
    <row r="143" spans="2:32" ht="27" customHeight="1" x14ac:dyDescent="0.55000000000000004">
      <c r="B143" s="235" t="s">
        <v>16</v>
      </c>
      <c r="C143" s="235"/>
      <c r="D143" s="318" t="s">
        <v>97</v>
      </c>
      <c r="E143" s="318"/>
      <c r="F143" s="318"/>
      <c r="G143" s="318"/>
      <c r="H143" s="318"/>
      <c r="I143" s="318"/>
      <c r="J143" s="318"/>
      <c r="K143" s="318"/>
      <c r="L143" s="318"/>
      <c r="M143" s="318"/>
      <c r="N143" s="318"/>
      <c r="O143" s="318"/>
      <c r="P143" s="318"/>
      <c r="Q143" s="318"/>
      <c r="R143" s="318"/>
      <c r="S143" s="318"/>
      <c r="T143" s="318"/>
      <c r="U143" s="318"/>
      <c r="V143" s="318"/>
      <c r="W143" s="318"/>
      <c r="X143" s="35" t="s">
        <v>10</v>
      </c>
      <c r="Z143" s="74" t="s">
        <v>437</v>
      </c>
    </row>
    <row r="144" spans="2:32" ht="27" customHeight="1" x14ac:dyDescent="0.55000000000000004">
      <c r="B144" s="244" t="s">
        <v>116</v>
      </c>
      <c r="C144" s="245"/>
      <c r="D144" s="318" t="s">
        <v>98</v>
      </c>
      <c r="E144" s="318"/>
      <c r="F144" s="318"/>
      <c r="G144" s="318"/>
      <c r="H144" s="318"/>
      <c r="I144" s="318"/>
      <c r="J144" s="318"/>
      <c r="K144" s="318"/>
      <c r="L144" s="318"/>
      <c r="M144" s="318"/>
      <c r="N144" s="324"/>
      <c r="O144" s="324"/>
      <c r="P144" s="324"/>
      <c r="Q144" s="324"/>
      <c r="R144" s="324"/>
      <c r="S144" s="324"/>
      <c r="T144" s="324"/>
      <c r="U144" s="324"/>
      <c r="V144" s="324"/>
      <c r="W144" s="324"/>
      <c r="X144" s="35" t="s">
        <v>10</v>
      </c>
      <c r="Z144" s="74" t="s">
        <v>435</v>
      </c>
    </row>
    <row r="145" spans="2:32" ht="27" customHeight="1" x14ac:dyDescent="0.55000000000000004">
      <c r="B145" s="241" t="s">
        <v>568</v>
      </c>
      <c r="C145" s="84" t="s">
        <v>7</v>
      </c>
      <c r="D145" s="319">
        <v>5</v>
      </c>
      <c r="E145" s="319"/>
      <c r="F145" s="319"/>
      <c r="G145" s="319"/>
      <c r="H145" s="319"/>
      <c r="I145" s="319"/>
      <c r="J145" s="319"/>
      <c r="K145" s="319"/>
      <c r="L145" s="319"/>
      <c r="M145" s="319"/>
      <c r="N145" s="325"/>
      <c r="O145" s="325"/>
      <c r="P145" s="325"/>
      <c r="Q145" s="325"/>
      <c r="R145" s="325"/>
      <c r="S145" s="325"/>
      <c r="T145" s="325"/>
      <c r="U145" s="325"/>
      <c r="V145" s="325"/>
      <c r="W145" s="325"/>
      <c r="X145" s="35" t="s">
        <v>10</v>
      </c>
      <c r="Z145" s="126"/>
    </row>
    <row r="146" spans="2:32" ht="27" customHeight="1" x14ac:dyDescent="0.55000000000000004">
      <c r="B146" s="243"/>
      <c r="C146" s="84" t="s">
        <v>8</v>
      </c>
      <c r="D146" s="319">
        <v>5.6</v>
      </c>
      <c r="E146" s="319"/>
      <c r="F146" s="319"/>
      <c r="G146" s="319"/>
      <c r="H146" s="319"/>
      <c r="I146" s="319"/>
      <c r="J146" s="319"/>
      <c r="K146" s="319"/>
      <c r="L146" s="319"/>
      <c r="M146" s="319"/>
      <c r="N146" s="319"/>
      <c r="O146" s="319"/>
      <c r="P146" s="319"/>
      <c r="Q146" s="319"/>
      <c r="R146" s="319"/>
      <c r="S146" s="319"/>
      <c r="T146" s="319"/>
      <c r="U146" s="319"/>
      <c r="V146" s="319"/>
      <c r="W146" s="319"/>
      <c r="X146" s="30" t="s">
        <v>10</v>
      </c>
      <c r="Z146" s="126"/>
    </row>
    <row r="147" spans="2:32" ht="27" customHeight="1" x14ac:dyDescent="0.55000000000000004">
      <c r="B147" s="241" t="s">
        <v>218</v>
      </c>
      <c r="C147" s="84" t="s">
        <v>7</v>
      </c>
      <c r="D147" s="326">
        <v>3</v>
      </c>
      <c r="E147" s="326"/>
      <c r="F147" s="326"/>
      <c r="G147" s="326"/>
      <c r="H147" s="326"/>
      <c r="I147" s="326"/>
      <c r="J147" s="326"/>
      <c r="K147" s="326"/>
      <c r="L147" s="326"/>
      <c r="M147" s="326"/>
      <c r="N147" s="327"/>
      <c r="O147" s="327"/>
      <c r="P147" s="327"/>
      <c r="Q147" s="327"/>
      <c r="R147" s="327"/>
      <c r="S147" s="327"/>
      <c r="T147" s="327"/>
      <c r="U147" s="327"/>
      <c r="V147" s="327"/>
      <c r="W147" s="327"/>
      <c r="X147" s="27" t="s">
        <v>10</v>
      </c>
      <c r="Z147" s="126"/>
    </row>
    <row r="148" spans="2:32" ht="27" customHeight="1" x14ac:dyDescent="0.55000000000000004">
      <c r="B148" s="242"/>
      <c r="C148" s="84" t="s">
        <v>8</v>
      </c>
      <c r="D148" s="326">
        <v>3.2</v>
      </c>
      <c r="E148" s="326"/>
      <c r="F148" s="326"/>
      <c r="G148" s="326"/>
      <c r="H148" s="326"/>
      <c r="I148" s="326"/>
      <c r="J148" s="326"/>
      <c r="K148" s="326"/>
      <c r="L148" s="326"/>
      <c r="M148" s="326"/>
      <c r="N148" s="326"/>
      <c r="O148" s="326"/>
      <c r="P148" s="326"/>
      <c r="Q148" s="326"/>
      <c r="R148" s="326"/>
      <c r="S148" s="326"/>
      <c r="T148" s="326"/>
      <c r="U148" s="326"/>
      <c r="V148" s="326"/>
      <c r="W148" s="326"/>
      <c r="X148" s="30" t="s">
        <v>10</v>
      </c>
      <c r="Z148" s="126"/>
    </row>
    <row r="149" spans="2:32" ht="27" customHeight="1" thickBot="1" x14ac:dyDescent="0.6">
      <c r="B149" s="243"/>
      <c r="C149" s="84" t="s">
        <v>96</v>
      </c>
      <c r="D149" s="321" t="s">
        <v>535</v>
      </c>
      <c r="E149" s="321"/>
      <c r="F149" s="321"/>
      <c r="G149" s="321"/>
      <c r="H149" s="321"/>
      <c r="I149" s="321"/>
      <c r="J149" s="321"/>
      <c r="K149" s="321"/>
      <c r="L149" s="321"/>
      <c r="M149" s="321"/>
      <c r="N149" s="321"/>
      <c r="O149" s="321"/>
      <c r="P149" s="321"/>
      <c r="Q149" s="321"/>
      <c r="R149" s="321"/>
      <c r="S149" s="321"/>
      <c r="T149" s="321"/>
      <c r="U149" s="321"/>
      <c r="V149" s="321"/>
      <c r="W149" s="321"/>
      <c r="X149" s="30" t="s">
        <v>10</v>
      </c>
      <c r="Z149" s="74" t="s">
        <v>438</v>
      </c>
    </row>
    <row r="150" spans="2:32" ht="45" customHeight="1" x14ac:dyDescent="0.55000000000000004">
      <c r="B150" s="244" t="s">
        <v>219</v>
      </c>
      <c r="C150" s="245"/>
      <c r="D150" s="147">
        <f>IF(計算式!O56=1,計算式!R56,IF(計算式!R56=2,計算式!U56,IF(計算式!O56=3,計算式!X56,IF(計算式!O56=4,計算式!AA56,IF(計算式!O56=5,計算式!AD56,"")))))</f>
        <v>49.8</v>
      </c>
      <c r="E150" s="147" t="str">
        <f>IF(計算!$O57=1,計算!$R57,IF(計算!$O57=2,計算!$U57,IF(計算!$O57=3,計算!$X57,IF(計算!$O57=4,計算!$AA57,IF(計算!$O57=5,計算!$AD57,"")))))</f>
        <v/>
      </c>
      <c r="F150" s="147" t="str">
        <f>IF(計算!$O58=1,計算!$R58,IF(計算!$O58=2,計算!$U58,IF(計算!$O58=3,計算!$X58,IF(計算!$O58=4,計算!$AA58,IF(計算!$O58=5,計算!$AD58,"")))))</f>
        <v/>
      </c>
      <c r="G150" s="147" t="str">
        <f>IF(計算!$O59=1,計算!$R59,IF(計算!$O59=2,計算!$U59,IF(計算!$O59=3,計算!$X59,IF(計算!$O59=4,計算!$AA59,IF(計算!$O59=5,計算!$AD59,"")))))</f>
        <v/>
      </c>
      <c r="H150" s="147" t="str">
        <f>IF(計算!$O60=1,計算!$R60,IF(計算!$O60=2,計算!$U60,IF(計算!$O60=3,計算!$X60,IF(計算!$O60=4,計算!$AA60,IF(計算!$O60=5,計算!$AD60,"")))))</f>
        <v/>
      </c>
      <c r="I150" s="147" t="str">
        <f>IF(計算!$O61=1,計算!$R61,IF(計算!$O61=2,計算!$U61,IF(計算!$O61=3,計算!$X61,IF(計算!$O61=4,計算!$AA61,IF(計算!$O61=5,計算!$AD61,"")))))</f>
        <v/>
      </c>
      <c r="J150" s="147" t="str">
        <f>IF(計算!$O62=1,計算!$R62,IF(計算!$O62=2,計算!$U62,IF(計算!$O62=3,計算!$X62,IF(計算!$O62=4,計算!$AA62,IF(計算!$O62=5,計算!$AD62,"")))))</f>
        <v/>
      </c>
      <c r="K150" s="147" t="str">
        <f>IF(計算!$O63=1,計算!$R63,IF(計算!$O63=2,計算!$U63,IF(計算!$O63=3,計算!$X63,IF(計算!$O63=4,計算!$AA63,IF(計算!$O63=5,計算!$AD63,"")))))</f>
        <v/>
      </c>
      <c r="L150" s="147" t="str">
        <f>IF(計算!$O64=1,計算!$R64,IF(計算!$O64=2,計算!$U64,IF(計算!$O64=3,計算!$X64,IF(計算!$O64=4,計算!$AA64,IF(計算!$O64=5,計算!$AD64,"")))))</f>
        <v/>
      </c>
      <c r="M150" s="147" t="str">
        <f>IF(計算!$O65=1,計算!$R65,IF(計算!$O65=2,計算!$U65,IF(計算!$O65=3,計算!$X65,IF(計算!$O65=4,計算!$AA65,IF(計算!$O65=5,計算!$AD65,"")))))</f>
        <v/>
      </c>
      <c r="N150" s="147" t="str">
        <f>IF(計算!$O66=1,計算!$R66,IF(計算!$O66=2,計算!$U66,IF(計算!$O66=3,計算!$X66,IF(計算!$O66=4,計算!$AA66,IF(計算!$O66=5,計算!$AD66,"")))))</f>
        <v/>
      </c>
      <c r="O150" s="147" t="str">
        <f>IF(計算!$O67=1,計算!$R67,IF(計算!$O67=2,計算!$U67,IF(計算!$O67=3,計算!$X67,IF(計算!$O67=4,計算!$AA67,IF(計算!$O67=5,計算!$AD67,"")))))</f>
        <v/>
      </c>
      <c r="P150" s="147" t="str">
        <f>IF(計算!$O68=1,計算!$R68,IF(計算!$O68=2,計算!$U68,IF(計算!$O68=3,計算!$X68,IF(計算!$O68=4,計算!$AA68,IF(計算!$O68=5,計算!$AD68,"")))))</f>
        <v/>
      </c>
      <c r="Q150" s="147" t="str">
        <f>IF(計算!$O69=1,計算!$R69,IF(計算!$O69=2,計算!$U69,IF(計算!$O69=3,計算!$X69,IF(計算!$O69=4,計算!$AA69,IF(計算!$O69=5,計算!$AD69,"")))))</f>
        <v/>
      </c>
      <c r="R150" s="147" t="str">
        <f>IF(計算!$O70=1,計算!$R70,IF(計算!$O70=2,計算!$U70,IF(計算!$O70=3,計算!$X70,IF(計算!$O70=4,計算!$AA70,IF(計算!$O70=5,計算!$AD70,"")))))</f>
        <v/>
      </c>
      <c r="S150" s="147" t="str">
        <f>IF(計算!$O71=1,計算!$R71,IF(計算!$O71=2,計算!$U71,IF(計算!$O71=3,計算!$X71,IF(計算!$O71=4,計算!$AA71,IF(計算!$O71=5,計算!$AD71,"")))))</f>
        <v/>
      </c>
      <c r="T150" s="147" t="str">
        <f>IF(計算!$O72=1,計算!$R72,IF(計算!$O72=2,計算!$U72,IF(計算!$O72=3,計算!$X72,IF(計算!$O72=4,計算!$AA72,IF(計算!$O72=5,計算!$AD72,"")))))</f>
        <v/>
      </c>
      <c r="U150" s="147" t="str">
        <f>IF(計算!$O73=1,計算!$R73,IF(計算!$O73=2,計算!$U73,IF(計算!$O73=3,計算!$X73,IF(計算!$O73=4,計算!$AA73,IF(計算!$O73=5,計算!$AD73,"")))))</f>
        <v/>
      </c>
      <c r="V150" s="147" t="str">
        <f>IF(計算!$O74=1,計算!$R74,IF(計算!$O74=2,計算!$U74,IF(計算!$O74=3,計算!$X74,IF(計算!$O74=4,計算!$AA74,IF(計算!$O74=5,計算!$AD74,"")))))</f>
        <v/>
      </c>
      <c r="W150" s="147" t="str">
        <f>IF(計算!$O75=1,計算!$R75,IF(計算!$O75=2,計算!$U75,IF(計算!$O75=3,計算!$X75,IF(計算!$O75=4,計算!$AA75,IF(計算!$O75=5,計算!$AD75,"")))))</f>
        <v/>
      </c>
      <c r="X150" s="148">
        <f>IF(SUM(D150:W150)=0,"",SUM(D150:W150))</f>
        <v>49.8</v>
      </c>
    </row>
    <row r="151" spans="2:32" ht="27" customHeight="1" thickBot="1" x14ac:dyDescent="0.6">
      <c r="B151" s="257" t="s">
        <v>220</v>
      </c>
      <c r="C151" s="258"/>
      <c r="D151" s="149">
        <f>IF(D150="","",ROUND(D150*0.0258,2))</f>
        <v>1.28</v>
      </c>
      <c r="E151" s="149" t="str">
        <f t="shared" ref="E151:W151" si="25">IF(E150="","",ROUND(E150*0.0258,2))</f>
        <v/>
      </c>
      <c r="F151" s="149" t="str">
        <f t="shared" si="25"/>
        <v/>
      </c>
      <c r="G151" s="149" t="str">
        <f t="shared" si="25"/>
        <v/>
      </c>
      <c r="H151" s="149" t="str">
        <f t="shared" si="25"/>
        <v/>
      </c>
      <c r="I151" s="149" t="str">
        <f t="shared" si="25"/>
        <v/>
      </c>
      <c r="J151" s="149" t="str">
        <f t="shared" si="25"/>
        <v/>
      </c>
      <c r="K151" s="149" t="str">
        <f t="shared" si="25"/>
        <v/>
      </c>
      <c r="L151" s="149" t="str">
        <f t="shared" si="25"/>
        <v/>
      </c>
      <c r="M151" s="149" t="str">
        <f t="shared" si="25"/>
        <v/>
      </c>
      <c r="N151" s="149" t="str">
        <f t="shared" si="25"/>
        <v/>
      </c>
      <c r="O151" s="149" t="str">
        <f t="shared" si="25"/>
        <v/>
      </c>
      <c r="P151" s="149" t="str">
        <f t="shared" si="25"/>
        <v/>
      </c>
      <c r="Q151" s="149" t="str">
        <f t="shared" si="25"/>
        <v/>
      </c>
      <c r="R151" s="149" t="str">
        <f t="shared" si="25"/>
        <v/>
      </c>
      <c r="S151" s="149" t="str">
        <f t="shared" si="25"/>
        <v/>
      </c>
      <c r="T151" s="149" t="str">
        <f t="shared" si="25"/>
        <v/>
      </c>
      <c r="U151" s="149" t="str">
        <f t="shared" si="25"/>
        <v/>
      </c>
      <c r="V151" s="149" t="str">
        <f t="shared" si="25"/>
        <v/>
      </c>
      <c r="W151" s="149" t="str">
        <f t="shared" si="25"/>
        <v/>
      </c>
      <c r="X151" s="150">
        <f>IF(SUM(D151:W151)=0,"",SUM(D151:W151))</f>
        <v>1.28</v>
      </c>
      <c r="Z151" s="74" t="s">
        <v>439</v>
      </c>
    </row>
    <row r="152" spans="2:32" ht="27" customHeight="1" x14ac:dyDescent="0.55000000000000004">
      <c r="B152" s="255" t="s">
        <v>215</v>
      </c>
      <c r="C152" s="85" t="s">
        <v>213</v>
      </c>
      <c r="D152" s="322">
        <v>4.4000000000000004</v>
      </c>
      <c r="E152" s="322"/>
      <c r="F152" s="322"/>
      <c r="G152" s="322"/>
      <c r="H152" s="322"/>
      <c r="I152" s="322"/>
      <c r="J152" s="322"/>
      <c r="K152" s="322"/>
      <c r="L152" s="322"/>
      <c r="M152" s="322"/>
      <c r="N152" s="322"/>
      <c r="O152" s="322"/>
      <c r="P152" s="322"/>
      <c r="Q152" s="322"/>
      <c r="R152" s="322"/>
      <c r="S152" s="322"/>
      <c r="T152" s="322"/>
      <c r="U152" s="322"/>
      <c r="V152" s="322"/>
      <c r="W152" s="322"/>
      <c r="X152" s="27" t="s">
        <v>10</v>
      </c>
    </row>
    <row r="153" spans="2:32" ht="27" customHeight="1" x14ac:dyDescent="0.55000000000000004">
      <c r="B153" s="256"/>
      <c r="C153" s="85" t="s">
        <v>214</v>
      </c>
      <c r="D153" s="322"/>
      <c r="E153" s="322"/>
      <c r="F153" s="322"/>
      <c r="G153" s="322"/>
      <c r="H153" s="322"/>
      <c r="I153" s="322"/>
      <c r="J153" s="322"/>
      <c r="K153" s="322"/>
      <c r="L153" s="322"/>
      <c r="M153" s="322"/>
      <c r="N153" s="322"/>
      <c r="O153" s="322"/>
      <c r="P153" s="322"/>
      <c r="Q153" s="322"/>
      <c r="R153" s="322"/>
      <c r="S153" s="322"/>
      <c r="T153" s="322"/>
      <c r="U153" s="322"/>
      <c r="V153" s="322"/>
      <c r="W153" s="322"/>
      <c r="X153" s="30" t="s">
        <v>10</v>
      </c>
    </row>
    <row r="154" spans="2:32" hidden="1" x14ac:dyDescent="0.55000000000000004">
      <c r="B154" s="110" t="s">
        <v>270</v>
      </c>
      <c r="C154" s="110"/>
      <c r="D154" s="111">
        <f t="shared" ref="D154:V154" si="26">IF(D$141="",9,IF(OR(D$141="電気式パッケージ形空調機",D$141="ルームエアコン"),1,IF(AND(D$141="ガスヒートポンプ式空調機",D$143="都市ガス",D$149="kW"),2,IF(AND(D$141="ガスヒートポンプ式空調機",D$143="都市ガス",D$149="ｍ3N/h"),3,IF(AND(D$141="ガスヒートポンプ式空調機",D$143="LPG",D$149="kW"),4,IF(AND(D$141="ガスヒートポンプ式空調機",D$143="LPG",D$149="kg/h"),5,0))))))</f>
        <v>1</v>
      </c>
      <c r="E154" s="111">
        <f t="shared" si="26"/>
        <v>9</v>
      </c>
      <c r="F154" s="111">
        <f t="shared" si="26"/>
        <v>9</v>
      </c>
      <c r="G154" s="111">
        <f t="shared" si="26"/>
        <v>9</v>
      </c>
      <c r="H154" s="111">
        <f t="shared" si="26"/>
        <v>9</v>
      </c>
      <c r="I154" s="111">
        <f t="shared" si="26"/>
        <v>9</v>
      </c>
      <c r="J154" s="111">
        <f t="shared" si="26"/>
        <v>9</v>
      </c>
      <c r="K154" s="111">
        <f t="shared" si="26"/>
        <v>9</v>
      </c>
      <c r="L154" s="111">
        <f t="shared" si="26"/>
        <v>9</v>
      </c>
      <c r="M154" s="111">
        <f t="shared" si="26"/>
        <v>9</v>
      </c>
      <c r="N154" s="111">
        <f t="shared" si="26"/>
        <v>9</v>
      </c>
      <c r="O154" s="111">
        <f t="shared" si="26"/>
        <v>9</v>
      </c>
      <c r="P154" s="111">
        <f t="shared" si="26"/>
        <v>9</v>
      </c>
      <c r="Q154" s="111">
        <f t="shared" si="26"/>
        <v>9</v>
      </c>
      <c r="R154" s="111">
        <f t="shared" si="26"/>
        <v>9</v>
      </c>
      <c r="S154" s="111">
        <f t="shared" si="26"/>
        <v>9</v>
      </c>
      <c r="T154" s="111">
        <f t="shared" si="26"/>
        <v>9</v>
      </c>
      <c r="U154" s="111">
        <f t="shared" si="26"/>
        <v>9</v>
      </c>
      <c r="V154" s="111">
        <f t="shared" si="26"/>
        <v>9</v>
      </c>
      <c r="W154" s="111">
        <f>IF(W$141="",9,IF(OR(W$141="電気式パッケージ形空調機",W$141="ルームエアコン"),1,IF(AND(W$141="ガスヒートポンプ式空調機",W$143="都市ガス",W$149="kW"),2,IF(AND(W$141="ガスヒートポンプ式空調機",W$143="都市ガス",W$149="ｍ3N/h"),3,IF(AND(W$141="ガスヒートポンプ式空調機",W$143="LPG",W$149="kW"),4,IF(AND(W$141="ガスヒートポンプ式空調機",W$143="LPG",W$149="kg/h"),5,0))))))</f>
        <v>9</v>
      </c>
      <c r="X154" s="94"/>
      <c r="Y154" s="112">
        <f>COUNTIF($D154:$W154,0)</f>
        <v>0</v>
      </c>
      <c r="Z154" s="157">
        <f>COUNTIF($D154:$W154,1)</f>
        <v>1</v>
      </c>
      <c r="AA154" s="157">
        <f>COUNTIF($D154:$W154,2)</f>
        <v>0</v>
      </c>
      <c r="AB154" s="157">
        <f>COUNTIF($D154:$W154,3)</f>
        <v>0</v>
      </c>
      <c r="AC154" s="112">
        <f>COUNTIF($D154:$W154,4)</f>
        <v>0</v>
      </c>
      <c r="AD154" s="112">
        <f>COUNTIF($D154:$W154,5)</f>
        <v>0</v>
      </c>
      <c r="AE154" s="112"/>
      <c r="AF154" s="99">
        <v>140</v>
      </c>
    </row>
    <row r="155" spans="2:32" hidden="1" x14ac:dyDescent="0.55000000000000004">
      <c r="B155" s="110" t="s">
        <v>271</v>
      </c>
      <c r="C155" s="110"/>
      <c r="D155" s="111">
        <f>IF(AND(D$143="",D$149=""),9,IF(AND(D$143="電気",D$149="kW"),1,IF(AND(D$143="都市ガス",D$149="kW"),2,IF(AND(D$143="都市ガス",D$149="ｍ3N/h"),3,IF(AND(D$143="LPG",D$149="kW"),4,IF(AND(D$143="LPG",D$149="kg/h"),5,0))))))</f>
        <v>1</v>
      </c>
      <c r="E155" s="111">
        <f t="shared" ref="E155:W155" si="27">IF(AND(E$143="",E$149=""),9,IF(AND(E$143="電気",E$149="kW"),1,IF(AND(E$143="都市ガス",E$149="kW"),2,IF(AND(E$143="都市ガス",E$149="ｍ3N/h"),3,IF(AND(E$143="LPG",E$149="kW"),4,IF(AND(E$143="LPG",E$149="kg/h"),5,0))))))</f>
        <v>9</v>
      </c>
      <c r="F155" s="111">
        <f t="shared" si="27"/>
        <v>9</v>
      </c>
      <c r="G155" s="111">
        <f t="shared" si="27"/>
        <v>9</v>
      </c>
      <c r="H155" s="111">
        <f t="shared" si="27"/>
        <v>9</v>
      </c>
      <c r="I155" s="111">
        <f t="shared" si="27"/>
        <v>9</v>
      </c>
      <c r="J155" s="111">
        <f t="shared" si="27"/>
        <v>9</v>
      </c>
      <c r="K155" s="111">
        <f t="shared" si="27"/>
        <v>9</v>
      </c>
      <c r="L155" s="111">
        <f t="shared" si="27"/>
        <v>9</v>
      </c>
      <c r="M155" s="111">
        <f t="shared" si="27"/>
        <v>9</v>
      </c>
      <c r="N155" s="111">
        <f t="shared" si="27"/>
        <v>9</v>
      </c>
      <c r="O155" s="111">
        <f t="shared" si="27"/>
        <v>9</v>
      </c>
      <c r="P155" s="111">
        <f t="shared" si="27"/>
        <v>9</v>
      </c>
      <c r="Q155" s="111">
        <f t="shared" si="27"/>
        <v>9</v>
      </c>
      <c r="R155" s="111">
        <f t="shared" si="27"/>
        <v>9</v>
      </c>
      <c r="S155" s="111">
        <f t="shared" si="27"/>
        <v>9</v>
      </c>
      <c r="T155" s="111">
        <f t="shared" si="27"/>
        <v>9</v>
      </c>
      <c r="U155" s="111">
        <f t="shared" si="27"/>
        <v>9</v>
      </c>
      <c r="V155" s="111">
        <f t="shared" si="27"/>
        <v>9</v>
      </c>
      <c r="W155" s="111">
        <f t="shared" si="27"/>
        <v>9</v>
      </c>
      <c r="X155" s="94"/>
      <c r="Y155" s="112">
        <f>COUNTIF($D155:$W155,0)</f>
        <v>0</v>
      </c>
      <c r="Z155" s="157">
        <f>COUNTIF($D155:$W155,1)</f>
        <v>1</v>
      </c>
      <c r="AA155" s="157">
        <f>COUNTIF($D155:$W155,2)</f>
        <v>0</v>
      </c>
      <c r="AB155" s="157">
        <f>COUNTIF($D155:$W155,3)</f>
        <v>0</v>
      </c>
      <c r="AC155" s="112">
        <f>COUNTIF($D155:$W155,4)</f>
        <v>0</v>
      </c>
      <c r="AD155" s="112">
        <f>COUNTIF($D155:$W155,5)</f>
        <v>0</v>
      </c>
      <c r="AE155" s="112"/>
      <c r="AF155" s="99">
        <v>141</v>
      </c>
    </row>
    <row r="156" spans="2:32" hidden="1" x14ac:dyDescent="0.55000000000000004">
      <c r="B156" s="113" t="s">
        <v>269</v>
      </c>
      <c r="C156" s="113"/>
      <c r="D156" s="114">
        <f>IF(OR(AND(D154=0,D155=0),D154&lt;&gt;D155),1,IF(AND(D154=9,D155=9),2,IF(D154=D155,0,"")))</f>
        <v>0</v>
      </c>
      <c r="E156" s="114">
        <f t="shared" ref="E156:W156" si="28">IF(OR(AND(E154=0,E155=0),E154&lt;&gt;E155),1,IF(AND(E154=9,E155=9),2,IF(E154=E155,0,"")))</f>
        <v>2</v>
      </c>
      <c r="F156" s="114">
        <f t="shared" si="28"/>
        <v>2</v>
      </c>
      <c r="G156" s="114">
        <f t="shared" si="28"/>
        <v>2</v>
      </c>
      <c r="H156" s="114">
        <f t="shared" si="28"/>
        <v>2</v>
      </c>
      <c r="I156" s="114">
        <f t="shared" si="28"/>
        <v>2</v>
      </c>
      <c r="J156" s="114">
        <f t="shared" si="28"/>
        <v>2</v>
      </c>
      <c r="K156" s="114">
        <f t="shared" si="28"/>
        <v>2</v>
      </c>
      <c r="L156" s="114">
        <f t="shared" si="28"/>
        <v>2</v>
      </c>
      <c r="M156" s="114">
        <f t="shared" si="28"/>
        <v>2</v>
      </c>
      <c r="N156" s="114">
        <f t="shared" si="28"/>
        <v>2</v>
      </c>
      <c r="O156" s="114">
        <f t="shared" si="28"/>
        <v>2</v>
      </c>
      <c r="P156" s="114">
        <f t="shared" si="28"/>
        <v>2</v>
      </c>
      <c r="Q156" s="114">
        <f t="shared" si="28"/>
        <v>2</v>
      </c>
      <c r="R156" s="114">
        <f t="shared" si="28"/>
        <v>2</v>
      </c>
      <c r="S156" s="114">
        <f t="shared" si="28"/>
        <v>2</v>
      </c>
      <c r="T156" s="114">
        <f t="shared" si="28"/>
        <v>2</v>
      </c>
      <c r="U156" s="114">
        <f t="shared" si="28"/>
        <v>2</v>
      </c>
      <c r="V156" s="114">
        <f t="shared" si="28"/>
        <v>2</v>
      </c>
      <c r="W156" s="114">
        <f t="shared" si="28"/>
        <v>2</v>
      </c>
      <c r="X156" s="94" t="str">
        <f>IF(Z156&gt;0,"入力確認",IF(AE158=Y156,"適合","不適合"))</f>
        <v>適合</v>
      </c>
      <c r="Y156" s="112">
        <f>COUNTIF($D156:$W156,0)</f>
        <v>1</v>
      </c>
      <c r="Z156" s="157">
        <f>COUNTIF($D156:$W156,1)</f>
        <v>0</v>
      </c>
      <c r="AA156" s="157">
        <f>COUNTIF($D156:$W156,2)</f>
        <v>19</v>
      </c>
      <c r="AB156" s="157"/>
      <c r="AC156" s="112"/>
      <c r="AD156" s="112"/>
      <c r="AE156" s="112"/>
      <c r="AF156" s="99">
        <v>142</v>
      </c>
    </row>
    <row r="157" spans="2:32" hidden="1" x14ac:dyDescent="0.55000000000000004">
      <c r="B157" s="145" t="s">
        <v>428</v>
      </c>
      <c r="C157" s="145"/>
      <c r="D157" s="146">
        <f t="shared" ref="D157:N157" si="29">IF(OR(D147&lt;0,D148&lt;0),1,IF(OR(D147&gt;0,D148&gt;0),0,2))</f>
        <v>0</v>
      </c>
      <c r="E157" s="146">
        <f t="shared" si="29"/>
        <v>2</v>
      </c>
      <c r="F157" s="146">
        <f t="shared" si="29"/>
        <v>2</v>
      </c>
      <c r="G157" s="146">
        <f t="shared" si="29"/>
        <v>2</v>
      </c>
      <c r="H157" s="146">
        <f t="shared" si="29"/>
        <v>2</v>
      </c>
      <c r="I157" s="146">
        <f t="shared" si="29"/>
        <v>2</v>
      </c>
      <c r="J157" s="146">
        <f t="shared" si="29"/>
        <v>2</v>
      </c>
      <c r="K157" s="146">
        <f t="shared" si="29"/>
        <v>2</v>
      </c>
      <c r="L157" s="146">
        <f t="shared" si="29"/>
        <v>2</v>
      </c>
      <c r="M157" s="146">
        <f t="shared" si="29"/>
        <v>2</v>
      </c>
      <c r="N157" s="146">
        <f t="shared" si="29"/>
        <v>2</v>
      </c>
      <c r="O157" s="146">
        <f>IF(OR(O147&lt;0,O148&lt;0),1,IF(OR(O147&gt;0,O148&gt;0),0,2))</f>
        <v>2</v>
      </c>
      <c r="P157" s="146">
        <f t="shared" ref="P157:W157" si="30">IF(OR(P147&lt;0,P148&lt;0),1,IF(OR(P147&gt;0,P148&gt;0),0,2))</f>
        <v>2</v>
      </c>
      <c r="Q157" s="146">
        <f t="shared" si="30"/>
        <v>2</v>
      </c>
      <c r="R157" s="146">
        <f t="shared" si="30"/>
        <v>2</v>
      </c>
      <c r="S157" s="146">
        <f t="shared" si="30"/>
        <v>2</v>
      </c>
      <c r="T157" s="146">
        <f t="shared" si="30"/>
        <v>2</v>
      </c>
      <c r="U157" s="146">
        <f t="shared" si="30"/>
        <v>2</v>
      </c>
      <c r="V157" s="146">
        <f t="shared" si="30"/>
        <v>2</v>
      </c>
      <c r="W157" s="146">
        <f t="shared" si="30"/>
        <v>2</v>
      </c>
      <c r="X157" s="94" t="str">
        <f>IF(Z157&gt;0,"入力確認",IF(AE158=Y157,"適合","不適合"))</f>
        <v>適合</v>
      </c>
      <c r="Y157" s="112">
        <f>COUNTIF($D157:$W157,0)</f>
        <v>1</v>
      </c>
      <c r="Z157" s="157">
        <f>COUNTIF($D157:$W157,1)</f>
        <v>0</v>
      </c>
      <c r="AA157" s="157">
        <f>COUNTIF($D157:$W157,2)</f>
        <v>19</v>
      </c>
      <c r="AB157" s="157"/>
      <c r="AC157" s="112"/>
      <c r="AD157" s="112"/>
      <c r="AE157" s="112"/>
      <c r="AF157" s="99">
        <v>143</v>
      </c>
    </row>
    <row r="158" spans="2:32" hidden="1" x14ac:dyDescent="0.55000000000000004">
      <c r="B158" s="96" t="s">
        <v>246</v>
      </c>
      <c r="C158" s="94"/>
      <c r="D158" s="94">
        <f t="shared" ref="D158:W158" si="31">IF(AND(D141="",D142="",D143="",D144="",D145="",D146="",D147="",D148="",D149="",D152="",D153=""),2,IF(AND(D141&lt;&gt;"",D142&lt;&gt;"",D143&lt;&gt;"",D144&lt;&gt;"",D145&lt;&gt;"",D146&lt;&gt;"",D147&lt;&gt;"",D148&lt;&gt;"",D149&lt;&gt;"",OR(D152&lt;&gt;"",D153&lt;&gt;"")),0,1))</f>
        <v>0</v>
      </c>
      <c r="E158" s="94">
        <f t="shared" si="31"/>
        <v>2</v>
      </c>
      <c r="F158" s="94">
        <f t="shared" si="31"/>
        <v>2</v>
      </c>
      <c r="G158" s="94">
        <f t="shared" si="31"/>
        <v>2</v>
      </c>
      <c r="H158" s="94">
        <f t="shared" si="31"/>
        <v>2</v>
      </c>
      <c r="I158" s="94">
        <f t="shared" si="31"/>
        <v>2</v>
      </c>
      <c r="J158" s="94">
        <f t="shared" si="31"/>
        <v>2</v>
      </c>
      <c r="K158" s="94">
        <f t="shared" si="31"/>
        <v>2</v>
      </c>
      <c r="L158" s="94">
        <f t="shared" si="31"/>
        <v>2</v>
      </c>
      <c r="M158" s="94">
        <f t="shared" si="31"/>
        <v>2</v>
      </c>
      <c r="N158" s="94">
        <f t="shared" si="31"/>
        <v>2</v>
      </c>
      <c r="O158" s="94">
        <f>IF(AND(O141="",O142="",O143="",O144="",O145="",O146="",O147="",O148="",O149="",O152="",O153=""),2,IF(AND(O141&lt;&gt;"",O142&lt;&gt;"",O143&lt;&gt;"",O144&lt;&gt;"",O145&lt;&gt;"",O146&lt;&gt;"",O147&lt;&gt;"",O148&lt;&gt;"",O149&lt;&gt;"",OR(O152&lt;&gt;"",O153&lt;&gt;"")),0,1))</f>
        <v>2</v>
      </c>
      <c r="P158" s="94">
        <f t="shared" si="31"/>
        <v>2</v>
      </c>
      <c r="Q158" s="94">
        <f t="shared" si="31"/>
        <v>2</v>
      </c>
      <c r="R158" s="94">
        <f t="shared" si="31"/>
        <v>2</v>
      </c>
      <c r="S158" s="94">
        <f t="shared" si="31"/>
        <v>2</v>
      </c>
      <c r="T158" s="94">
        <f t="shared" si="31"/>
        <v>2</v>
      </c>
      <c r="U158" s="94">
        <f t="shared" si="31"/>
        <v>2</v>
      </c>
      <c r="V158" s="94">
        <f t="shared" si="31"/>
        <v>2</v>
      </c>
      <c r="W158" s="94">
        <f t="shared" si="31"/>
        <v>2</v>
      </c>
      <c r="X158" s="94" t="str">
        <f>IF(Z158&gt;0,"入力確認",IF(AE158=Y158,"適合","不適合"))</f>
        <v>適合</v>
      </c>
      <c r="Y158" s="112">
        <f>COUNTIF($D158:$W158,0)</f>
        <v>1</v>
      </c>
      <c r="Z158" s="157">
        <f>COUNTIF($D158:$W158,1)</f>
        <v>0</v>
      </c>
      <c r="AA158" s="157">
        <f>COUNTIF($D158:$W158,2)</f>
        <v>19</v>
      </c>
      <c r="AB158" s="157"/>
      <c r="AC158" s="112"/>
      <c r="AD158" s="112"/>
      <c r="AE158" s="144">
        <f>20-COUNTIF($D$141:$W$141,"")</f>
        <v>1</v>
      </c>
      <c r="AF158" s="99">
        <v>144</v>
      </c>
    </row>
    <row r="160" spans="2:32" ht="33" customHeight="1" x14ac:dyDescent="0.55000000000000004">
      <c r="B160" s="23" t="s">
        <v>266</v>
      </c>
      <c r="C160" s="32"/>
    </row>
    <row r="161" spans="2:25" ht="9" customHeight="1" x14ac:dyDescent="0.55000000000000004">
      <c r="B161" s="18"/>
      <c r="C161" s="32"/>
    </row>
    <row r="162" spans="2:25" ht="27" customHeight="1" x14ac:dyDescent="0.55000000000000004">
      <c r="B162" s="200" t="s">
        <v>191</v>
      </c>
      <c r="C162" s="225" t="s">
        <v>131</v>
      </c>
      <c r="D162" s="225"/>
      <c r="E162" s="225"/>
      <c r="F162" s="225"/>
      <c r="G162" s="225"/>
      <c r="H162" s="226" t="s">
        <v>132</v>
      </c>
      <c r="I162" s="226"/>
      <c r="J162" s="226"/>
      <c r="K162" s="226"/>
      <c r="L162" s="226"/>
      <c r="M162" s="226"/>
      <c r="N162" s="226"/>
      <c r="O162" s="227" t="s">
        <v>275</v>
      </c>
      <c r="P162" s="227"/>
      <c r="Q162" s="227"/>
      <c r="R162" s="227"/>
      <c r="S162" s="227"/>
      <c r="T162" s="227"/>
      <c r="U162" s="223" t="s">
        <v>190</v>
      </c>
      <c r="V162" s="224"/>
      <c r="W162" s="130"/>
      <c r="X162" s="131"/>
      <c r="Y162" s="120"/>
    </row>
    <row r="163" spans="2:25" ht="27" customHeight="1" x14ac:dyDescent="0.55000000000000004">
      <c r="B163" s="81" t="s">
        <v>286</v>
      </c>
      <c r="C163" s="301" t="s">
        <v>536</v>
      </c>
      <c r="D163" s="301"/>
      <c r="E163" s="301"/>
      <c r="F163" s="301"/>
      <c r="G163" s="301"/>
      <c r="H163" s="301" t="s">
        <v>537</v>
      </c>
      <c r="I163" s="301"/>
      <c r="J163" s="301"/>
      <c r="K163" s="301"/>
      <c r="L163" s="301"/>
      <c r="M163" s="301"/>
      <c r="N163" s="301"/>
      <c r="O163" s="301" t="s">
        <v>538</v>
      </c>
      <c r="P163" s="301"/>
      <c r="Q163" s="301"/>
      <c r="R163" s="301"/>
      <c r="S163" s="301"/>
      <c r="T163" s="301"/>
      <c r="U163" s="301" t="s">
        <v>539</v>
      </c>
      <c r="V163" s="301"/>
      <c r="W163" s="328"/>
      <c r="X163" s="131"/>
      <c r="Y163" s="329"/>
    </row>
    <row r="164" spans="2:25" ht="27" customHeight="1" x14ac:dyDescent="0.55000000000000004">
      <c r="B164" s="75" t="s">
        <v>306</v>
      </c>
      <c r="C164" s="302"/>
      <c r="D164" s="302"/>
      <c r="E164" s="302"/>
      <c r="F164" s="302"/>
      <c r="G164" s="302"/>
      <c r="H164" s="302"/>
      <c r="I164" s="302"/>
      <c r="J164" s="302"/>
      <c r="K164" s="302"/>
      <c r="L164" s="302"/>
      <c r="M164" s="302"/>
      <c r="N164" s="302"/>
      <c r="O164" s="302"/>
      <c r="P164" s="302"/>
      <c r="Q164" s="302"/>
      <c r="R164" s="302"/>
      <c r="S164" s="302"/>
      <c r="T164" s="302"/>
      <c r="U164" s="302"/>
      <c r="V164" s="302"/>
      <c r="W164" s="328"/>
      <c r="X164" s="131"/>
      <c r="Y164" s="329"/>
    </row>
    <row r="165" spans="2:25" ht="27" customHeight="1" x14ac:dyDescent="0.55000000000000004">
      <c r="B165" s="75" t="s">
        <v>288</v>
      </c>
      <c r="C165" s="302"/>
      <c r="D165" s="302"/>
      <c r="E165" s="302"/>
      <c r="F165" s="302"/>
      <c r="G165" s="302"/>
      <c r="H165" s="302"/>
      <c r="I165" s="302"/>
      <c r="J165" s="302"/>
      <c r="K165" s="302"/>
      <c r="L165" s="302"/>
      <c r="M165" s="302"/>
      <c r="N165" s="302"/>
      <c r="O165" s="302"/>
      <c r="P165" s="302"/>
      <c r="Q165" s="302"/>
      <c r="R165" s="302"/>
      <c r="S165" s="302"/>
      <c r="T165" s="302"/>
      <c r="U165" s="302"/>
      <c r="V165" s="302"/>
      <c r="W165" s="328"/>
      <c r="X165" s="131"/>
      <c r="Y165" s="329"/>
    </row>
    <row r="166" spans="2:25" ht="27" customHeight="1" x14ac:dyDescent="0.55000000000000004">
      <c r="B166" s="75" t="s">
        <v>289</v>
      </c>
      <c r="C166" s="302"/>
      <c r="D166" s="302"/>
      <c r="E166" s="302"/>
      <c r="F166" s="302"/>
      <c r="G166" s="302"/>
      <c r="H166" s="302"/>
      <c r="I166" s="302"/>
      <c r="J166" s="302"/>
      <c r="K166" s="302"/>
      <c r="L166" s="302"/>
      <c r="M166" s="302"/>
      <c r="N166" s="302"/>
      <c r="O166" s="302"/>
      <c r="P166" s="302"/>
      <c r="Q166" s="302"/>
      <c r="R166" s="302"/>
      <c r="S166" s="302"/>
      <c r="T166" s="302"/>
      <c r="U166" s="302"/>
      <c r="V166" s="302"/>
      <c r="W166" s="328"/>
      <c r="X166" s="131"/>
      <c r="Y166" s="329"/>
    </row>
    <row r="167" spans="2:25" ht="27" customHeight="1" x14ac:dyDescent="0.55000000000000004">
      <c r="B167" s="75" t="s">
        <v>290</v>
      </c>
      <c r="C167" s="302"/>
      <c r="D167" s="302"/>
      <c r="E167" s="302"/>
      <c r="F167" s="302"/>
      <c r="G167" s="302"/>
      <c r="H167" s="302"/>
      <c r="I167" s="302"/>
      <c r="J167" s="302"/>
      <c r="K167" s="302"/>
      <c r="L167" s="302"/>
      <c r="M167" s="302"/>
      <c r="N167" s="302"/>
      <c r="O167" s="302"/>
      <c r="P167" s="302"/>
      <c r="Q167" s="302"/>
      <c r="R167" s="302"/>
      <c r="S167" s="302"/>
      <c r="T167" s="302"/>
      <c r="U167" s="302"/>
      <c r="V167" s="302"/>
      <c r="W167" s="328"/>
      <c r="X167" s="131"/>
      <c r="Y167" s="329"/>
    </row>
    <row r="168" spans="2:25" ht="27" customHeight="1" x14ac:dyDescent="0.55000000000000004">
      <c r="B168" s="75" t="s">
        <v>291</v>
      </c>
      <c r="C168" s="302"/>
      <c r="D168" s="302"/>
      <c r="E168" s="302"/>
      <c r="F168" s="302"/>
      <c r="G168" s="302"/>
      <c r="H168" s="302"/>
      <c r="I168" s="302"/>
      <c r="J168" s="302"/>
      <c r="K168" s="302"/>
      <c r="L168" s="302"/>
      <c r="M168" s="302"/>
      <c r="N168" s="302"/>
      <c r="O168" s="302"/>
      <c r="P168" s="302"/>
      <c r="Q168" s="302"/>
      <c r="R168" s="302"/>
      <c r="S168" s="302"/>
      <c r="T168" s="302"/>
      <c r="U168" s="302"/>
      <c r="V168" s="302"/>
      <c r="W168" s="328"/>
      <c r="X168" s="131"/>
      <c r="Y168" s="329"/>
    </row>
    <row r="169" spans="2:25" ht="27" customHeight="1" x14ac:dyDescent="0.55000000000000004">
      <c r="B169" s="75" t="s">
        <v>292</v>
      </c>
      <c r="C169" s="302"/>
      <c r="D169" s="302"/>
      <c r="E169" s="302"/>
      <c r="F169" s="302"/>
      <c r="G169" s="302"/>
      <c r="H169" s="302"/>
      <c r="I169" s="302"/>
      <c r="J169" s="302"/>
      <c r="K169" s="302"/>
      <c r="L169" s="302"/>
      <c r="M169" s="302"/>
      <c r="N169" s="302"/>
      <c r="O169" s="302"/>
      <c r="P169" s="302"/>
      <c r="Q169" s="302"/>
      <c r="R169" s="302"/>
      <c r="S169" s="302"/>
      <c r="T169" s="302"/>
      <c r="U169" s="302"/>
      <c r="V169" s="302"/>
      <c r="W169" s="328"/>
      <c r="X169" s="131"/>
      <c r="Y169" s="329"/>
    </row>
    <row r="170" spans="2:25" ht="27" customHeight="1" x14ac:dyDescent="0.55000000000000004">
      <c r="B170" s="75" t="s">
        <v>293</v>
      </c>
      <c r="C170" s="302"/>
      <c r="D170" s="302"/>
      <c r="E170" s="302"/>
      <c r="F170" s="302"/>
      <c r="G170" s="302"/>
      <c r="H170" s="302"/>
      <c r="I170" s="302"/>
      <c r="J170" s="302"/>
      <c r="K170" s="302"/>
      <c r="L170" s="302"/>
      <c r="M170" s="302"/>
      <c r="N170" s="302"/>
      <c r="O170" s="302"/>
      <c r="P170" s="302"/>
      <c r="Q170" s="302"/>
      <c r="R170" s="302"/>
      <c r="S170" s="302"/>
      <c r="T170" s="302"/>
      <c r="U170" s="302"/>
      <c r="V170" s="302"/>
      <c r="W170" s="328"/>
      <c r="X170" s="131"/>
      <c r="Y170" s="329"/>
    </row>
    <row r="171" spans="2:25" ht="27" customHeight="1" x14ac:dyDescent="0.55000000000000004">
      <c r="B171" s="75" t="s">
        <v>294</v>
      </c>
      <c r="C171" s="302"/>
      <c r="D171" s="302"/>
      <c r="E171" s="302"/>
      <c r="F171" s="302"/>
      <c r="G171" s="302"/>
      <c r="H171" s="302"/>
      <c r="I171" s="302"/>
      <c r="J171" s="302"/>
      <c r="K171" s="302"/>
      <c r="L171" s="302"/>
      <c r="M171" s="302"/>
      <c r="N171" s="302"/>
      <c r="O171" s="302"/>
      <c r="P171" s="302"/>
      <c r="Q171" s="302"/>
      <c r="R171" s="302"/>
      <c r="S171" s="302"/>
      <c r="T171" s="302"/>
      <c r="U171" s="302"/>
      <c r="V171" s="302"/>
      <c r="W171" s="328"/>
      <c r="X171" s="131"/>
      <c r="Y171" s="329"/>
    </row>
    <row r="172" spans="2:25" ht="27" customHeight="1" x14ac:dyDescent="0.55000000000000004">
      <c r="B172" s="75" t="s">
        <v>295</v>
      </c>
      <c r="C172" s="302"/>
      <c r="D172" s="302"/>
      <c r="E172" s="302"/>
      <c r="F172" s="302"/>
      <c r="G172" s="302"/>
      <c r="H172" s="302"/>
      <c r="I172" s="302"/>
      <c r="J172" s="302"/>
      <c r="K172" s="302"/>
      <c r="L172" s="302"/>
      <c r="M172" s="302"/>
      <c r="N172" s="302"/>
      <c r="O172" s="302"/>
      <c r="P172" s="302"/>
      <c r="Q172" s="302"/>
      <c r="R172" s="302"/>
      <c r="S172" s="302"/>
      <c r="T172" s="302"/>
      <c r="U172" s="302"/>
      <c r="V172" s="302"/>
      <c r="W172" s="328"/>
      <c r="X172" s="131"/>
      <c r="Y172" s="329"/>
    </row>
    <row r="173" spans="2:25" ht="27" customHeight="1" x14ac:dyDescent="0.55000000000000004">
      <c r="B173" s="75" t="s">
        <v>351</v>
      </c>
      <c r="C173" s="302"/>
      <c r="D173" s="302"/>
      <c r="E173" s="302"/>
      <c r="F173" s="302"/>
      <c r="G173" s="302"/>
      <c r="H173" s="302"/>
      <c r="I173" s="302"/>
      <c r="J173" s="302"/>
      <c r="K173" s="302"/>
      <c r="L173" s="302"/>
      <c r="M173" s="302"/>
      <c r="N173" s="302"/>
      <c r="O173" s="302"/>
      <c r="P173" s="302"/>
      <c r="Q173" s="302"/>
      <c r="R173" s="302"/>
      <c r="S173" s="302"/>
      <c r="T173" s="302"/>
      <c r="U173" s="302"/>
      <c r="V173" s="302"/>
      <c r="W173" s="328"/>
      <c r="X173" s="131"/>
      <c r="Y173" s="329"/>
    </row>
    <row r="174" spans="2:25" ht="27" customHeight="1" x14ac:dyDescent="0.55000000000000004">
      <c r="B174" s="75" t="s">
        <v>352</v>
      </c>
      <c r="C174" s="302"/>
      <c r="D174" s="302"/>
      <c r="E174" s="302"/>
      <c r="F174" s="302"/>
      <c r="G174" s="302"/>
      <c r="H174" s="302"/>
      <c r="I174" s="302"/>
      <c r="J174" s="302"/>
      <c r="K174" s="302"/>
      <c r="L174" s="302"/>
      <c r="M174" s="302"/>
      <c r="N174" s="302"/>
      <c r="O174" s="302"/>
      <c r="P174" s="302"/>
      <c r="Q174" s="302"/>
      <c r="R174" s="302"/>
      <c r="S174" s="302"/>
      <c r="T174" s="302"/>
      <c r="U174" s="302"/>
      <c r="V174" s="302"/>
      <c r="W174" s="328"/>
      <c r="X174" s="131"/>
      <c r="Y174" s="329"/>
    </row>
    <row r="175" spans="2:25" ht="27" customHeight="1" x14ac:dyDescent="0.55000000000000004">
      <c r="B175" s="75" t="s">
        <v>353</v>
      </c>
      <c r="C175" s="302"/>
      <c r="D175" s="302"/>
      <c r="E175" s="302"/>
      <c r="F175" s="302"/>
      <c r="G175" s="302"/>
      <c r="H175" s="302"/>
      <c r="I175" s="302"/>
      <c r="J175" s="302"/>
      <c r="K175" s="302"/>
      <c r="L175" s="302"/>
      <c r="M175" s="302"/>
      <c r="N175" s="302"/>
      <c r="O175" s="302"/>
      <c r="P175" s="302"/>
      <c r="Q175" s="302"/>
      <c r="R175" s="302"/>
      <c r="S175" s="302"/>
      <c r="T175" s="302"/>
      <c r="U175" s="302"/>
      <c r="V175" s="302"/>
      <c r="W175" s="328"/>
      <c r="X175" s="131"/>
      <c r="Y175" s="329"/>
    </row>
    <row r="176" spans="2:25" ht="27" customHeight="1" x14ac:dyDescent="0.55000000000000004">
      <c r="B176" s="75" t="s">
        <v>354</v>
      </c>
      <c r="C176" s="302"/>
      <c r="D176" s="302"/>
      <c r="E176" s="302"/>
      <c r="F176" s="302"/>
      <c r="G176" s="302"/>
      <c r="H176" s="302"/>
      <c r="I176" s="302"/>
      <c r="J176" s="302"/>
      <c r="K176" s="302"/>
      <c r="L176" s="302"/>
      <c r="M176" s="302"/>
      <c r="N176" s="302"/>
      <c r="O176" s="302"/>
      <c r="P176" s="302"/>
      <c r="Q176" s="302"/>
      <c r="R176" s="302"/>
      <c r="S176" s="302"/>
      <c r="T176" s="302"/>
      <c r="U176" s="302"/>
      <c r="V176" s="302"/>
      <c r="W176" s="328"/>
      <c r="X176" s="131"/>
      <c r="Y176" s="329"/>
    </row>
    <row r="177" spans="2:25" ht="27" customHeight="1" x14ac:dyDescent="0.55000000000000004">
      <c r="B177" s="75" t="s">
        <v>355</v>
      </c>
      <c r="C177" s="302"/>
      <c r="D177" s="302"/>
      <c r="E177" s="302"/>
      <c r="F177" s="302"/>
      <c r="G177" s="302"/>
      <c r="H177" s="302"/>
      <c r="I177" s="302"/>
      <c r="J177" s="302"/>
      <c r="K177" s="302"/>
      <c r="L177" s="302"/>
      <c r="M177" s="302"/>
      <c r="N177" s="302"/>
      <c r="O177" s="302"/>
      <c r="P177" s="302"/>
      <c r="Q177" s="302"/>
      <c r="R177" s="302"/>
      <c r="S177" s="302"/>
      <c r="T177" s="302"/>
      <c r="U177" s="302"/>
      <c r="V177" s="302"/>
      <c r="W177" s="328"/>
      <c r="X177" s="131"/>
      <c r="Y177" s="329"/>
    </row>
    <row r="178" spans="2:25" ht="27" customHeight="1" x14ac:dyDescent="0.55000000000000004">
      <c r="B178" s="75" t="s">
        <v>356</v>
      </c>
      <c r="C178" s="302"/>
      <c r="D178" s="302"/>
      <c r="E178" s="302"/>
      <c r="F178" s="302"/>
      <c r="G178" s="302"/>
      <c r="H178" s="302"/>
      <c r="I178" s="302"/>
      <c r="J178" s="302"/>
      <c r="K178" s="302"/>
      <c r="L178" s="302"/>
      <c r="M178" s="302"/>
      <c r="N178" s="302"/>
      <c r="O178" s="302"/>
      <c r="P178" s="302"/>
      <c r="Q178" s="302"/>
      <c r="R178" s="302"/>
      <c r="S178" s="302"/>
      <c r="T178" s="302"/>
      <c r="U178" s="302"/>
      <c r="V178" s="302"/>
      <c r="W178" s="328"/>
      <c r="X178" s="131"/>
      <c r="Y178" s="329"/>
    </row>
    <row r="179" spans="2:25" ht="27" customHeight="1" x14ac:dyDescent="0.55000000000000004">
      <c r="B179" s="75" t="s">
        <v>357</v>
      </c>
      <c r="C179" s="302"/>
      <c r="D179" s="302"/>
      <c r="E179" s="302"/>
      <c r="F179" s="302"/>
      <c r="G179" s="302"/>
      <c r="H179" s="302"/>
      <c r="I179" s="302"/>
      <c r="J179" s="302"/>
      <c r="K179" s="302"/>
      <c r="L179" s="302"/>
      <c r="M179" s="302"/>
      <c r="N179" s="302"/>
      <c r="O179" s="302"/>
      <c r="P179" s="302"/>
      <c r="Q179" s="302"/>
      <c r="R179" s="302"/>
      <c r="S179" s="302"/>
      <c r="T179" s="302"/>
      <c r="U179" s="302"/>
      <c r="V179" s="302"/>
      <c r="W179" s="328"/>
      <c r="X179" s="131"/>
      <c r="Y179" s="329"/>
    </row>
    <row r="180" spans="2:25" ht="27" customHeight="1" x14ac:dyDescent="0.55000000000000004">
      <c r="B180" s="75" t="s">
        <v>358</v>
      </c>
      <c r="C180" s="302"/>
      <c r="D180" s="302"/>
      <c r="E180" s="302"/>
      <c r="F180" s="302"/>
      <c r="G180" s="302"/>
      <c r="H180" s="302"/>
      <c r="I180" s="302"/>
      <c r="J180" s="302"/>
      <c r="K180" s="302"/>
      <c r="L180" s="302"/>
      <c r="M180" s="302"/>
      <c r="N180" s="302"/>
      <c r="O180" s="302"/>
      <c r="P180" s="302"/>
      <c r="Q180" s="302"/>
      <c r="R180" s="302"/>
      <c r="S180" s="302"/>
      <c r="T180" s="302"/>
      <c r="U180" s="302"/>
      <c r="V180" s="302"/>
      <c r="W180" s="328"/>
      <c r="X180" s="131"/>
      <c r="Y180" s="329"/>
    </row>
    <row r="181" spans="2:25" ht="27" customHeight="1" x14ac:dyDescent="0.55000000000000004">
      <c r="B181" s="75" t="s">
        <v>359</v>
      </c>
      <c r="C181" s="302"/>
      <c r="D181" s="302"/>
      <c r="E181" s="302"/>
      <c r="F181" s="302"/>
      <c r="G181" s="302"/>
      <c r="H181" s="302"/>
      <c r="I181" s="302"/>
      <c r="J181" s="302"/>
      <c r="K181" s="302"/>
      <c r="L181" s="302"/>
      <c r="M181" s="302"/>
      <c r="N181" s="302"/>
      <c r="O181" s="302"/>
      <c r="P181" s="302"/>
      <c r="Q181" s="302"/>
      <c r="R181" s="302"/>
      <c r="S181" s="302"/>
      <c r="T181" s="302"/>
      <c r="U181" s="302"/>
      <c r="V181" s="302"/>
      <c r="W181" s="328"/>
      <c r="X181" s="131"/>
      <c r="Y181" s="329"/>
    </row>
    <row r="182" spans="2:25" ht="27" customHeight="1" x14ac:dyDescent="0.55000000000000004">
      <c r="B182" s="75" t="s">
        <v>360</v>
      </c>
      <c r="C182" s="305"/>
      <c r="D182" s="305"/>
      <c r="E182" s="305"/>
      <c r="F182" s="305"/>
      <c r="G182" s="305"/>
      <c r="H182" s="305"/>
      <c r="I182" s="305"/>
      <c r="J182" s="305"/>
      <c r="K182" s="305"/>
      <c r="L182" s="305"/>
      <c r="M182" s="305"/>
      <c r="N182" s="305"/>
      <c r="O182" s="305"/>
      <c r="P182" s="305"/>
      <c r="Q182" s="305"/>
      <c r="R182" s="305"/>
      <c r="S182" s="305"/>
      <c r="T182" s="305"/>
      <c r="U182" s="305"/>
      <c r="V182" s="305"/>
      <c r="W182" s="328"/>
      <c r="X182" s="131"/>
      <c r="Y182" s="329"/>
    </row>
    <row r="183" spans="2:25" x14ac:dyDescent="0.55000000000000004">
      <c r="B183" s="76"/>
      <c r="C183" s="77"/>
      <c r="D183" s="77"/>
      <c r="E183" s="77"/>
      <c r="F183" s="77"/>
      <c r="G183" s="77"/>
      <c r="H183" s="77"/>
      <c r="I183" s="78"/>
      <c r="J183" s="78"/>
      <c r="K183" s="78"/>
      <c r="L183" s="78"/>
      <c r="M183" s="76"/>
      <c r="N183" s="119"/>
      <c r="O183" s="119"/>
      <c r="P183" s="119"/>
      <c r="Q183" s="119"/>
      <c r="R183" s="119"/>
      <c r="S183" s="119"/>
      <c r="T183" s="119"/>
      <c r="U183" s="119"/>
      <c r="V183" s="119"/>
      <c r="W183" s="119"/>
      <c r="X183" s="119"/>
    </row>
    <row r="184" spans="2:25" ht="27" customHeight="1" x14ac:dyDescent="0.55000000000000004">
      <c r="B184" s="200" t="s">
        <v>192</v>
      </c>
      <c r="C184" s="225" t="s">
        <v>131</v>
      </c>
      <c r="D184" s="225"/>
      <c r="E184" s="225"/>
      <c r="F184" s="225"/>
      <c r="G184" s="225"/>
      <c r="H184" s="226" t="s">
        <v>132</v>
      </c>
      <c r="I184" s="226"/>
      <c r="J184" s="226"/>
      <c r="K184" s="226"/>
      <c r="L184" s="226"/>
      <c r="M184" s="226"/>
      <c r="N184" s="226"/>
      <c r="O184" s="227" t="s">
        <v>275</v>
      </c>
      <c r="P184" s="227"/>
      <c r="Q184" s="227"/>
      <c r="R184" s="227"/>
      <c r="S184" s="227"/>
      <c r="T184" s="227"/>
      <c r="U184" s="223" t="s">
        <v>190</v>
      </c>
      <c r="V184" s="224"/>
      <c r="W184" s="223" t="s">
        <v>212</v>
      </c>
      <c r="X184" s="224"/>
    </row>
    <row r="185" spans="2:25" ht="27" customHeight="1" x14ac:dyDescent="0.55000000000000004">
      <c r="B185" s="121" t="s">
        <v>296</v>
      </c>
      <c r="C185" s="301" t="s">
        <v>536</v>
      </c>
      <c r="D185" s="301"/>
      <c r="E185" s="301"/>
      <c r="F185" s="301"/>
      <c r="G185" s="301"/>
      <c r="H185" s="301" t="s">
        <v>540</v>
      </c>
      <c r="I185" s="301"/>
      <c r="J185" s="301"/>
      <c r="K185" s="301"/>
      <c r="L185" s="301"/>
      <c r="M185" s="301"/>
      <c r="N185" s="301"/>
      <c r="O185" s="301" t="s">
        <v>541</v>
      </c>
      <c r="P185" s="301"/>
      <c r="Q185" s="301"/>
      <c r="R185" s="301"/>
      <c r="S185" s="301"/>
      <c r="T185" s="301"/>
      <c r="U185" s="301" t="s">
        <v>539</v>
      </c>
      <c r="V185" s="301"/>
      <c r="W185" s="307" t="s">
        <v>238</v>
      </c>
      <c r="X185" s="308"/>
    </row>
    <row r="186" spans="2:25" ht="27" customHeight="1" x14ac:dyDescent="0.55000000000000004">
      <c r="B186" s="122" t="s">
        <v>307</v>
      </c>
      <c r="C186" s="302"/>
      <c r="D186" s="302"/>
      <c r="E186" s="302"/>
      <c r="F186" s="302"/>
      <c r="G186" s="302"/>
      <c r="H186" s="302"/>
      <c r="I186" s="302"/>
      <c r="J186" s="302"/>
      <c r="K186" s="302"/>
      <c r="L186" s="302"/>
      <c r="M186" s="302"/>
      <c r="N186" s="302"/>
      <c r="O186" s="302"/>
      <c r="P186" s="302"/>
      <c r="Q186" s="302"/>
      <c r="R186" s="302"/>
      <c r="S186" s="302"/>
      <c r="T186" s="302"/>
      <c r="U186" s="302"/>
      <c r="V186" s="302"/>
      <c r="W186" s="309"/>
      <c r="X186" s="310"/>
    </row>
    <row r="187" spans="2:25" ht="27" customHeight="1" x14ac:dyDescent="0.55000000000000004">
      <c r="B187" s="122" t="s">
        <v>298</v>
      </c>
      <c r="C187" s="302"/>
      <c r="D187" s="302"/>
      <c r="E187" s="302"/>
      <c r="F187" s="302"/>
      <c r="G187" s="302"/>
      <c r="H187" s="302"/>
      <c r="I187" s="302"/>
      <c r="J187" s="302"/>
      <c r="K187" s="302"/>
      <c r="L187" s="302"/>
      <c r="M187" s="302"/>
      <c r="N187" s="302"/>
      <c r="O187" s="302"/>
      <c r="P187" s="302"/>
      <c r="Q187" s="302"/>
      <c r="R187" s="302"/>
      <c r="S187" s="302"/>
      <c r="T187" s="302"/>
      <c r="U187" s="302"/>
      <c r="V187" s="302"/>
      <c r="W187" s="309"/>
      <c r="X187" s="310"/>
    </row>
    <row r="188" spans="2:25" ht="27" customHeight="1" x14ac:dyDescent="0.55000000000000004">
      <c r="B188" s="122" t="s">
        <v>299</v>
      </c>
      <c r="C188" s="302"/>
      <c r="D188" s="302"/>
      <c r="E188" s="302"/>
      <c r="F188" s="302"/>
      <c r="G188" s="302"/>
      <c r="H188" s="302"/>
      <c r="I188" s="302"/>
      <c r="J188" s="302"/>
      <c r="K188" s="302"/>
      <c r="L188" s="302"/>
      <c r="M188" s="302"/>
      <c r="N188" s="302"/>
      <c r="O188" s="302"/>
      <c r="P188" s="302"/>
      <c r="Q188" s="302"/>
      <c r="R188" s="302"/>
      <c r="S188" s="302"/>
      <c r="T188" s="302"/>
      <c r="U188" s="302"/>
      <c r="V188" s="302"/>
      <c r="W188" s="309"/>
      <c r="X188" s="310"/>
    </row>
    <row r="189" spans="2:25" ht="27" customHeight="1" x14ac:dyDescent="0.55000000000000004">
      <c r="B189" s="122" t="s">
        <v>300</v>
      </c>
      <c r="C189" s="302"/>
      <c r="D189" s="302"/>
      <c r="E189" s="302"/>
      <c r="F189" s="302"/>
      <c r="G189" s="302"/>
      <c r="H189" s="302"/>
      <c r="I189" s="302"/>
      <c r="J189" s="302"/>
      <c r="K189" s="302"/>
      <c r="L189" s="302"/>
      <c r="M189" s="302"/>
      <c r="N189" s="302"/>
      <c r="O189" s="302"/>
      <c r="P189" s="302"/>
      <c r="Q189" s="302"/>
      <c r="R189" s="302"/>
      <c r="S189" s="302"/>
      <c r="T189" s="302"/>
      <c r="U189" s="302"/>
      <c r="V189" s="302"/>
      <c r="W189" s="309"/>
      <c r="X189" s="310"/>
    </row>
    <row r="190" spans="2:25" ht="27" customHeight="1" x14ac:dyDescent="0.55000000000000004">
      <c r="B190" s="122" t="s">
        <v>301</v>
      </c>
      <c r="C190" s="302"/>
      <c r="D190" s="302"/>
      <c r="E190" s="302"/>
      <c r="F190" s="302"/>
      <c r="G190" s="302"/>
      <c r="H190" s="302"/>
      <c r="I190" s="302"/>
      <c r="J190" s="302"/>
      <c r="K190" s="302"/>
      <c r="L190" s="302"/>
      <c r="M190" s="302"/>
      <c r="N190" s="302"/>
      <c r="O190" s="302"/>
      <c r="P190" s="302"/>
      <c r="Q190" s="302"/>
      <c r="R190" s="302"/>
      <c r="S190" s="302"/>
      <c r="T190" s="302"/>
      <c r="U190" s="302"/>
      <c r="V190" s="302"/>
      <c r="W190" s="309"/>
      <c r="X190" s="310"/>
    </row>
    <row r="191" spans="2:25" ht="27" customHeight="1" x14ac:dyDescent="0.55000000000000004">
      <c r="B191" s="122" t="s">
        <v>302</v>
      </c>
      <c r="C191" s="302"/>
      <c r="D191" s="302"/>
      <c r="E191" s="302"/>
      <c r="F191" s="302"/>
      <c r="G191" s="302"/>
      <c r="H191" s="302"/>
      <c r="I191" s="302"/>
      <c r="J191" s="302"/>
      <c r="K191" s="302"/>
      <c r="L191" s="302"/>
      <c r="M191" s="302"/>
      <c r="N191" s="302"/>
      <c r="O191" s="302"/>
      <c r="P191" s="302"/>
      <c r="Q191" s="302"/>
      <c r="R191" s="302"/>
      <c r="S191" s="302"/>
      <c r="T191" s="302"/>
      <c r="U191" s="302"/>
      <c r="V191" s="302"/>
      <c r="W191" s="309"/>
      <c r="X191" s="310"/>
    </row>
    <row r="192" spans="2:25" ht="27" customHeight="1" x14ac:dyDescent="0.55000000000000004">
      <c r="B192" s="122" t="s">
        <v>303</v>
      </c>
      <c r="C192" s="302"/>
      <c r="D192" s="302"/>
      <c r="E192" s="302"/>
      <c r="F192" s="302"/>
      <c r="G192" s="302"/>
      <c r="H192" s="302"/>
      <c r="I192" s="302"/>
      <c r="J192" s="302"/>
      <c r="K192" s="302"/>
      <c r="L192" s="302"/>
      <c r="M192" s="302"/>
      <c r="N192" s="302"/>
      <c r="O192" s="302"/>
      <c r="P192" s="302"/>
      <c r="Q192" s="302"/>
      <c r="R192" s="302"/>
      <c r="S192" s="302"/>
      <c r="T192" s="302"/>
      <c r="U192" s="302"/>
      <c r="V192" s="302"/>
      <c r="W192" s="309"/>
      <c r="X192" s="310"/>
    </row>
    <row r="193" spans="2:24" ht="27" customHeight="1" x14ac:dyDescent="0.55000000000000004">
      <c r="B193" s="122" t="s">
        <v>304</v>
      </c>
      <c r="C193" s="302"/>
      <c r="D193" s="302"/>
      <c r="E193" s="302"/>
      <c r="F193" s="302"/>
      <c r="G193" s="302"/>
      <c r="H193" s="302"/>
      <c r="I193" s="302"/>
      <c r="J193" s="302"/>
      <c r="K193" s="302"/>
      <c r="L193" s="302"/>
      <c r="M193" s="302"/>
      <c r="N193" s="302"/>
      <c r="O193" s="302"/>
      <c r="P193" s="302"/>
      <c r="Q193" s="302"/>
      <c r="R193" s="302"/>
      <c r="S193" s="302"/>
      <c r="T193" s="302"/>
      <c r="U193" s="302"/>
      <c r="V193" s="302"/>
      <c r="W193" s="309"/>
      <c r="X193" s="310"/>
    </row>
    <row r="194" spans="2:24" ht="27" customHeight="1" x14ac:dyDescent="0.55000000000000004">
      <c r="B194" s="122" t="s">
        <v>305</v>
      </c>
      <c r="C194" s="302"/>
      <c r="D194" s="302"/>
      <c r="E194" s="302"/>
      <c r="F194" s="302"/>
      <c r="G194" s="302"/>
      <c r="H194" s="302"/>
      <c r="I194" s="302"/>
      <c r="J194" s="302"/>
      <c r="K194" s="302"/>
      <c r="L194" s="302"/>
      <c r="M194" s="302"/>
      <c r="N194" s="302"/>
      <c r="O194" s="302"/>
      <c r="P194" s="302"/>
      <c r="Q194" s="302"/>
      <c r="R194" s="302"/>
      <c r="S194" s="302"/>
      <c r="T194" s="302"/>
      <c r="U194" s="302"/>
      <c r="V194" s="302"/>
      <c r="W194" s="309"/>
      <c r="X194" s="310"/>
    </row>
    <row r="195" spans="2:24" ht="27" customHeight="1" x14ac:dyDescent="0.55000000000000004">
      <c r="B195" s="122" t="s">
        <v>361</v>
      </c>
      <c r="C195" s="302"/>
      <c r="D195" s="302"/>
      <c r="E195" s="302"/>
      <c r="F195" s="302"/>
      <c r="G195" s="302"/>
      <c r="H195" s="302"/>
      <c r="I195" s="302"/>
      <c r="J195" s="302"/>
      <c r="K195" s="302"/>
      <c r="L195" s="302"/>
      <c r="M195" s="302"/>
      <c r="N195" s="302"/>
      <c r="O195" s="302"/>
      <c r="P195" s="302"/>
      <c r="Q195" s="302"/>
      <c r="R195" s="302"/>
      <c r="S195" s="302"/>
      <c r="T195" s="302"/>
      <c r="U195" s="302"/>
      <c r="V195" s="302"/>
      <c r="W195" s="309"/>
      <c r="X195" s="310"/>
    </row>
    <row r="196" spans="2:24" ht="27" customHeight="1" x14ac:dyDescent="0.55000000000000004">
      <c r="B196" s="122" t="s">
        <v>362</v>
      </c>
      <c r="C196" s="302"/>
      <c r="D196" s="302"/>
      <c r="E196" s="302"/>
      <c r="F196" s="302"/>
      <c r="G196" s="302"/>
      <c r="H196" s="302"/>
      <c r="I196" s="302"/>
      <c r="J196" s="302"/>
      <c r="K196" s="302"/>
      <c r="L196" s="302"/>
      <c r="M196" s="302"/>
      <c r="N196" s="302"/>
      <c r="O196" s="302"/>
      <c r="P196" s="302"/>
      <c r="Q196" s="302"/>
      <c r="R196" s="302"/>
      <c r="S196" s="302"/>
      <c r="T196" s="302"/>
      <c r="U196" s="302"/>
      <c r="V196" s="302"/>
      <c r="W196" s="309"/>
      <c r="X196" s="310"/>
    </row>
    <row r="197" spans="2:24" ht="27" customHeight="1" x14ac:dyDescent="0.55000000000000004">
      <c r="B197" s="122" t="s">
        <v>363</v>
      </c>
      <c r="C197" s="302"/>
      <c r="D197" s="302"/>
      <c r="E197" s="302"/>
      <c r="F197" s="302"/>
      <c r="G197" s="302"/>
      <c r="H197" s="302"/>
      <c r="I197" s="302"/>
      <c r="J197" s="302"/>
      <c r="K197" s="302"/>
      <c r="L197" s="302"/>
      <c r="M197" s="302"/>
      <c r="N197" s="302"/>
      <c r="O197" s="302"/>
      <c r="P197" s="302"/>
      <c r="Q197" s="302"/>
      <c r="R197" s="302"/>
      <c r="S197" s="302"/>
      <c r="T197" s="302"/>
      <c r="U197" s="302"/>
      <c r="V197" s="302"/>
      <c r="W197" s="309"/>
      <c r="X197" s="310"/>
    </row>
    <row r="198" spans="2:24" ht="27" customHeight="1" x14ac:dyDescent="0.55000000000000004">
      <c r="B198" s="122" t="s">
        <v>364</v>
      </c>
      <c r="C198" s="302"/>
      <c r="D198" s="302"/>
      <c r="E198" s="302"/>
      <c r="F198" s="302"/>
      <c r="G198" s="302"/>
      <c r="H198" s="302"/>
      <c r="I198" s="302"/>
      <c r="J198" s="302"/>
      <c r="K198" s="302"/>
      <c r="L198" s="302"/>
      <c r="M198" s="302"/>
      <c r="N198" s="302"/>
      <c r="O198" s="302"/>
      <c r="P198" s="302"/>
      <c r="Q198" s="302"/>
      <c r="R198" s="302"/>
      <c r="S198" s="302"/>
      <c r="T198" s="302"/>
      <c r="U198" s="302"/>
      <c r="V198" s="302"/>
      <c r="W198" s="309"/>
      <c r="X198" s="310"/>
    </row>
    <row r="199" spans="2:24" ht="27" customHeight="1" x14ac:dyDescent="0.55000000000000004">
      <c r="B199" s="122" t="s">
        <v>365</v>
      </c>
      <c r="C199" s="302"/>
      <c r="D199" s="302"/>
      <c r="E199" s="302"/>
      <c r="F199" s="302"/>
      <c r="G199" s="302"/>
      <c r="H199" s="302"/>
      <c r="I199" s="302"/>
      <c r="J199" s="302"/>
      <c r="K199" s="302"/>
      <c r="L199" s="302"/>
      <c r="M199" s="302"/>
      <c r="N199" s="302"/>
      <c r="O199" s="302"/>
      <c r="P199" s="302"/>
      <c r="Q199" s="302"/>
      <c r="R199" s="302"/>
      <c r="S199" s="302"/>
      <c r="T199" s="302"/>
      <c r="U199" s="302"/>
      <c r="V199" s="302"/>
      <c r="W199" s="309"/>
      <c r="X199" s="310"/>
    </row>
    <row r="200" spans="2:24" ht="27" customHeight="1" x14ac:dyDescent="0.55000000000000004">
      <c r="B200" s="122" t="s">
        <v>366</v>
      </c>
      <c r="C200" s="302"/>
      <c r="D200" s="302"/>
      <c r="E200" s="302"/>
      <c r="F200" s="302"/>
      <c r="G200" s="302"/>
      <c r="H200" s="302"/>
      <c r="I200" s="302"/>
      <c r="J200" s="302"/>
      <c r="K200" s="302"/>
      <c r="L200" s="302"/>
      <c r="M200" s="302"/>
      <c r="N200" s="302"/>
      <c r="O200" s="302"/>
      <c r="P200" s="302"/>
      <c r="Q200" s="302"/>
      <c r="R200" s="302"/>
      <c r="S200" s="302"/>
      <c r="T200" s="302"/>
      <c r="U200" s="302"/>
      <c r="V200" s="302"/>
      <c r="W200" s="309"/>
      <c r="X200" s="310"/>
    </row>
    <row r="201" spans="2:24" ht="27" customHeight="1" x14ac:dyDescent="0.55000000000000004">
      <c r="B201" s="122" t="s">
        <v>367</v>
      </c>
      <c r="C201" s="302"/>
      <c r="D201" s="302"/>
      <c r="E201" s="302"/>
      <c r="F201" s="302"/>
      <c r="G201" s="302"/>
      <c r="H201" s="302"/>
      <c r="I201" s="302"/>
      <c r="J201" s="302"/>
      <c r="K201" s="302"/>
      <c r="L201" s="302"/>
      <c r="M201" s="302"/>
      <c r="N201" s="302"/>
      <c r="O201" s="302"/>
      <c r="P201" s="302"/>
      <c r="Q201" s="302"/>
      <c r="R201" s="302"/>
      <c r="S201" s="302"/>
      <c r="T201" s="302"/>
      <c r="U201" s="302"/>
      <c r="V201" s="302"/>
      <c r="W201" s="309"/>
      <c r="X201" s="310"/>
    </row>
    <row r="202" spans="2:24" ht="27" customHeight="1" x14ac:dyDescent="0.55000000000000004">
      <c r="B202" s="122" t="s">
        <v>368</v>
      </c>
      <c r="C202" s="302"/>
      <c r="D202" s="302"/>
      <c r="E202" s="302"/>
      <c r="F202" s="302"/>
      <c r="G202" s="302"/>
      <c r="H202" s="302"/>
      <c r="I202" s="302"/>
      <c r="J202" s="302"/>
      <c r="K202" s="302"/>
      <c r="L202" s="302"/>
      <c r="M202" s="302"/>
      <c r="N202" s="302"/>
      <c r="O202" s="302"/>
      <c r="P202" s="302"/>
      <c r="Q202" s="302"/>
      <c r="R202" s="302"/>
      <c r="S202" s="302"/>
      <c r="T202" s="302"/>
      <c r="U202" s="302"/>
      <c r="V202" s="302"/>
      <c r="W202" s="309"/>
      <c r="X202" s="310"/>
    </row>
    <row r="203" spans="2:24" ht="27" customHeight="1" x14ac:dyDescent="0.55000000000000004">
      <c r="B203" s="122" t="s">
        <v>369</v>
      </c>
      <c r="C203" s="302"/>
      <c r="D203" s="302"/>
      <c r="E203" s="302"/>
      <c r="F203" s="302"/>
      <c r="G203" s="302"/>
      <c r="H203" s="302"/>
      <c r="I203" s="302"/>
      <c r="J203" s="302"/>
      <c r="K203" s="302"/>
      <c r="L203" s="302"/>
      <c r="M203" s="302"/>
      <c r="N203" s="302"/>
      <c r="O203" s="302"/>
      <c r="P203" s="302"/>
      <c r="Q203" s="302"/>
      <c r="R203" s="302"/>
      <c r="S203" s="302"/>
      <c r="T203" s="302"/>
      <c r="U203" s="302"/>
      <c r="V203" s="302"/>
      <c r="W203" s="309"/>
      <c r="X203" s="310"/>
    </row>
    <row r="204" spans="2:24" ht="27" customHeight="1" x14ac:dyDescent="0.55000000000000004">
      <c r="B204" s="123" t="s">
        <v>370</v>
      </c>
      <c r="C204" s="305"/>
      <c r="D204" s="305"/>
      <c r="E204" s="305"/>
      <c r="F204" s="305"/>
      <c r="G204" s="305"/>
      <c r="H204" s="305"/>
      <c r="I204" s="305"/>
      <c r="J204" s="305"/>
      <c r="K204" s="305"/>
      <c r="L204" s="305"/>
      <c r="M204" s="305"/>
      <c r="N204" s="305"/>
      <c r="O204" s="305"/>
      <c r="P204" s="305"/>
      <c r="Q204" s="305"/>
      <c r="R204" s="305"/>
      <c r="S204" s="305"/>
      <c r="T204" s="305"/>
      <c r="U204" s="305"/>
      <c r="V204" s="305"/>
      <c r="W204" s="312"/>
      <c r="X204" s="313"/>
    </row>
    <row r="205" spans="2:24" x14ac:dyDescent="0.55000000000000004">
      <c r="B205" s="31"/>
      <c r="C205" s="32"/>
    </row>
  </sheetData>
  <sheetProtection algorithmName="SHA-512" hashValue="ll+7jjYxH7WHI7dAtVl4xiBMsaNZNMH4gzAIb6maPXY1yvnbRITcqbRTgLPpNG2XcR4empYUs2/ZvyYl2Uo4lA==" saltValue="soPa60gSlDSRd2+j4NSkhg==" spinCount="100000" sheet="1" objects="1" scenarios="1" selectLockedCells="1" selectUnlockedCells="1"/>
  <mergeCells count="423">
    <mergeCell ref="B32:C32"/>
    <mergeCell ref="B33:C33"/>
    <mergeCell ref="B34:C34"/>
    <mergeCell ref="B35:C35"/>
    <mergeCell ref="B39:C39"/>
    <mergeCell ref="B40:C40"/>
    <mergeCell ref="F25:G25"/>
    <mergeCell ref="H25:O25"/>
    <mergeCell ref="B28:C28"/>
    <mergeCell ref="B29:C29"/>
    <mergeCell ref="B30:C30"/>
    <mergeCell ref="B31:C31"/>
    <mergeCell ref="B47:C47"/>
    <mergeCell ref="B50:C50"/>
    <mergeCell ref="B51:C51"/>
    <mergeCell ref="C68:G68"/>
    <mergeCell ref="H68:N68"/>
    <mergeCell ref="O68:T68"/>
    <mergeCell ref="B41:C41"/>
    <mergeCell ref="B42:C42"/>
    <mergeCell ref="B43:C43"/>
    <mergeCell ref="B44:C44"/>
    <mergeCell ref="B45:C45"/>
    <mergeCell ref="B46:C46"/>
    <mergeCell ref="C71:G71"/>
    <mergeCell ref="H71:N71"/>
    <mergeCell ref="O71:T71"/>
    <mergeCell ref="U71:V71"/>
    <mergeCell ref="C72:G72"/>
    <mergeCell ref="H72:N72"/>
    <mergeCell ref="O72:T72"/>
    <mergeCell ref="U72:V72"/>
    <mergeCell ref="U68:V68"/>
    <mergeCell ref="C69:G69"/>
    <mergeCell ref="H69:N69"/>
    <mergeCell ref="O69:T69"/>
    <mergeCell ref="U69:V69"/>
    <mergeCell ref="C70:G70"/>
    <mergeCell ref="H70:N70"/>
    <mergeCell ref="O70:T70"/>
    <mergeCell ref="U70:V70"/>
    <mergeCell ref="C75:G75"/>
    <mergeCell ref="H75:N75"/>
    <mergeCell ref="O75:T75"/>
    <mergeCell ref="U75:V75"/>
    <mergeCell ref="C76:G76"/>
    <mergeCell ref="H76:N76"/>
    <mergeCell ref="O76:T76"/>
    <mergeCell ref="U76:V76"/>
    <mergeCell ref="C73:G73"/>
    <mergeCell ref="H73:N73"/>
    <mergeCell ref="O73:T73"/>
    <mergeCell ref="U73:V73"/>
    <mergeCell ref="C74:G74"/>
    <mergeCell ref="H74:N74"/>
    <mergeCell ref="O74:T74"/>
    <mergeCell ref="U74:V74"/>
    <mergeCell ref="C79:G79"/>
    <mergeCell ref="H79:N79"/>
    <mergeCell ref="O79:T79"/>
    <mergeCell ref="U79:V79"/>
    <mergeCell ref="C80:G80"/>
    <mergeCell ref="H80:N80"/>
    <mergeCell ref="O80:T80"/>
    <mergeCell ref="U80:V80"/>
    <mergeCell ref="C77:G77"/>
    <mergeCell ref="H77:N77"/>
    <mergeCell ref="O77:T77"/>
    <mergeCell ref="U77:V77"/>
    <mergeCell ref="C78:G78"/>
    <mergeCell ref="H78:N78"/>
    <mergeCell ref="O78:T78"/>
    <mergeCell ref="U78:V78"/>
    <mergeCell ref="C83:G83"/>
    <mergeCell ref="H83:N83"/>
    <mergeCell ref="O83:T83"/>
    <mergeCell ref="U83:V83"/>
    <mergeCell ref="C84:G84"/>
    <mergeCell ref="H84:N84"/>
    <mergeCell ref="O84:T84"/>
    <mergeCell ref="U84:V84"/>
    <mergeCell ref="C81:G81"/>
    <mergeCell ref="H81:N81"/>
    <mergeCell ref="O81:T81"/>
    <mergeCell ref="U81:V81"/>
    <mergeCell ref="C82:G82"/>
    <mergeCell ref="H82:N82"/>
    <mergeCell ref="O82:T82"/>
    <mergeCell ref="U82:V82"/>
    <mergeCell ref="C87:G87"/>
    <mergeCell ref="H87:N87"/>
    <mergeCell ref="O87:T87"/>
    <mergeCell ref="U87:V87"/>
    <mergeCell ref="C88:G88"/>
    <mergeCell ref="H88:N88"/>
    <mergeCell ref="O88:T88"/>
    <mergeCell ref="U88:V88"/>
    <mergeCell ref="C85:G85"/>
    <mergeCell ref="H85:N85"/>
    <mergeCell ref="O85:T85"/>
    <mergeCell ref="U85:V85"/>
    <mergeCell ref="C86:G86"/>
    <mergeCell ref="H86:N86"/>
    <mergeCell ref="O86:T86"/>
    <mergeCell ref="U86:V86"/>
    <mergeCell ref="C90:G90"/>
    <mergeCell ref="H90:N90"/>
    <mergeCell ref="O90:T90"/>
    <mergeCell ref="U90:V90"/>
    <mergeCell ref="W90:X90"/>
    <mergeCell ref="C91:G91"/>
    <mergeCell ref="H91:N91"/>
    <mergeCell ref="O91:T91"/>
    <mergeCell ref="U91:V91"/>
    <mergeCell ref="W91:X91"/>
    <mergeCell ref="C92:G92"/>
    <mergeCell ref="H92:N92"/>
    <mergeCell ref="O92:T92"/>
    <mergeCell ref="U92:V92"/>
    <mergeCell ref="W92:X92"/>
    <mergeCell ref="C93:G93"/>
    <mergeCell ref="H93:N93"/>
    <mergeCell ref="O93:T93"/>
    <mergeCell ref="U93:V93"/>
    <mergeCell ref="W93:X93"/>
    <mergeCell ref="C94:G94"/>
    <mergeCell ref="H94:N94"/>
    <mergeCell ref="O94:T94"/>
    <mergeCell ref="U94:V94"/>
    <mergeCell ref="W94:X94"/>
    <mergeCell ref="C95:G95"/>
    <mergeCell ref="H95:N95"/>
    <mergeCell ref="O95:T95"/>
    <mergeCell ref="U95:V95"/>
    <mergeCell ref="W95:X95"/>
    <mergeCell ref="C96:G96"/>
    <mergeCell ref="H96:N96"/>
    <mergeCell ref="O96:T96"/>
    <mergeCell ref="U96:V96"/>
    <mergeCell ref="W96:X96"/>
    <mergeCell ref="C97:G97"/>
    <mergeCell ref="H97:N97"/>
    <mergeCell ref="O97:T97"/>
    <mergeCell ref="U97:V97"/>
    <mergeCell ref="W97:X97"/>
    <mergeCell ref="C98:G98"/>
    <mergeCell ref="H98:N98"/>
    <mergeCell ref="O98:T98"/>
    <mergeCell ref="U98:V98"/>
    <mergeCell ref="W98:X98"/>
    <mergeCell ref="C99:G99"/>
    <mergeCell ref="H99:N99"/>
    <mergeCell ref="O99:T99"/>
    <mergeCell ref="U99:V99"/>
    <mergeCell ref="W99:X99"/>
    <mergeCell ref="C100:G100"/>
    <mergeCell ref="H100:N100"/>
    <mergeCell ref="O100:T100"/>
    <mergeCell ref="U100:V100"/>
    <mergeCell ref="W100:X100"/>
    <mergeCell ref="C101:G101"/>
    <mergeCell ref="H101:N101"/>
    <mergeCell ref="O101:T101"/>
    <mergeCell ref="U101:V101"/>
    <mergeCell ref="W101:X101"/>
    <mergeCell ref="C102:G102"/>
    <mergeCell ref="H102:N102"/>
    <mergeCell ref="O102:T102"/>
    <mergeCell ref="U102:V102"/>
    <mergeCell ref="W102:X102"/>
    <mergeCell ref="C103:G103"/>
    <mergeCell ref="H103:N103"/>
    <mergeCell ref="O103:T103"/>
    <mergeCell ref="U103:V103"/>
    <mergeCell ref="W103:X103"/>
    <mergeCell ref="C104:G104"/>
    <mergeCell ref="H104:N104"/>
    <mergeCell ref="O104:T104"/>
    <mergeCell ref="U104:V104"/>
    <mergeCell ref="W104:X104"/>
    <mergeCell ref="C105:G105"/>
    <mergeCell ref="H105:N105"/>
    <mergeCell ref="O105:T105"/>
    <mergeCell ref="U105:V105"/>
    <mergeCell ref="W105:X105"/>
    <mergeCell ref="C106:G106"/>
    <mergeCell ref="H106:N106"/>
    <mergeCell ref="O106:T106"/>
    <mergeCell ref="U106:V106"/>
    <mergeCell ref="W106:X106"/>
    <mergeCell ref="C107:G107"/>
    <mergeCell ref="H107:N107"/>
    <mergeCell ref="O107:T107"/>
    <mergeCell ref="U107:V107"/>
    <mergeCell ref="W107:X107"/>
    <mergeCell ref="C110:G110"/>
    <mergeCell ref="H110:N110"/>
    <mergeCell ref="O110:T110"/>
    <mergeCell ref="U110:V110"/>
    <mergeCell ref="W110:X110"/>
    <mergeCell ref="B113:F113"/>
    <mergeCell ref="G113:H113"/>
    <mergeCell ref="C108:G108"/>
    <mergeCell ref="H108:N108"/>
    <mergeCell ref="O108:T108"/>
    <mergeCell ref="U108:V108"/>
    <mergeCell ref="W108:X108"/>
    <mergeCell ref="C109:G109"/>
    <mergeCell ref="H109:N109"/>
    <mergeCell ref="O109:T109"/>
    <mergeCell ref="U109:V109"/>
    <mergeCell ref="W109:X109"/>
    <mergeCell ref="B123:C123"/>
    <mergeCell ref="B124:B125"/>
    <mergeCell ref="B126:B128"/>
    <mergeCell ref="B129:C129"/>
    <mergeCell ref="B130:C130"/>
    <mergeCell ref="B131:B132"/>
    <mergeCell ref="F116:G116"/>
    <mergeCell ref="H116:O116"/>
    <mergeCell ref="B119:C119"/>
    <mergeCell ref="B120:C120"/>
    <mergeCell ref="B121:C121"/>
    <mergeCell ref="B122:C122"/>
    <mergeCell ref="B147:B149"/>
    <mergeCell ref="B150:C150"/>
    <mergeCell ref="B151:C151"/>
    <mergeCell ref="B152:B153"/>
    <mergeCell ref="C162:G162"/>
    <mergeCell ref="H162:N162"/>
    <mergeCell ref="B140:C140"/>
    <mergeCell ref="B141:C141"/>
    <mergeCell ref="B142:C142"/>
    <mergeCell ref="B143:C143"/>
    <mergeCell ref="B144:C144"/>
    <mergeCell ref="B145:B146"/>
    <mergeCell ref="C164:G164"/>
    <mergeCell ref="H164:N164"/>
    <mergeCell ref="O164:T164"/>
    <mergeCell ref="U164:V164"/>
    <mergeCell ref="C165:G165"/>
    <mergeCell ref="H165:N165"/>
    <mergeCell ref="O165:T165"/>
    <mergeCell ref="U165:V165"/>
    <mergeCell ref="O162:T162"/>
    <mergeCell ref="U162:V162"/>
    <mergeCell ref="C163:G163"/>
    <mergeCell ref="H163:N163"/>
    <mergeCell ref="O163:T163"/>
    <mergeCell ref="U163:V163"/>
    <mergeCell ref="C168:G168"/>
    <mergeCell ref="H168:N168"/>
    <mergeCell ref="O168:T168"/>
    <mergeCell ref="U168:V168"/>
    <mergeCell ref="C169:G169"/>
    <mergeCell ref="H169:N169"/>
    <mergeCell ref="O169:T169"/>
    <mergeCell ref="U169:V169"/>
    <mergeCell ref="C166:G166"/>
    <mergeCell ref="H166:N166"/>
    <mergeCell ref="O166:T166"/>
    <mergeCell ref="U166:V166"/>
    <mergeCell ref="C167:G167"/>
    <mergeCell ref="H167:N167"/>
    <mergeCell ref="O167:T167"/>
    <mergeCell ref="U167:V167"/>
    <mergeCell ref="C172:G172"/>
    <mergeCell ref="H172:N172"/>
    <mergeCell ref="O172:T172"/>
    <mergeCell ref="U172:V172"/>
    <mergeCell ref="C173:G173"/>
    <mergeCell ref="H173:N173"/>
    <mergeCell ref="O173:T173"/>
    <mergeCell ref="U173:V173"/>
    <mergeCell ref="C170:G170"/>
    <mergeCell ref="H170:N170"/>
    <mergeCell ref="O170:T170"/>
    <mergeCell ref="U170:V170"/>
    <mergeCell ref="C171:G171"/>
    <mergeCell ref="H171:N171"/>
    <mergeCell ref="O171:T171"/>
    <mergeCell ref="U171:V171"/>
    <mergeCell ref="C176:G176"/>
    <mergeCell ref="H176:N176"/>
    <mergeCell ref="O176:T176"/>
    <mergeCell ref="U176:V176"/>
    <mergeCell ref="C177:G177"/>
    <mergeCell ref="H177:N177"/>
    <mergeCell ref="O177:T177"/>
    <mergeCell ref="U177:V177"/>
    <mergeCell ref="C174:G174"/>
    <mergeCell ref="H174:N174"/>
    <mergeCell ref="O174:T174"/>
    <mergeCell ref="U174:V174"/>
    <mergeCell ref="C175:G175"/>
    <mergeCell ref="H175:N175"/>
    <mergeCell ref="O175:T175"/>
    <mergeCell ref="U175:V175"/>
    <mergeCell ref="C180:G180"/>
    <mergeCell ref="H180:N180"/>
    <mergeCell ref="O180:T180"/>
    <mergeCell ref="U180:V180"/>
    <mergeCell ref="C181:G181"/>
    <mergeCell ref="H181:N181"/>
    <mergeCell ref="O181:T181"/>
    <mergeCell ref="U181:V181"/>
    <mergeCell ref="C178:G178"/>
    <mergeCell ref="H178:N178"/>
    <mergeCell ref="O178:T178"/>
    <mergeCell ref="U178:V178"/>
    <mergeCell ref="C179:G179"/>
    <mergeCell ref="H179:N179"/>
    <mergeCell ref="O179:T179"/>
    <mergeCell ref="U179:V179"/>
    <mergeCell ref="W184:X184"/>
    <mergeCell ref="C185:G185"/>
    <mergeCell ref="H185:N185"/>
    <mergeCell ref="O185:T185"/>
    <mergeCell ref="U185:V185"/>
    <mergeCell ref="W185:X185"/>
    <mergeCell ref="C182:G182"/>
    <mergeCell ref="H182:N182"/>
    <mergeCell ref="O182:T182"/>
    <mergeCell ref="U182:V182"/>
    <mergeCell ref="C184:G184"/>
    <mergeCell ref="H184:N184"/>
    <mergeCell ref="O184:T184"/>
    <mergeCell ref="U184:V184"/>
    <mergeCell ref="C186:G186"/>
    <mergeCell ref="H186:N186"/>
    <mergeCell ref="O186:T186"/>
    <mergeCell ref="U186:V186"/>
    <mergeCell ref="W186:X186"/>
    <mergeCell ref="C187:G187"/>
    <mergeCell ref="H187:N187"/>
    <mergeCell ref="O187:T187"/>
    <mergeCell ref="U187:V187"/>
    <mergeCell ref="W187:X187"/>
    <mergeCell ref="C188:G188"/>
    <mergeCell ref="H188:N188"/>
    <mergeCell ref="O188:T188"/>
    <mergeCell ref="U188:V188"/>
    <mergeCell ref="W188:X188"/>
    <mergeCell ref="C189:G189"/>
    <mergeCell ref="H189:N189"/>
    <mergeCell ref="O189:T189"/>
    <mergeCell ref="U189:V189"/>
    <mergeCell ref="W189:X189"/>
    <mergeCell ref="C190:G190"/>
    <mergeCell ref="H190:N190"/>
    <mergeCell ref="O190:T190"/>
    <mergeCell ref="U190:V190"/>
    <mergeCell ref="W190:X190"/>
    <mergeCell ref="C191:G191"/>
    <mergeCell ref="H191:N191"/>
    <mergeCell ref="O191:T191"/>
    <mergeCell ref="U191:V191"/>
    <mergeCell ref="W191:X191"/>
    <mergeCell ref="C192:G192"/>
    <mergeCell ref="H192:N192"/>
    <mergeCell ref="O192:T192"/>
    <mergeCell ref="U192:V192"/>
    <mergeCell ref="W192:X192"/>
    <mergeCell ref="C193:G193"/>
    <mergeCell ref="H193:N193"/>
    <mergeCell ref="O193:T193"/>
    <mergeCell ref="U193:V193"/>
    <mergeCell ref="W193:X193"/>
    <mergeCell ref="C194:G194"/>
    <mergeCell ref="H194:N194"/>
    <mergeCell ref="O194:T194"/>
    <mergeCell ref="U194:V194"/>
    <mergeCell ref="W194:X194"/>
    <mergeCell ref="C195:G195"/>
    <mergeCell ref="H195:N195"/>
    <mergeCell ref="O195:T195"/>
    <mergeCell ref="U195:V195"/>
    <mergeCell ref="W195:X195"/>
    <mergeCell ref="C196:G196"/>
    <mergeCell ref="H196:N196"/>
    <mergeCell ref="O196:T196"/>
    <mergeCell ref="U196:V196"/>
    <mergeCell ref="W196:X196"/>
    <mergeCell ref="C197:G197"/>
    <mergeCell ref="H197:N197"/>
    <mergeCell ref="O197:T197"/>
    <mergeCell ref="U197:V197"/>
    <mergeCell ref="W197:X197"/>
    <mergeCell ref="C198:G198"/>
    <mergeCell ref="H198:N198"/>
    <mergeCell ref="O198:T198"/>
    <mergeCell ref="U198:V198"/>
    <mergeCell ref="W198:X198"/>
    <mergeCell ref="C199:G199"/>
    <mergeCell ref="H199:N199"/>
    <mergeCell ref="O199:T199"/>
    <mergeCell ref="U199:V199"/>
    <mergeCell ref="W199:X199"/>
    <mergeCell ref="C200:G200"/>
    <mergeCell ref="H200:N200"/>
    <mergeCell ref="O200:T200"/>
    <mergeCell ref="U200:V200"/>
    <mergeCell ref="W200:X200"/>
    <mergeCell ref="C201:G201"/>
    <mergeCell ref="H201:N201"/>
    <mergeCell ref="O201:T201"/>
    <mergeCell ref="U201:V201"/>
    <mergeCell ref="W201:X201"/>
    <mergeCell ref="C204:G204"/>
    <mergeCell ref="H204:N204"/>
    <mergeCell ref="O204:T204"/>
    <mergeCell ref="U204:V204"/>
    <mergeCell ref="W204:X204"/>
    <mergeCell ref="C202:G202"/>
    <mergeCell ref="H202:N202"/>
    <mergeCell ref="O202:T202"/>
    <mergeCell ref="U202:V202"/>
    <mergeCell ref="W202:X202"/>
    <mergeCell ref="C203:G203"/>
    <mergeCell ref="H203:N203"/>
    <mergeCell ref="O203:T203"/>
    <mergeCell ref="U203:V203"/>
    <mergeCell ref="W203:X203"/>
  </mergeCells>
  <phoneticPr fontId="2"/>
  <conditionalFormatting sqref="D47:W47">
    <cfRule type="expression" dxfId="126" priority="24">
      <formula>D54=1</formula>
    </cfRule>
    <cfRule type="expression" dxfId="125" priority="37">
      <formula>D47="---"</formula>
    </cfRule>
    <cfRule type="expression" dxfId="124" priority="38">
      <formula>D47&gt;0.4</formula>
    </cfRule>
  </conditionalFormatting>
  <conditionalFormatting sqref="D48:W48">
    <cfRule type="expression" dxfId="123" priority="20">
      <formula>OR(D42="継続",D48="")</formula>
    </cfRule>
    <cfRule type="expression" dxfId="122" priority="35">
      <formula>AND(D48&lt;&gt;"継続",D48&lt;40)</formula>
    </cfRule>
  </conditionalFormatting>
  <conditionalFormatting sqref="D49:W49">
    <cfRule type="expression" dxfId="121" priority="21">
      <formula>OR(D42="継続",D49="")</formula>
    </cfRule>
    <cfRule type="expression" dxfId="120" priority="36">
      <formula>AND(D42&lt;&gt;"継続",D49&lt;40)</formula>
    </cfRule>
  </conditionalFormatting>
  <conditionalFormatting sqref="H25">
    <cfRule type="expression" dxfId="119" priority="12">
      <formula>$H$25="換気設備の導入は必須です。換気設備について入力してください。"</formula>
    </cfRule>
    <cfRule type="expression" dxfId="118" priority="13">
      <formula>H25="旧設備の入力をご確認ください。"</formula>
    </cfRule>
    <cfRule type="expression" dxfId="117" priority="39">
      <formula>H25="新設備の入力をご確認ください。"</formula>
    </cfRule>
  </conditionalFormatting>
  <conditionalFormatting sqref="I43:W43">
    <cfRule type="expression" dxfId="116" priority="23">
      <formula>I$57=1</formula>
    </cfRule>
  </conditionalFormatting>
  <conditionalFormatting sqref="D119:W119">
    <cfRule type="expression" dxfId="115" priority="28">
      <formula>OR(D136=1,D137=1)</formula>
    </cfRule>
  </conditionalFormatting>
  <conditionalFormatting sqref="D140:W140">
    <cfRule type="expression" dxfId="114" priority="32">
      <formula>OR(D157=1,D158=1)</formula>
    </cfRule>
  </conditionalFormatting>
  <conditionalFormatting sqref="E120:W120">
    <cfRule type="expression" dxfId="113" priority="29">
      <formula>E135=1</formula>
    </cfRule>
  </conditionalFormatting>
  <conditionalFormatting sqref="E122:W122">
    <cfRule type="expression" dxfId="112" priority="30">
      <formula>E135=1</formula>
    </cfRule>
  </conditionalFormatting>
  <conditionalFormatting sqref="E128:W128">
    <cfRule type="expression" dxfId="111" priority="31">
      <formula>E135=1</formula>
    </cfRule>
  </conditionalFormatting>
  <conditionalFormatting sqref="D141:W141">
    <cfRule type="expression" dxfId="110" priority="27">
      <formula>D156=1</formula>
    </cfRule>
  </conditionalFormatting>
  <conditionalFormatting sqref="D143:W143">
    <cfRule type="expression" dxfId="109" priority="26">
      <formula>D156=1</formula>
    </cfRule>
  </conditionalFormatting>
  <conditionalFormatting sqref="D149:W149">
    <cfRule type="expression" dxfId="108" priority="25">
      <formula>D156=1</formula>
    </cfRule>
  </conditionalFormatting>
  <conditionalFormatting sqref="H116">
    <cfRule type="expression" dxfId="107" priority="14">
      <formula>$H$116="新設備の入力をご確認ください。"</formula>
    </cfRule>
    <cfRule type="expression" dxfId="106" priority="16">
      <formula>$H$116="旧設備の入力をご確認ください。"</formula>
    </cfRule>
  </conditionalFormatting>
  <conditionalFormatting sqref="D28:W28">
    <cfRule type="expression" dxfId="105" priority="17">
      <formula>D36=1</formula>
    </cfRule>
  </conditionalFormatting>
  <conditionalFormatting sqref="D39:W39">
    <cfRule type="expression" dxfId="104" priority="18">
      <formula>D62=1</formula>
    </cfRule>
  </conditionalFormatting>
  <conditionalFormatting sqref="W91">
    <cfRule type="expression" dxfId="103" priority="44">
      <formula>$D$56=2</formula>
    </cfRule>
  </conditionalFormatting>
  <conditionalFormatting sqref="H25">
    <cfRule type="expression" dxfId="102" priority="41">
      <formula>$H$25="換気設備導入の要件を満たしていないため、申請できません。"</formula>
    </cfRule>
  </conditionalFormatting>
  <conditionalFormatting sqref="H116">
    <cfRule type="expression" dxfId="101" priority="15">
      <formula>$H$116="省エネ設備更新の要件を満たしていないため、申請できません。"</formula>
    </cfRule>
  </conditionalFormatting>
  <conditionalFormatting sqref="X151">
    <cfRule type="expression" dxfId="100" priority="22">
      <formula>AND($AE$158&lt;&gt;0,$X$130&lt;=$X$151)</formula>
    </cfRule>
  </conditionalFormatting>
  <conditionalFormatting sqref="I40:W40 D41:W41 I42:W43">
    <cfRule type="expression" dxfId="99" priority="33">
      <formula>OR(D$41="補器（排気）",D$41="補器（給気）")</formula>
    </cfRule>
    <cfRule type="expression" dxfId="98" priority="34">
      <formula>D$41="給気"</formula>
    </cfRule>
  </conditionalFormatting>
  <conditionalFormatting sqref="D30:W30 F29:W29">
    <cfRule type="expression" dxfId="97" priority="42">
      <formula>D$30="給気"</formula>
    </cfRule>
    <cfRule type="expression" dxfId="96" priority="43">
      <formula>OR(D$30="補器（排気）",D$30="補器（給気）")</formula>
    </cfRule>
  </conditionalFormatting>
  <conditionalFormatting sqref="W92">
    <cfRule type="expression" dxfId="95" priority="45">
      <formula>$E$56=2</formula>
    </cfRule>
  </conditionalFormatting>
  <conditionalFormatting sqref="W93">
    <cfRule type="expression" dxfId="94" priority="46">
      <formula>$F$56=2</formula>
    </cfRule>
  </conditionalFormatting>
  <conditionalFormatting sqref="W94">
    <cfRule type="expression" dxfId="93" priority="47">
      <formula>$G$56=2</formula>
    </cfRule>
  </conditionalFormatting>
  <conditionalFormatting sqref="W95">
    <cfRule type="expression" dxfId="92" priority="48">
      <formula>$H$56=2</formula>
    </cfRule>
  </conditionalFormatting>
  <conditionalFormatting sqref="W96">
    <cfRule type="expression" dxfId="91" priority="49">
      <formula>$I$56=2</formula>
    </cfRule>
  </conditionalFormatting>
  <conditionalFormatting sqref="W97">
    <cfRule type="expression" dxfId="90" priority="50">
      <formula>$J$56=2</formula>
    </cfRule>
  </conditionalFormatting>
  <conditionalFormatting sqref="W98">
    <cfRule type="expression" dxfId="89" priority="51">
      <formula>$K$56=2</formula>
    </cfRule>
  </conditionalFormatting>
  <conditionalFormatting sqref="W99">
    <cfRule type="expression" dxfId="88" priority="52">
      <formula>$L$56=2</formula>
    </cfRule>
  </conditionalFormatting>
  <conditionalFormatting sqref="W100">
    <cfRule type="expression" dxfId="87" priority="53">
      <formula>$M$56=2</formula>
    </cfRule>
  </conditionalFormatting>
  <conditionalFormatting sqref="W101">
    <cfRule type="expression" dxfId="86" priority="54">
      <formula>$N$56=2</formula>
    </cfRule>
  </conditionalFormatting>
  <conditionalFormatting sqref="W102">
    <cfRule type="expression" dxfId="85" priority="55">
      <formula>$O$56=2</formula>
    </cfRule>
  </conditionalFormatting>
  <conditionalFormatting sqref="W103">
    <cfRule type="expression" dxfId="84" priority="56">
      <formula>$P$56=2</formula>
    </cfRule>
  </conditionalFormatting>
  <conditionalFormatting sqref="W104">
    <cfRule type="expression" dxfId="83" priority="57">
      <formula>$Q$56=2</formula>
    </cfRule>
  </conditionalFormatting>
  <conditionalFormatting sqref="W105">
    <cfRule type="expression" dxfId="82" priority="58">
      <formula>$R$56=2</formula>
    </cfRule>
  </conditionalFormatting>
  <conditionalFormatting sqref="W106">
    <cfRule type="expression" dxfId="81" priority="59">
      <formula>$S$56=2</formula>
    </cfRule>
  </conditionalFormatting>
  <conditionalFormatting sqref="W107">
    <cfRule type="expression" dxfId="80" priority="60">
      <formula>$T$56=2</formula>
    </cfRule>
  </conditionalFormatting>
  <conditionalFormatting sqref="W108">
    <cfRule type="expression" dxfId="79" priority="61">
      <formula>$U$56=2</formula>
    </cfRule>
  </conditionalFormatting>
  <conditionalFormatting sqref="W109">
    <cfRule type="expression" dxfId="78" priority="62">
      <formula>$V$56=2</formula>
    </cfRule>
  </conditionalFormatting>
  <conditionalFormatting sqref="W110">
    <cfRule type="expression" dxfId="77" priority="63">
      <formula>$W$56=2</formula>
    </cfRule>
  </conditionalFormatting>
  <conditionalFormatting sqref="X45:Y45">
    <cfRule type="expression" dxfId="76" priority="19">
      <formula>AND($X$63="不適合",$AA$62&lt;&gt;20)</formula>
    </cfRule>
  </conditionalFormatting>
  <conditionalFormatting sqref="H25:O25">
    <cfRule type="expression" dxfId="75" priority="40">
      <formula>$H$25="新設備の導入がない計画は申請できません。"</formula>
    </cfRule>
  </conditionalFormatting>
  <conditionalFormatting sqref="D129:X132 D141:X149 C164:V182 C186:X204 E120:X128 D151:X153 E150:X150">
    <cfRule type="expression" dxfId="74" priority="11">
      <formula>$G$113&lt;&gt;"はい"</formula>
    </cfRule>
  </conditionalFormatting>
  <conditionalFormatting sqref="I40:W40 I42:W42">
    <cfRule type="expression" dxfId="73" priority="64">
      <formula>I$52=1</formula>
    </cfRule>
    <cfRule type="expression" dxfId="72" priority="65">
      <formula>I$57=1</formula>
    </cfRule>
  </conditionalFormatting>
  <conditionalFormatting sqref="D40:H40">
    <cfRule type="expression" dxfId="71" priority="9">
      <formula>D$48=1</formula>
    </cfRule>
    <cfRule type="expression" dxfId="70" priority="10">
      <formula>D$43=1</formula>
    </cfRule>
  </conditionalFormatting>
  <conditionalFormatting sqref="D42:H42">
    <cfRule type="expression" dxfId="69" priority="6">
      <formula>D$48=1</formula>
    </cfRule>
    <cfRule type="expression" dxfId="68" priority="8">
      <formula>D$43=1</formula>
    </cfRule>
  </conditionalFormatting>
  <conditionalFormatting sqref="D43:H43">
    <cfRule type="expression" dxfId="67" priority="7">
      <formula>D$48=1</formula>
    </cfRule>
  </conditionalFormatting>
  <conditionalFormatting sqref="D120">
    <cfRule type="expression" dxfId="66" priority="5">
      <formula>D135=1</formula>
    </cfRule>
  </conditionalFormatting>
  <conditionalFormatting sqref="D122">
    <cfRule type="expression" dxfId="65" priority="4">
      <formula>D135=1</formula>
    </cfRule>
  </conditionalFormatting>
  <conditionalFormatting sqref="D128">
    <cfRule type="expression" dxfId="64" priority="3">
      <formula>D135=1</formula>
    </cfRule>
  </conditionalFormatting>
  <conditionalFormatting sqref="D150">
    <cfRule type="expression" dxfId="63" priority="1">
      <formula>$G$113&lt;&gt;"はい"</formula>
    </cfRule>
  </conditionalFormatting>
  <dataValidations count="4">
    <dataValidation type="list" allowBlank="1" showInputMessage="1" showErrorMessage="1" sqref="G113">
      <formula1>"実施を選択,はい,いいえ"</formula1>
    </dataValidation>
    <dataValidation allowBlank="1" sqref="C19:C20"/>
    <dataValidation allowBlank="1" showErrorMessage="1" promptTitle="『機器仕様入力書』　記入時のご注意" prompt="本シートご利用の場合は、省エネ計算シートの設備欄には記入しないでください。" sqref="D126:W127 D44:W51 D129:W130 D31:W35 D150:W151"/>
    <dataValidation allowBlank="1" showErrorMessage="1" sqref="D121:W121 D145:W148 D142:W142 D131:W132 D152:W153 D124:W125"/>
  </dataValidations>
  <pageMargins left="0.6692913385826772" right="0.31496062992125984" top="0.46" bottom="0.22" header="0.22" footer="0.16"/>
  <pageSetup paperSize="9" scale="32" fitToHeight="0" orientation="portrait" r:id="rId1"/>
  <headerFooter>
    <oddHeader>&amp;C&amp;20換気量・省エネ計算シート</oddHeader>
  </headerFooter>
  <rowBreaks count="1" manualBreakCount="1">
    <brk id="111" max="24" man="1"/>
  </row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W185:X185 D120 D42:H42</xm:sqref>
        </x14:dataValidation>
        <x14:dataValidation type="list" allowBlank="1" showErrorMessage="1" promptTitle="『機器仕様入力書』　記入時のご注意" prompt="本シートご利用の場合は、省エネ計算シートの設備欄には記入しないでください。">
          <x14:formula1>
            <xm:f>'\\fs00001\総務部\東京都地球温暖化防止活動推進センター\事業支援チーム\Ｒ４\200_個人用\和田\[◆換気量・省エネ計算シート（R4_Ver5.5）_記入例.xlsx]計算'!#REF!</xm:f>
          </x14:formula1>
          <xm:sqref>D128</xm:sqref>
        </x14:dataValidation>
        <x14:dataValidation type="list" allowBlank="1" showErrorMessage="1">
          <x14:formula1>
            <xm:f>'\\fs00001\総務部\東京都地球温暖化防止活動推進センター\事業支援チーム\Ｒ４\200_個人用\和田\[◆換気量・省エネ計算シート（R4_Ver5.5）_記入例.xlsx]計算'!#REF!</xm:f>
          </x14:formula1>
          <xm:sqref>D122:D123 D43:H43 D29:E29</xm:sqref>
        </x14:dataValidation>
        <x14:dataValidation type="list" allowBlank="1">
          <x14:formula1>
            <xm:f>'\\fs00001\総務部\東京都地球温暖化防止活動推進センター\事業支援チーム\Ｒ４\200_個人用\和田\[◆換気量・省エネ計算シート（R4_Ver5.5）_記入例.xlsx]計算'!#REF!</xm:f>
          </x14:formula1>
          <xm:sqref>D40:H40</xm:sqref>
        </x14:dataValidation>
        <x14:dataValidation type="list" allowBlank="1" showErrorMessage="1">
          <x14:formula1>
            <xm:f>計算!$T$20:$T$23</xm:f>
          </x14:formula1>
          <xm:sqref>D30:W30 D41:W41</xm:sqref>
        </x14:dataValidation>
        <x14:dataValidation type="list" allowBlank="1" showErrorMessage="1">
          <x14:formula1>
            <xm:f>計算!$Z$4:$Z$14</xm:f>
          </x14:formula1>
          <xm:sqref>D144:W144 E123:W123</xm:sqref>
        </x14:dataValidation>
        <x14:dataValidation type="list" allowBlank="1" showErrorMessage="1">
          <x14:formula1>
            <xm:f>計算!$Z$3:$Z$14</xm:f>
          </x14:formula1>
          <xm:sqref>I43:W43</xm:sqref>
        </x14:dataValidation>
        <x14:dataValidation type="list" allowBlank="1" showInputMessage="1" showErrorMessage="1">
          <x14:formula1>
            <xm:f>計算!$V$4:$V$6</xm:f>
          </x14:formula1>
          <xm:sqref>W91:X110 Y163:Y182 W186:X204</xm:sqref>
        </x14:dataValidation>
        <x14:dataValidation type="list" allowBlank="1" showErrorMessage="1">
          <x14:formula1>
            <xm:f>計算!$S$4:$S$8</xm:f>
          </x14:formula1>
          <xm:sqref>F29:W29</xm:sqref>
        </x14:dataValidation>
        <x14:dataValidation type="list" allowBlank="1" showErrorMessage="1">
          <x14:formula1>
            <xm:f>計算!$AA$4:$AA$6</xm:f>
          </x14:formula1>
          <xm:sqref>D143:W143 E122:W122</xm:sqref>
        </x14:dataValidation>
        <x14:dataValidation type="list" allowBlank="1" showInputMessage="1" showErrorMessage="1">
          <x14:formula1>
            <xm:f>計算!$U$4:$U$6</xm:f>
          </x14:formula1>
          <xm:sqref>D141:W141 E120:W120</xm:sqref>
        </x14:dataValidation>
        <x14:dataValidation type="list" allowBlank="1" showInputMessage="1" showErrorMessage="1">
          <x14:formula1>
            <xm:f>計算!$T$4:$T$7</xm:f>
          </x14:formula1>
          <xm:sqref>I42:W42</xm:sqref>
        </x14:dataValidation>
        <x14:dataValidation type="list" allowBlank="1">
          <x14:formula1>
            <xm:f>計算!$R$4:$R$9</xm:f>
          </x14:formula1>
          <xm:sqref>I40:W40</xm:sqref>
        </x14:dataValidation>
        <x14:dataValidation type="list" allowBlank="1" showErrorMessage="1" promptTitle="『機器仕様入力書』　記入時のご注意" prompt="本シートご利用の場合は、省エネ計算シートの設備欄には記入しないでください。">
          <x14:formula1>
            <xm:f>計算!$X$4:$X$6</xm:f>
          </x14:formula1>
          <xm:sqref>D149:W149 E128:W128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B2:V85"/>
  <sheetViews>
    <sheetView view="pageBreakPreview" zoomScale="70" zoomScaleNormal="100" zoomScaleSheetLayoutView="70" workbookViewId="0">
      <selection sqref="A1:XFD1048576"/>
    </sheetView>
  </sheetViews>
  <sheetFormatPr defaultColWidth="8.83203125" defaultRowHeight="17.399999999999999" x14ac:dyDescent="0.55000000000000004"/>
  <cols>
    <col min="1" max="1" width="2.33203125" style="59" customWidth="1"/>
    <col min="2" max="2" width="11.9140625" style="59" customWidth="1"/>
    <col min="3" max="16" width="10.58203125" style="59" customWidth="1"/>
    <col min="17" max="17" width="2.1640625" style="59" customWidth="1"/>
    <col min="18" max="21" width="5" style="59" customWidth="1"/>
    <col min="22" max="23" width="8.83203125" style="59"/>
    <col min="24" max="24" width="9.58203125" style="59" bestFit="1" customWidth="1"/>
    <col min="25" max="25" width="8.5" style="59" customWidth="1"/>
    <col min="26" max="26" width="9.33203125" style="59" customWidth="1"/>
    <col min="27" max="27" width="9.33203125" style="59" bestFit="1" customWidth="1"/>
    <col min="28" max="16384" width="8.83203125" style="59"/>
  </cols>
  <sheetData>
    <row r="2" spans="2:11" s="18" customFormat="1" ht="19.2" x14ac:dyDescent="0.55000000000000004">
      <c r="B2" s="48" t="s">
        <v>177</v>
      </c>
    </row>
    <row r="3" spans="2:11" ht="19.2" x14ac:dyDescent="0.55000000000000004">
      <c r="B3" s="137" t="s">
        <v>410</v>
      </c>
      <c r="K3" s="18"/>
    </row>
    <row r="4" spans="2:11" ht="19.2" x14ac:dyDescent="0.55000000000000004">
      <c r="B4" s="137" t="s">
        <v>427</v>
      </c>
      <c r="K4" s="18"/>
    </row>
    <row r="5" spans="2:11" ht="19.2" x14ac:dyDescent="0.55000000000000004">
      <c r="B5" s="137" t="s">
        <v>463</v>
      </c>
      <c r="K5" s="18"/>
    </row>
    <row r="6" spans="2:11" ht="19.2" x14ac:dyDescent="0.55000000000000004">
      <c r="B6" s="137" t="s">
        <v>466</v>
      </c>
      <c r="K6" s="18"/>
    </row>
    <row r="7" spans="2:11" ht="19.2" x14ac:dyDescent="0.55000000000000004">
      <c r="B7" s="137" t="s">
        <v>465</v>
      </c>
      <c r="K7" s="18"/>
    </row>
    <row r="8" spans="2:11" ht="19.2" x14ac:dyDescent="0.55000000000000004">
      <c r="B8" s="137" t="s">
        <v>426</v>
      </c>
      <c r="K8" s="18"/>
    </row>
    <row r="9" spans="2:11" ht="19.2" x14ac:dyDescent="0.55000000000000004">
      <c r="B9" s="137" t="s">
        <v>409</v>
      </c>
      <c r="K9" s="18"/>
    </row>
    <row r="10" spans="2:11" ht="19.2" x14ac:dyDescent="0.55000000000000004">
      <c r="B10" s="137" t="s">
        <v>408</v>
      </c>
      <c r="K10" s="18"/>
    </row>
    <row r="11" spans="2:11" ht="19.2" x14ac:dyDescent="0.55000000000000004">
      <c r="B11" s="137" t="s">
        <v>464</v>
      </c>
      <c r="K11" s="18"/>
    </row>
    <row r="12" spans="2:11" ht="19.2" x14ac:dyDescent="0.55000000000000004">
      <c r="B12" s="58"/>
      <c r="K12" s="18"/>
    </row>
    <row r="13" spans="2:11" s="18" customFormat="1" ht="19.2" x14ac:dyDescent="0.55000000000000004">
      <c r="B13" s="87" t="s">
        <v>178</v>
      </c>
      <c r="C13" s="20"/>
      <c r="D13" s="46" t="s">
        <v>228</v>
      </c>
      <c r="K13" s="162"/>
    </row>
    <row r="14" spans="2:11" s="18" customFormat="1" ht="19.2" x14ac:dyDescent="0.55000000000000004">
      <c r="C14" s="21"/>
      <c r="D14" s="47" t="s">
        <v>134</v>
      </c>
      <c r="J14" s="38"/>
    </row>
    <row r="15" spans="2:11" s="18" customFormat="1" ht="19.2" x14ac:dyDescent="0.55000000000000004">
      <c r="C15" s="22"/>
      <c r="D15" s="47" t="s">
        <v>135</v>
      </c>
    </row>
    <row r="16" spans="2:11" s="18" customFormat="1" ht="19.2" x14ac:dyDescent="0.55000000000000004">
      <c r="B16" s="19"/>
      <c r="C16" s="19"/>
    </row>
    <row r="17" spans="2:22" ht="18" customHeight="1" x14ac:dyDescent="0.55000000000000004">
      <c r="J17" s="104"/>
      <c r="L17" s="18"/>
      <c r="M17" s="18"/>
      <c r="N17" s="18"/>
      <c r="O17" s="18"/>
      <c r="P17" s="18"/>
      <c r="Q17" s="18"/>
      <c r="R17" s="18"/>
      <c r="V17" s="166"/>
    </row>
    <row r="18" spans="2:22" ht="18.75" customHeight="1" x14ac:dyDescent="0.55000000000000004">
      <c r="B18" s="166"/>
      <c r="J18" s="104"/>
      <c r="L18" s="18"/>
      <c r="M18" s="18"/>
      <c r="N18" s="18"/>
      <c r="O18" s="18"/>
      <c r="P18" s="18"/>
      <c r="Q18" s="18"/>
      <c r="R18" s="18"/>
    </row>
    <row r="19" spans="2:22" ht="42.75" customHeight="1" x14ac:dyDescent="0.55000000000000004">
      <c r="B19" s="60" t="s">
        <v>206</v>
      </c>
      <c r="E19" s="269" t="s">
        <v>252</v>
      </c>
      <c r="F19" s="269"/>
      <c r="G19" s="270" t="str">
        <f>IF(AND(P27=0,P39=0,P50=0,P61=0,P72=0,P83=0),"事業所のエネルギー使用について入力してください。",IF(OR(P29&lt;&gt;0,P41&lt;&gt;0,P52&lt;&gt;0,P63&lt;&gt;0,P74&lt;&gt;0,P85&lt;&gt;0),"未入力欄が有ります。確認してください。",IF(OR(P27=1,P39=1,P50=1,P61=1,P72=1,P83=1),"エネルギーの使用年度を選択してください。",IF(OR(P39=2,P39=3,P50=2,P61=2,P72=2,P83=2),"エネルギー種別・単位を選択してください。",IF(SUM(P24,P36,P47,P58,P69,P80)&lt;1500,"中小規模事業所に該当します。","中小規模事業所の要件を満たしていないため、申請できません。")))))</f>
        <v>中小規模事業所に該当します。</v>
      </c>
      <c r="H19" s="271"/>
      <c r="I19" s="271"/>
      <c r="J19" s="271"/>
      <c r="K19" s="271"/>
      <c r="L19" s="271"/>
      <c r="M19" s="271"/>
      <c r="N19" s="272"/>
      <c r="O19" s="18"/>
      <c r="P19" s="18"/>
      <c r="Q19" s="18"/>
      <c r="R19" s="18"/>
    </row>
    <row r="20" spans="2:22" ht="19.5" customHeight="1" x14ac:dyDescent="0.55000000000000004">
      <c r="B20" s="60"/>
      <c r="C20" s="60"/>
      <c r="D20" s="60"/>
      <c r="E20" s="60"/>
      <c r="F20" s="60"/>
      <c r="G20" s="60"/>
      <c r="H20" s="60"/>
      <c r="I20" s="60"/>
      <c r="J20" s="60"/>
      <c r="K20" s="60"/>
      <c r="L20" s="60"/>
      <c r="M20" s="60"/>
      <c r="N20" s="60"/>
      <c r="O20" s="18"/>
      <c r="P20" s="18"/>
      <c r="Q20" s="18"/>
      <c r="R20" s="18"/>
    </row>
    <row r="21" spans="2:22" ht="19.8" thickBot="1" x14ac:dyDescent="0.6">
      <c r="B21" s="59" t="s">
        <v>38</v>
      </c>
      <c r="E21" s="62"/>
      <c r="F21" s="62"/>
      <c r="G21" s="62"/>
      <c r="H21" s="62"/>
      <c r="I21" s="62"/>
      <c r="L21" s="18"/>
      <c r="M21" s="18"/>
      <c r="N21" s="18"/>
      <c r="O21" s="18"/>
      <c r="P21" s="18"/>
      <c r="Q21" s="18"/>
      <c r="R21" s="18"/>
    </row>
    <row r="22" spans="2:22" ht="18.75" customHeight="1" x14ac:dyDescent="0.55000000000000004">
      <c r="B22" s="330" t="s">
        <v>542</v>
      </c>
      <c r="C22" s="63" t="s">
        <v>32</v>
      </c>
      <c r="D22" s="64" t="s">
        <v>31</v>
      </c>
      <c r="E22" s="64" t="s">
        <v>30</v>
      </c>
      <c r="F22" s="64" t="s">
        <v>29</v>
      </c>
      <c r="G22" s="64" t="s">
        <v>28</v>
      </c>
      <c r="H22" s="64" t="s">
        <v>27</v>
      </c>
      <c r="I22" s="64" t="s">
        <v>26</v>
      </c>
      <c r="J22" s="64" t="s">
        <v>25</v>
      </c>
      <c r="K22" s="64" t="s">
        <v>24</v>
      </c>
      <c r="L22" s="63" t="s">
        <v>23</v>
      </c>
      <c r="M22" s="64" t="s">
        <v>22</v>
      </c>
      <c r="N22" s="68" t="s">
        <v>21</v>
      </c>
      <c r="O22" s="139"/>
      <c r="P22" s="69"/>
      <c r="Q22" s="18"/>
      <c r="R22" s="18"/>
    </row>
    <row r="23" spans="2:22" ht="38.25" customHeight="1" x14ac:dyDescent="0.55000000000000004">
      <c r="B23" s="66" t="s">
        <v>412</v>
      </c>
      <c r="C23" s="331" t="s">
        <v>543</v>
      </c>
      <c r="D23" s="331" t="s">
        <v>544</v>
      </c>
      <c r="E23" s="331" t="s">
        <v>545</v>
      </c>
      <c r="F23" s="331" t="s">
        <v>546</v>
      </c>
      <c r="G23" s="331" t="s">
        <v>547</v>
      </c>
      <c r="H23" s="331" t="s">
        <v>548</v>
      </c>
      <c r="I23" s="331" t="s">
        <v>549</v>
      </c>
      <c r="J23" s="331" t="s">
        <v>550</v>
      </c>
      <c r="K23" s="331" t="s">
        <v>551</v>
      </c>
      <c r="L23" s="331" t="s">
        <v>552</v>
      </c>
      <c r="M23" s="331" t="s">
        <v>553</v>
      </c>
      <c r="N23" s="331" t="s">
        <v>554</v>
      </c>
      <c r="O23" s="134" t="s">
        <v>414</v>
      </c>
      <c r="P23" s="138" t="s">
        <v>413</v>
      </c>
    </row>
    <row r="24" spans="2:22" ht="18.75" customHeight="1" x14ac:dyDescent="0.55000000000000004">
      <c r="B24" s="65" t="s">
        <v>37</v>
      </c>
      <c r="C24" s="332">
        <v>898</v>
      </c>
      <c r="D24" s="332">
        <v>997</v>
      </c>
      <c r="E24" s="332">
        <v>1179</v>
      </c>
      <c r="F24" s="332">
        <v>1257</v>
      </c>
      <c r="G24" s="332">
        <v>1467</v>
      </c>
      <c r="H24" s="332">
        <v>1770</v>
      </c>
      <c r="I24" s="332">
        <v>1216</v>
      </c>
      <c r="J24" s="332">
        <v>856</v>
      </c>
      <c r="K24" s="332">
        <v>956</v>
      </c>
      <c r="L24" s="332">
        <v>1032</v>
      </c>
      <c r="M24" s="332">
        <v>1164</v>
      </c>
      <c r="N24" s="333">
        <v>785</v>
      </c>
      <c r="O24" s="264">
        <f>IF(ISERROR(12*SUM(C24:N25)/COUNT(C24:N25)),"",12*SUM(C24:N25)/COUNT(C24:N25))</f>
        <v>13577</v>
      </c>
      <c r="P24" s="268">
        <f>IF(P27=0,"",IF(P29=1,"未入力欄を確認",IF(P27=1,"年度を選択",IF(AND(O24&gt;0,O26&gt;0,Q27=Q28,P27=4),計算!$J$3,"入力不足"))))</f>
        <v>3.42</v>
      </c>
    </row>
    <row r="25" spans="2:22" ht="18.75" customHeight="1" thickBot="1" x14ac:dyDescent="0.6">
      <c r="B25" s="66" t="s">
        <v>36</v>
      </c>
      <c r="C25" s="334"/>
      <c r="D25" s="334"/>
      <c r="E25" s="334"/>
      <c r="F25" s="334"/>
      <c r="G25" s="334"/>
      <c r="H25" s="334"/>
      <c r="I25" s="334"/>
      <c r="J25" s="334"/>
      <c r="K25" s="334"/>
      <c r="L25" s="334"/>
      <c r="M25" s="334"/>
      <c r="N25" s="335"/>
      <c r="O25" s="265"/>
      <c r="P25" s="263"/>
    </row>
    <row r="26" spans="2:22" ht="38.25" customHeight="1" thickTop="1" thickBot="1" x14ac:dyDescent="0.6">
      <c r="B26" s="67" t="s">
        <v>411</v>
      </c>
      <c r="C26" s="336">
        <v>27234</v>
      </c>
      <c r="D26" s="336">
        <v>29368</v>
      </c>
      <c r="E26" s="336">
        <v>33026</v>
      </c>
      <c r="F26" s="336">
        <v>33807</v>
      </c>
      <c r="G26" s="336">
        <v>37411</v>
      </c>
      <c r="H26" s="336">
        <v>42293</v>
      </c>
      <c r="I26" s="336">
        <v>30582</v>
      </c>
      <c r="J26" s="336">
        <v>25126</v>
      </c>
      <c r="K26" s="336">
        <v>25741</v>
      </c>
      <c r="L26" s="336">
        <v>25461</v>
      </c>
      <c r="M26" s="336">
        <v>27085</v>
      </c>
      <c r="N26" s="336">
        <v>21091</v>
      </c>
      <c r="O26" s="70">
        <f>IF(ISERROR(12*SUM(C26:N26)/COUNT(C26:N26)),"",12*SUM(C26:N26)/COUNT(C26:N26))</f>
        <v>358225</v>
      </c>
      <c r="P26" s="141">
        <f>IF(AND(O24="",O26="",P29=0),0,IF(OR(B22="",B22="年度を選択"),1,4))</f>
        <v>4</v>
      </c>
      <c r="Q26" s="158"/>
    </row>
    <row r="27" spans="2:22" ht="18.75" hidden="1" customHeight="1" x14ac:dyDescent="0.55000000000000004">
      <c r="B27" s="160" t="s">
        <v>444</v>
      </c>
      <c r="C27" s="159">
        <f>IF(C23="",2,IF(C23&lt;&gt;"",0,1))</f>
        <v>0</v>
      </c>
      <c r="D27" s="159">
        <f t="shared" ref="D27:N27" si="0">IF(D23="",2,IF(D23&lt;&gt;"",0,1))</f>
        <v>0</v>
      </c>
      <c r="E27" s="159">
        <f t="shared" si="0"/>
        <v>0</v>
      </c>
      <c r="F27" s="159">
        <f t="shared" si="0"/>
        <v>0</v>
      </c>
      <c r="G27" s="159">
        <f t="shared" si="0"/>
        <v>0</v>
      </c>
      <c r="H27" s="159">
        <f t="shared" si="0"/>
        <v>0</v>
      </c>
      <c r="I27" s="159">
        <f t="shared" si="0"/>
        <v>0</v>
      </c>
      <c r="J27" s="159">
        <f t="shared" si="0"/>
        <v>0</v>
      </c>
      <c r="K27" s="159">
        <f t="shared" si="0"/>
        <v>0</v>
      </c>
      <c r="L27" s="159">
        <f t="shared" si="0"/>
        <v>0</v>
      </c>
      <c r="M27" s="159">
        <f>IF(M23="",2,IF(M23&lt;&gt;"",0,1))</f>
        <v>0</v>
      </c>
      <c r="N27" s="159">
        <f t="shared" si="0"/>
        <v>0</v>
      </c>
      <c r="O27" s="159" t="str">
        <f>IF(R27&gt;1,"入力確認",IF(Q27=Q28,"入力済","未入力"))</f>
        <v>入力済</v>
      </c>
      <c r="P27" s="161">
        <f>P26</f>
        <v>4</v>
      </c>
      <c r="Q27" s="158">
        <f>COUNTIF($C27:$N27,0)</f>
        <v>12</v>
      </c>
      <c r="R27" s="158">
        <f>COUNTIF($C27:$N27,1)</f>
        <v>0</v>
      </c>
      <c r="S27" s="158">
        <f>COUNTIF($C27:$N27,2)</f>
        <v>0</v>
      </c>
      <c r="T27" s="158"/>
    </row>
    <row r="28" spans="2:22" ht="18.75" hidden="1" customHeight="1" x14ac:dyDescent="0.55000000000000004">
      <c r="B28" s="160" t="s">
        <v>445</v>
      </c>
      <c r="C28" s="159">
        <f>IF(AND(C24="",C26=""),2,IF(AND(C24&lt;&gt;"",C26&lt;&gt;""),0,1))</f>
        <v>0</v>
      </c>
      <c r="D28" s="159">
        <f t="shared" ref="D28:N28" si="1">IF(AND(D24="",D26=""),2,IF(AND(D24&lt;&gt;"",D26&lt;&gt;""),0,1))</f>
        <v>0</v>
      </c>
      <c r="E28" s="159">
        <f t="shared" si="1"/>
        <v>0</v>
      </c>
      <c r="F28" s="159">
        <f t="shared" si="1"/>
        <v>0</v>
      </c>
      <c r="G28" s="159">
        <f t="shared" si="1"/>
        <v>0</v>
      </c>
      <c r="H28" s="159">
        <f t="shared" si="1"/>
        <v>0</v>
      </c>
      <c r="I28" s="159">
        <f t="shared" si="1"/>
        <v>0</v>
      </c>
      <c r="J28" s="159">
        <f t="shared" si="1"/>
        <v>0</v>
      </c>
      <c r="K28" s="159">
        <f t="shared" si="1"/>
        <v>0</v>
      </c>
      <c r="L28" s="159">
        <f t="shared" si="1"/>
        <v>0</v>
      </c>
      <c r="M28" s="159">
        <f t="shared" si="1"/>
        <v>0</v>
      </c>
      <c r="N28" s="159">
        <f t="shared" si="1"/>
        <v>0</v>
      </c>
      <c r="O28" s="159" t="str">
        <f>IF(R28&gt;1,"入力確認",IF(Q28+S28=12,"入力済","未入力"))</f>
        <v>入力済</v>
      </c>
      <c r="P28" s="161"/>
      <c r="Q28" s="158">
        <f>COUNTIF($C28:$N28,0)</f>
        <v>12</v>
      </c>
      <c r="R28" s="158">
        <f>COUNTIF($C28:$N28,1)</f>
        <v>0</v>
      </c>
      <c r="S28" s="158">
        <f>COUNTIF($C28:$N28,2)</f>
        <v>0</v>
      </c>
    </row>
    <row r="29" spans="2:22" ht="18.75" hidden="1" customHeight="1" x14ac:dyDescent="0.55000000000000004">
      <c r="B29" s="160" t="s">
        <v>446</v>
      </c>
      <c r="C29" s="159">
        <f>IF(AND(C27=2,C28=2),2,IF(C27&lt;&gt;C28,1,IF(AND(C27=0,C28=0),0,4)))</f>
        <v>0</v>
      </c>
      <c r="D29" s="159">
        <f t="shared" ref="D29:N29" si="2">IF(AND(D27=2,D28=2),2,IF(D27&lt;&gt;D28,1,IF(AND(D27=0,D28=0),0,4)))</f>
        <v>0</v>
      </c>
      <c r="E29" s="159">
        <f t="shared" si="2"/>
        <v>0</v>
      </c>
      <c r="F29" s="159">
        <f t="shared" si="2"/>
        <v>0</v>
      </c>
      <c r="G29" s="159">
        <f t="shared" si="2"/>
        <v>0</v>
      </c>
      <c r="H29" s="159">
        <f t="shared" si="2"/>
        <v>0</v>
      </c>
      <c r="I29" s="159">
        <f t="shared" si="2"/>
        <v>0</v>
      </c>
      <c r="J29" s="159">
        <f t="shared" si="2"/>
        <v>0</v>
      </c>
      <c r="K29" s="159">
        <f t="shared" si="2"/>
        <v>0</v>
      </c>
      <c r="L29" s="159">
        <f t="shared" si="2"/>
        <v>0</v>
      </c>
      <c r="M29" s="159">
        <f t="shared" si="2"/>
        <v>0</v>
      </c>
      <c r="N29" s="159">
        <f t="shared" si="2"/>
        <v>0</v>
      </c>
      <c r="O29" s="159" t="str">
        <f>IF(R29&gt;1,"入力確認",IF(Q29+S29=12,"入力済","未入力"))</f>
        <v>入力済</v>
      </c>
      <c r="P29" s="161">
        <f>IF(O29="未入力",1,IF(O29="入力済",0,2))</f>
        <v>0</v>
      </c>
      <c r="Q29" s="158">
        <f>COUNTIF($C29:$N29,0)</f>
        <v>12</v>
      </c>
      <c r="R29" s="158">
        <f>COUNTIF($C29:$N29,1)</f>
        <v>0</v>
      </c>
      <c r="S29" s="158">
        <f>COUNTIF($C29:$N29,2)</f>
        <v>0</v>
      </c>
    </row>
    <row r="30" spans="2:22" x14ac:dyDescent="0.55000000000000004">
      <c r="B30" s="59" t="s">
        <v>35</v>
      </c>
      <c r="E30" s="71"/>
      <c r="F30" s="71"/>
      <c r="G30" s="71"/>
      <c r="H30" s="71"/>
      <c r="O30" s="72"/>
    </row>
    <row r="33" spans="2:20" ht="18" thickBot="1" x14ac:dyDescent="0.6">
      <c r="B33" s="59" t="s">
        <v>34</v>
      </c>
      <c r="E33" s="337" t="s">
        <v>441</v>
      </c>
      <c r="F33" s="337" t="s">
        <v>442</v>
      </c>
      <c r="G33" s="62"/>
      <c r="K33" s="61"/>
    </row>
    <row r="34" spans="2:20" ht="19.5" customHeight="1" x14ac:dyDescent="0.55000000000000004">
      <c r="B34" s="330" t="s">
        <v>542</v>
      </c>
      <c r="C34" s="63" t="s">
        <v>32</v>
      </c>
      <c r="D34" s="64" t="s">
        <v>31</v>
      </c>
      <c r="E34" s="64" t="s">
        <v>30</v>
      </c>
      <c r="F34" s="64" t="s">
        <v>29</v>
      </c>
      <c r="G34" s="64" t="s">
        <v>28</v>
      </c>
      <c r="H34" s="64" t="s">
        <v>27</v>
      </c>
      <c r="I34" s="64" t="s">
        <v>26</v>
      </c>
      <c r="J34" s="64" t="s">
        <v>25</v>
      </c>
      <c r="K34" s="64" t="s">
        <v>24</v>
      </c>
      <c r="L34" s="63" t="s">
        <v>23</v>
      </c>
      <c r="M34" s="64" t="s">
        <v>22</v>
      </c>
      <c r="N34" s="68" t="s">
        <v>21</v>
      </c>
      <c r="O34" s="139"/>
      <c r="P34" s="69"/>
    </row>
    <row r="35" spans="2:20" ht="38.25" customHeight="1" x14ac:dyDescent="0.55000000000000004">
      <c r="B35" s="66" t="s">
        <v>412</v>
      </c>
      <c r="C35" s="331" t="s">
        <v>555</v>
      </c>
      <c r="D35" s="331" t="s">
        <v>556</v>
      </c>
      <c r="E35" s="331" t="s">
        <v>557</v>
      </c>
      <c r="F35" s="331" t="s">
        <v>558</v>
      </c>
      <c r="G35" s="331" t="s">
        <v>559</v>
      </c>
      <c r="H35" s="331" t="s">
        <v>560</v>
      </c>
      <c r="I35" s="331" t="s">
        <v>561</v>
      </c>
      <c r="J35" s="331" t="s">
        <v>562</v>
      </c>
      <c r="K35" s="331" t="s">
        <v>563</v>
      </c>
      <c r="L35" s="331" t="s">
        <v>564</v>
      </c>
      <c r="M35" s="331" t="s">
        <v>565</v>
      </c>
      <c r="N35" s="338" t="s">
        <v>566</v>
      </c>
      <c r="O35" s="134" t="s">
        <v>414</v>
      </c>
      <c r="P35" s="138" t="s">
        <v>413</v>
      </c>
    </row>
    <row r="36" spans="2:20" ht="19.5" customHeight="1" x14ac:dyDescent="0.55000000000000004">
      <c r="B36" s="65" t="s">
        <v>33</v>
      </c>
      <c r="C36" s="332">
        <v>247</v>
      </c>
      <c r="D36" s="332">
        <v>269</v>
      </c>
      <c r="E36" s="332">
        <v>230</v>
      </c>
      <c r="F36" s="332">
        <v>222</v>
      </c>
      <c r="G36" s="332">
        <v>266</v>
      </c>
      <c r="H36" s="332">
        <v>224</v>
      </c>
      <c r="I36" s="332">
        <v>328</v>
      </c>
      <c r="J36" s="332">
        <v>369</v>
      </c>
      <c r="K36" s="332">
        <v>394</v>
      </c>
      <c r="L36" s="332">
        <v>378</v>
      </c>
      <c r="M36" s="332">
        <v>342</v>
      </c>
      <c r="N36" s="332">
        <v>348</v>
      </c>
      <c r="O36" s="264">
        <f>IF(ISERROR(12*SUM(C36:N37)/COUNT(C36:N37)),"",12*SUM(C36:N37)/COUNT(C36:N37))</f>
        <v>3617</v>
      </c>
      <c r="P36" s="266">
        <f>IF(P39=0,"",IF(P41=1,"未入力欄を確認",IF(P39=1,"年度を選択",IF(P39=2,"種別を選択",IF(P39=3,"単位を選択",IF(AND($E$33="都市ガス",$F$33="［m3］"),計算!$J$6,IF(AND($E$33="LPG",$F$33="［m3］"),計算!$J$7,IF(AND($E$33="LPG",$F$33="［kg］"),計算!$L$7,IF($E$33="LNG",計算!$J$8,IF($E$33="水素ガス",計算!$J$9,IF($E$33="天然ガス",計算!$J$10,"")))))))))))</f>
        <v>4.0599999999999996</v>
      </c>
    </row>
    <row r="37" spans="2:20" ht="19.5" customHeight="1" thickBot="1" x14ac:dyDescent="0.6">
      <c r="B37" s="66" t="str">
        <f>IF(F33="","",F33)</f>
        <v>［m3］</v>
      </c>
      <c r="C37" s="339"/>
      <c r="D37" s="339"/>
      <c r="E37" s="339"/>
      <c r="F37" s="339"/>
      <c r="G37" s="339"/>
      <c r="H37" s="339"/>
      <c r="I37" s="339"/>
      <c r="J37" s="334"/>
      <c r="K37" s="334"/>
      <c r="L37" s="334"/>
      <c r="M37" s="334"/>
      <c r="N37" s="334"/>
      <c r="O37" s="265"/>
      <c r="P37" s="267"/>
    </row>
    <row r="38" spans="2:20" ht="38.25" customHeight="1" thickTop="1" thickBot="1" x14ac:dyDescent="0.6">
      <c r="B38" s="67" t="s">
        <v>411</v>
      </c>
      <c r="C38" s="336">
        <v>31853</v>
      </c>
      <c r="D38" s="336">
        <v>34521</v>
      </c>
      <c r="E38" s="336">
        <v>29770</v>
      </c>
      <c r="F38" s="336">
        <v>28742</v>
      </c>
      <c r="G38" s="336">
        <v>33968</v>
      </c>
      <c r="H38" s="336">
        <v>28424</v>
      </c>
      <c r="I38" s="336">
        <v>39516</v>
      </c>
      <c r="J38" s="340">
        <v>42279</v>
      </c>
      <c r="K38" s="340">
        <v>43226</v>
      </c>
      <c r="L38" s="340">
        <v>40671</v>
      </c>
      <c r="M38" s="340">
        <v>37189</v>
      </c>
      <c r="N38" s="340">
        <v>38804</v>
      </c>
      <c r="O38" s="140">
        <f>IF(ISERROR(12*SUM(C38:N38)/COUNT(C38:N38)),"",12*SUM(C38:N38)/COUNT(C38:N38))</f>
        <v>428963</v>
      </c>
      <c r="P38" s="141">
        <f>IF(AND(O36="",O38="",P41=0),0,IF(OR(B34="",B34="年度を選択"),1,IF(OR(E33="",E33="種別を選択"),2,IF(OR(F33="",F33="単位を選択"),3,4))))</f>
        <v>4</v>
      </c>
      <c r="Q38" s="158"/>
      <c r="R38" s="158"/>
    </row>
    <row r="39" spans="2:20" ht="18.75" hidden="1" customHeight="1" x14ac:dyDescent="0.55000000000000004">
      <c r="B39" s="160" t="s">
        <v>444</v>
      </c>
      <c r="C39" s="159">
        <f>IF(C35="",2,IF(C35&lt;&gt;"",0,1))</f>
        <v>0</v>
      </c>
      <c r="D39" s="159">
        <f t="shared" ref="D39:L39" si="3">IF(D35="",2,IF(D35&lt;&gt;"",0,1))</f>
        <v>0</v>
      </c>
      <c r="E39" s="159">
        <f t="shared" si="3"/>
        <v>0</v>
      </c>
      <c r="F39" s="159">
        <f t="shared" si="3"/>
        <v>0</v>
      </c>
      <c r="G39" s="159">
        <f t="shared" si="3"/>
        <v>0</v>
      </c>
      <c r="H39" s="159">
        <f t="shared" si="3"/>
        <v>0</v>
      </c>
      <c r="I39" s="159">
        <f t="shared" si="3"/>
        <v>0</v>
      </c>
      <c r="J39" s="159">
        <f t="shared" si="3"/>
        <v>0</v>
      </c>
      <c r="K39" s="159">
        <f t="shared" si="3"/>
        <v>0</v>
      </c>
      <c r="L39" s="159">
        <f t="shared" si="3"/>
        <v>0</v>
      </c>
      <c r="M39" s="159">
        <f>IF(M35="",2,IF(M35&lt;&gt;"",0,1))</f>
        <v>0</v>
      </c>
      <c r="N39" s="159">
        <f t="shared" ref="N39" si="4">IF(N35="",2,IF(N35&lt;&gt;"",0,1))</f>
        <v>0</v>
      </c>
      <c r="O39" s="159" t="str">
        <f>IF(R39&gt;1,"入力確認",IF(Q39=Q40,"入力済","未入力"))</f>
        <v>入力済</v>
      </c>
      <c r="P39" s="161">
        <f>P38</f>
        <v>4</v>
      </c>
      <c r="Q39" s="158">
        <f>COUNTIF($C39:$N39,0)</f>
        <v>12</v>
      </c>
      <c r="R39" s="158">
        <f>COUNTIF($C39:$N39,1)</f>
        <v>0</v>
      </c>
      <c r="S39" s="158">
        <f>COUNTIF($C39:$N39,2)</f>
        <v>0</v>
      </c>
      <c r="T39" s="158"/>
    </row>
    <row r="40" spans="2:20" ht="18.75" hidden="1" customHeight="1" x14ac:dyDescent="0.55000000000000004">
      <c r="B40" s="160" t="s">
        <v>445</v>
      </c>
      <c r="C40" s="159">
        <f>IF(AND(C36="",C38=""),2,IF(AND(C36&lt;&gt;"",C38&lt;&gt;""),0,1))</f>
        <v>0</v>
      </c>
      <c r="D40" s="159">
        <f t="shared" ref="D40:N40" si="5">IF(AND(D36="",D38=""),2,IF(AND(D36&lt;&gt;"",D38&lt;&gt;""),0,1))</f>
        <v>0</v>
      </c>
      <c r="E40" s="159">
        <f t="shared" si="5"/>
        <v>0</v>
      </c>
      <c r="F40" s="159">
        <f t="shared" si="5"/>
        <v>0</v>
      </c>
      <c r="G40" s="159">
        <f t="shared" si="5"/>
        <v>0</v>
      </c>
      <c r="H40" s="159">
        <f t="shared" si="5"/>
        <v>0</v>
      </c>
      <c r="I40" s="159">
        <f t="shared" si="5"/>
        <v>0</v>
      </c>
      <c r="J40" s="159">
        <f t="shared" si="5"/>
        <v>0</v>
      </c>
      <c r="K40" s="159">
        <f t="shared" si="5"/>
        <v>0</v>
      </c>
      <c r="L40" s="159">
        <f t="shared" si="5"/>
        <v>0</v>
      </c>
      <c r="M40" s="159">
        <f t="shared" si="5"/>
        <v>0</v>
      </c>
      <c r="N40" s="159">
        <f t="shared" si="5"/>
        <v>0</v>
      </c>
      <c r="O40" s="159" t="str">
        <f>IF(R40&gt;1,"入力確認",IF(Q40+S40=12,"入力済","未入力"))</f>
        <v>入力済</v>
      </c>
      <c r="P40" s="161"/>
      <c r="Q40" s="158">
        <f>COUNTIF($C40:$N40,0)</f>
        <v>12</v>
      </c>
      <c r="R40" s="158">
        <f>COUNTIF($C40:$N40,1)</f>
        <v>0</v>
      </c>
      <c r="S40" s="158">
        <f>COUNTIF($C40:$N40,2)</f>
        <v>0</v>
      </c>
    </row>
    <row r="41" spans="2:20" ht="18.75" hidden="1" customHeight="1" x14ac:dyDescent="0.55000000000000004">
      <c r="B41" s="160" t="s">
        <v>446</v>
      </c>
      <c r="C41" s="159">
        <f>IF(AND(C39=2,C40=2),2,IF(C39&lt;&gt;C40,1,IF(AND(C39=0,C40=0),0,4)))</f>
        <v>0</v>
      </c>
      <c r="D41" s="159">
        <f t="shared" ref="D41" si="6">IF(AND(D39=2,D40=2),2,IF(D39&lt;&gt;D40,1,IF(AND(D39=0,D40=0),0,4)))</f>
        <v>0</v>
      </c>
      <c r="E41" s="159">
        <f t="shared" ref="E41" si="7">IF(AND(E39=2,E40=2),2,IF(E39&lt;&gt;E40,1,IF(AND(E39=0,E40=0),0,4)))</f>
        <v>0</v>
      </c>
      <c r="F41" s="159">
        <f t="shared" ref="F41" si="8">IF(AND(F39=2,F40=2),2,IF(F39&lt;&gt;F40,1,IF(AND(F39=0,F40=0),0,4)))</f>
        <v>0</v>
      </c>
      <c r="G41" s="159">
        <f t="shared" ref="G41" si="9">IF(AND(G39=2,G40=2),2,IF(G39&lt;&gt;G40,1,IF(AND(G39=0,G40=0),0,4)))</f>
        <v>0</v>
      </c>
      <c r="H41" s="159">
        <f t="shared" ref="H41" si="10">IF(AND(H39=2,H40=2),2,IF(H39&lt;&gt;H40,1,IF(AND(H39=0,H40=0),0,4)))</f>
        <v>0</v>
      </c>
      <c r="I41" s="159">
        <f t="shared" ref="I41" si="11">IF(AND(I39=2,I40=2),2,IF(I39&lt;&gt;I40,1,IF(AND(I39=0,I40=0),0,4)))</f>
        <v>0</v>
      </c>
      <c r="J41" s="159">
        <f t="shared" ref="J41" si="12">IF(AND(J39=2,J40=2),2,IF(J39&lt;&gt;J40,1,IF(AND(J39=0,J40=0),0,4)))</f>
        <v>0</v>
      </c>
      <c r="K41" s="159">
        <f t="shared" ref="K41" si="13">IF(AND(K39=2,K40=2),2,IF(K39&lt;&gt;K40,1,IF(AND(K39=0,K40=0),0,4)))</f>
        <v>0</v>
      </c>
      <c r="L41" s="159">
        <f t="shared" ref="L41" si="14">IF(AND(L39=2,L40=2),2,IF(L39&lt;&gt;L40,1,IF(AND(L39=0,L40=0),0,4)))</f>
        <v>0</v>
      </c>
      <c r="M41" s="159">
        <f t="shared" ref="M41" si="15">IF(AND(M39=2,M40=2),2,IF(M39&lt;&gt;M40,1,IF(AND(M39=0,M40=0),0,4)))</f>
        <v>0</v>
      </c>
      <c r="N41" s="159">
        <f t="shared" ref="N41" si="16">IF(AND(N39=2,N40=2),2,IF(N39&lt;&gt;N40,1,IF(AND(N39=0,N40=0),0,4)))</f>
        <v>0</v>
      </c>
      <c r="O41" s="159" t="str">
        <f>IF(R41&gt;1,"入力確認",IF(Q41+S41=12,"入力済","未入力"))</f>
        <v>入力済</v>
      </c>
      <c r="P41" s="161">
        <f>IF(O41="未入力",1,IF(O41="入力済",0,2))</f>
        <v>0</v>
      </c>
      <c r="Q41" s="158">
        <f>COUNTIF($C41:$N41,0)</f>
        <v>12</v>
      </c>
      <c r="R41" s="158">
        <f>COUNTIF($C41:$N41,1)</f>
        <v>0</v>
      </c>
      <c r="S41" s="158">
        <f>COUNTIF($C41:$N41,2)</f>
        <v>0</v>
      </c>
    </row>
    <row r="42" spans="2:20" x14ac:dyDescent="0.55000000000000004">
      <c r="E42" s="71"/>
      <c r="F42" s="71"/>
      <c r="G42" s="71"/>
      <c r="H42" s="71"/>
      <c r="O42" s="72"/>
    </row>
    <row r="43" spans="2:20" x14ac:dyDescent="0.55000000000000004">
      <c r="E43" s="71"/>
      <c r="F43" s="71"/>
      <c r="G43" s="71"/>
      <c r="H43" s="71"/>
      <c r="O43" s="72"/>
    </row>
    <row r="44" spans="2:20" ht="20.25" customHeight="1" thickBot="1" x14ac:dyDescent="0.6">
      <c r="B44" s="59" t="s">
        <v>200</v>
      </c>
      <c r="E44" s="341" t="s">
        <v>254</v>
      </c>
      <c r="F44" s="341"/>
      <c r="G44" s="62"/>
      <c r="H44" s="73"/>
      <c r="I44" s="73"/>
      <c r="K44" s="61"/>
    </row>
    <row r="45" spans="2:20" ht="19.5" customHeight="1" x14ac:dyDescent="0.55000000000000004">
      <c r="B45" s="330" t="s">
        <v>253</v>
      </c>
      <c r="C45" s="63" t="s">
        <v>32</v>
      </c>
      <c r="D45" s="64" t="s">
        <v>31</v>
      </c>
      <c r="E45" s="64" t="s">
        <v>30</v>
      </c>
      <c r="F45" s="64" t="s">
        <v>29</v>
      </c>
      <c r="G45" s="64" t="s">
        <v>28</v>
      </c>
      <c r="H45" s="64" t="s">
        <v>27</v>
      </c>
      <c r="I45" s="64" t="s">
        <v>26</v>
      </c>
      <c r="J45" s="64" t="s">
        <v>25</v>
      </c>
      <c r="K45" s="64" t="s">
        <v>24</v>
      </c>
      <c r="L45" s="63" t="s">
        <v>23</v>
      </c>
      <c r="M45" s="64" t="s">
        <v>22</v>
      </c>
      <c r="N45" s="68" t="s">
        <v>21</v>
      </c>
      <c r="O45" s="139"/>
      <c r="P45" s="69"/>
    </row>
    <row r="46" spans="2:20" ht="38.25" customHeight="1" x14ac:dyDescent="0.55000000000000004">
      <c r="B46" s="66" t="s">
        <v>412</v>
      </c>
      <c r="C46" s="331"/>
      <c r="D46" s="331"/>
      <c r="E46" s="331"/>
      <c r="F46" s="331"/>
      <c r="G46" s="331"/>
      <c r="H46" s="331"/>
      <c r="I46" s="331"/>
      <c r="J46" s="331"/>
      <c r="K46" s="331"/>
      <c r="L46" s="331"/>
      <c r="M46" s="331"/>
      <c r="N46" s="338"/>
      <c r="O46" s="134" t="s">
        <v>414</v>
      </c>
      <c r="P46" s="138" t="s">
        <v>413</v>
      </c>
    </row>
    <row r="47" spans="2:20" ht="19.5" customHeight="1" x14ac:dyDescent="0.55000000000000004">
      <c r="B47" s="65" t="s">
        <v>18</v>
      </c>
      <c r="C47" s="332"/>
      <c r="D47" s="332"/>
      <c r="E47" s="332"/>
      <c r="F47" s="332"/>
      <c r="G47" s="332"/>
      <c r="H47" s="332"/>
      <c r="I47" s="332"/>
      <c r="J47" s="332"/>
      <c r="K47" s="332"/>
      <c r="L47" s="332"/>
      <c r="M47" s="332"/>
      <c r="N47" s="332"/>
      <c r="O47" s="264" t="str">
        <f>IF(ISERROR(12*SUM(C47:N48)/COUNT(C47:N48)),"",12*SUM(C47:N48)/COUNT(C47:N48))</f>
        <v/>
      </c>
      <c r="P47" s="262" t="str">
        <f>IF(P50=0,"",IF(P52=1,"未入力欄を確認",IF(P50=1,"年度を選択",IF(P50=2,"エネルギー種別を選択",IF($E44="都市ガス",計算!$J$17,IF($E44="温水・冷水",計算!$J$18,IF($E44="産業用蒸気",計算!$J$19,IF($E44="産業用以外の蒸気",計算!$J$20,IF($E44="灯油",計算!$J$21,IF($E44="軽油",計算!$J$22,IF($E44="A重油",計算!$J$23,IF($E44="B・Ｃ重油",計算!$J$24,""))))))))))))</f>
        <v/>
      </c>
    </row>
    <row r="48" spans="2:20" ht="19.5" customHeight="1" thickBot="1" x14ac:dyDescent="0.6">
      <c r="B48" s="66" t="str">
        <f>IF(E44="都市ガス","［m3］",IF(OR(E44="温水・冷水",E44="産業用蒸気",E44="産業用以外の蒸気"),"［MJ］","［L］"))</f>
        <v>［L］</v>
      </c>
      <c r="C48" s="339"/>
      <c r="D48" s="339"/>
      <c r="E48" s="339"/>
      <c r="F48" s="339"/>
      <c r="G48" s="339"/>
      <c r="H48" s="339"/>
      <c r="I48" s="339"/>
      <c r="J48" s="334"/>
      <c r="K48" s="334"/>
      <c r="L48" s="334"/>
      <c r="M48" s="334"/>
      <c r="N48" s="334"/>
      <c r="O48" s="265"/>
      <c r="P48" s="263"/>
    </row>
    <row r="49" spans="2:20" ht="38.25" customHeight="1" thickTop="1" thickBot="1" x14ac:dyDescent="0.6">
      <c r="B49" s="67" t="s">
        <v>411</v>
      </c>
      <c r="C49" s="336"/>
      <c r="D49" s="336"/>
      <c r="E49" s="336"/>
      <c r="F49" s="336"/>
      <c r="G49" s="336"/>
      <c r="H49" s="336"/>
      <c r="I49" s="336"/>
      <c r="J49" s="340"/>
      <c r="K49" s="340"/>
      <c r="L49" s="340"/>
      <c r="M49" s="340"/>
      <c r="N49" s="340"/>
      <c r="O49" s="70" t="str">
        <f>IF(ISERROR(12*SUM(C49:N49)/COUNT(C49:N49)),"",12*SUM(C49:N49)/COUNT(C49:N49))</f>
        <v/>
      </c>
      <c r="P49" s="141">
        <f>IF(AND(O47="",O49="",P52=0),0,IF(OR(B45="",B45="年度を選択"),1,IF(OR(E44="",E44="エネルギー種別を選択"),2,4)))</f>
        <v>0</v>
      </c>
      <c r="Q49" s="158"/>
    </row>
    <row r="50" spans="2:20" ht="18.75" hidden="1" customHeight="1" x14ac:dyDescent="0.55000000000000004">
      <c r="B50" s="160" t="s">
        <v>444</v>
      </c>
      <c r="C50" s="159">
        <f>IF(C46="",2,IF(C46&lt;&gt;"",0,1))</f>
        <v>2</v>
      </c>
      <c r="D50" s="159">
        <f t="shared" ref="D50:L50" si="17">IF(D46="",2,IF(D46&lt;&gt;"",0,1))</f>
        <v>2</v>
      </c>
      <c r="E50" s="159">
        <f t="shared" si="17"/>
        <v>2</v>
      </c>
      <c r="F50" s="159">
        <f t="shared" si="17"/>
        <v>2</v>
      </c>
      <c r="G50" s="159">
        <f t="shared" si="17"/>
        <v>2</v>
      </c>
      <c r="H50" s="159">
        <f t="shared" si="17"/>
        <v>2</v>
      </c>
      <c r="I50" s="159">
        <f t="shared" si="17"/>
        <v>2</v>
      </c>
      <c r="J50" s="159">
        <f t="shared" si="17"/>
        <v>2</v>
      </c>
      <c r="K50" s="159">
        <f t="shared" si="17"/>
        <v>2</v>
      </c>
      <c r="L50" s="159">
        <f t="shared" si="17"/>
        <v>2</v>
      </c>
      <c r="M50" s="159">
        <f>IF(M46="",2,IF(M46&lt;&gt;"",0,1))</f>
        <v>2</v>
      </c>
      <c r="N50" s="159">
        <f t="shared" ref="N50" si="18">IF(N46="",2,IF(N46&lt;&gt;"",0,1))</f>
        <v>2</v>
      </c>
      <c r="O50" s="159" t="str">
        <f>IF(R50&gt;1,"入力確認",IF(Q50=Q51,"入力済","未入力"))</f>
        <v>入力済</v>
      </c>
      <c r="P50" s="161">
        <f>P49</f>
        <v>0</v>
      </c>
      <c r="Q50" s="158">
        <f>COUNTIF($C50:$N50,0)</f>
        <v>0</v>
      </c>
      <c r="R50" s="158">
        <f>COUNTIF($C50:$N50,1)</f>
        <v>0</v>
      </c>
      <c r="S50" s="158">
        <f>COUNTIF($C50:$N50,2)</f>
        <v>12</v>
      </c>
      <c r="T50" s="158"/>
    </row>
    <row r="51" spans="2:20" ht="18.75" hidden="1" customHeight="1" x14ac:dyDescent="0.55000000000000004">
      <c r="B51" s="160" t="s">
        <v>445</v>
      </c>
      <c r="C51" s="159">
        <f>IF(AND(C47="",C49=""),2,IF(AND(C47&lt;&gt;"",C49&lt;&gt;""),0,1))</f>
        <v>2</v>
      </c>
      <c r="D51" s="159">
        <f t="shared" ref="D51:N51" si="19">IF(AND(D47="",D49=""),2,IF(AND(D47&lt;&gt;"",D49&lt;&gt;""),0,1))</f>
        <v>2</v>
      </c>
      <c r="E51" s="159">
        <f t="shared" si="19"/>
        <v>2</v>
      </c>
      <c r="F51" s="159">
        <f t="shared" si="19"/>
        <v>2</v>
      </c>
      <c r="G51" s="159">
        <f t="shared" si="19"/>
        <v>2</v>
      </c>
      <c r="H51" s="159">
        <f t="shared" si="19"/>
        <v>2</v>
      </c>
      <c r="I51" s="159">
        <f t="shared" si="19"/>
        <v>2</v>
      </c>
      <c r="J51" s="159">
        <f t="shared" si="19"/>
        <v>2</v>
      </c>
      <c r="K51" s="159">
        <f t="shared" si="19"/>
        <v>2</v>
      </c>
      <c r="L51" s="159">
        <f t="shared" si="19"/>
        <v>2</v>
      </c>
      <c r="M51" s="159">
        <f t="shared" si="19"/>
        <v>2</v>
      </c>
      <c r="N51" s="159">
        <f t="shared" si="19"/>
        <v>2</v>
      </c>
      <c r="O51" s="159" t="str">
        <f>IF(R51&gt;1,"入力確認",IF(Q51+S51=12,"入力済","未入力"))</f>
        <v>入力済</v>
      </c>
      <c r="P51" s="161"/>
      <c r="Q51" s="158">
        <f>COUNTIF($C51:$N51,0)</f>
        <v>0</v>
      </c>
      <c r="R51" s="158">
        <f>COUNTIF($C51:$N51,1)</f>
        <v>0</v>
      </c>
      <c r="S51" s="158">
        <f>COUNTIF($C51:$N51,2)</f>
        <v>12</v>
      </c>
    </row>
    <row r="52" spans="2:20" ht="18.75" hidden="1" customHeight="1" x14ac:dyDescent="0.55000000000000004">
      <c r="B52" s="160" t="s">
        <v>446</v>
      </c>
      <c r="C52" s="159">
        <f>IF(AND(C50=2,C51=2),2,IF(C50&lt;&gt;C51,1,IF(AND(C50=0,C51=0),0,4)))</f>
        <v>2</v>
      </c>
      <c r="D52" s="159">
        <f t="shared" ref="D52" si="20">IF(AND(D50=2,D51=2),2,IF(D50&lt;&gt;D51,1,IF(AND(D50=0,D51=0),0,4)))</f>
        <v>2</v>
      </c>
      <c r="E52" s="159">
        <f t="shared" ref="E52" si="21">IF(AND(E50=2,E51=2),2,IF(E50&lt;&gt;E51,1,IF(AND(E50=0,E51=0),0,4)))</f>
        <v>2</v>
      </c>
      <c r="F52" s="159">
        <f t="shared" ref="F52" si="22">IF(AND(F50=2,F51=2),2,IF(F50&lt;&gt;F51,1,IF(AND(F50=0,F51=0),0,4)))</f>
        <v>2</v>
      </c>
      <c r="G52" s="159">
        <f t="shared" ref="G52" si="23">IF(AND(G50=2,G51=2),2,IF(G50&lt;&gt;G51,1,IF(AND(G50=0,G51=0),0,4)))</f>
        <v>2</v>
      </c>
      <c r="H52" s="159">
        <f t="shared" ref="H52" si="24">IF(AND(H50=2,H51=2),2,IF(H50&lt;&gt;H51,1,IF(AND(H50=0,H51=0),0,4)))</f>
        <v>2</v>
      </c>
      <c r="I52" s="159">
        <f t="shared" ref="I52" si="25">IF(AND(I50=2,I51=2),2,IF(I50&lt;&gt;I51,1,IF(AND(I50=0,I51=0),0,4)))</f>
        <v>2</v>
      </c>
      <c r="J52" s="159">
        <f t="shared" ref="J52" si="26">IF(AND(J50=2,J51=2),2,IF(J50&lt;&gt;J51,1,IF(AND(J50=0,J51=0),0,4)))</f>
        <v>2</v>
      </c>
      <c r="K52" s="159">
        <f t="shared" ref="K52" si="27">IF(AND(K50=2,K51=2),2,IF(K50&lt;&gt;K51,1,IF(AND(K50=0,K51=0),0,4)))</f>
        <v>2</v>
      </c>
      <c r="L52" s="159">
        <f t="shared" ref="L52" si="28">IF(AND(L50=2,L51=2),2,IF(L50&lt;&gt;L51,1,IF(AND(L50=0,L51=0),0,4)))</f>
        <v>2</v>
      </c>
      <c r="M52" s="159">
        <f t="shared" ref="M52" si="29">IF(AND(M50=2,M51=2),2,IF(M50&lt;&gt;M51,1,IF(AND(M50=0,M51=0),0,4)))</f>
        <v>2</v>
      </c>
      <c r="N52" s="159">
        <f t="shared" ref="N52" si="30">IF(AND(N50=2,N51=2),2,IF(N50&lt;&gt;N51,1,IF(AND(N50=0,N51=0),0,4)))</f>
        <v>2</v>
      </c>
      <c r="O52" s="159" t="str">
        <f>IF(R52&gt;1,"入力確認",IF(Q52+S52=12,"入力済","未入力"))</f>
        <v>入力済</v>
      </c>
      <c r="P52" s="161">
        <f>IF(O52="未入力",1,IF(O52="入力済",0,2))</f>
        <v>0</v>
      </c>
      <c r="Q52" s="158">
        <f>COUNTIF($C52:$N52,0)</f>
        <v>0</v>
      </c>
      <c r="R52" s="158">
        <f>COUNTIF($C52:$N52,1)</f>
        <v>0</v>
      </c>
      <c r="S52" s="158">
        <f>COUNTIF($C52:$N52,2)</f>
        <v>12</v>
      </c>
    </row>
    <row r="53" spans="2:20" x14ac:dyDescent="0.55000000000000004">
      <c r="E53" s="71"/>
      <c r="F53" s="71"/>
      <c r="G53" s="71"/>
      <c r="H53" s="71"/>
      <c r="O53" s="72"/>
    </row>
    <row r="54" spans="2:20" x14ac:dyDescent="0.55000000000000004">
      <c r="E54" s="71"/>
      <c r="F54" s="71"/>
      <c r="G54" s="71"/>
      <c r="H54" s="71"/>
      <c r="O54" s="72"/>
    </row>
    <row r="55" spans="2:20" ht="20.25" customHeight="1" thickBot="1" x14ac:dyDescent="0.6">
      <c r="B55" s="59" t="s">
        <v>201</v>
      </c>
      <c r="E55" s="341" t="s">
        <v>254</v>
      </c>
      <c r="F55" s="341"/>
      <c r="G55" s="62"/>
      <c r="H55" s="73"/>
      <c r="I55" s="73"/>
      <c r="K55" s="61"/>
    </row>
    <row r="56" spans="2:20" ht="19.5" customHeight="1" x14ac:dyDescent="0.55000000000000004">
      <c r="B56" s="330" t="s">
        <v>253</v>
      </c>
      <c r="C56" s="63" t="s">
        <v>32</v>
      </c>
      <c r="D56" s="64" t="s">
        <v>31</v>
      </c>
      <c r="E56" s="64" t="s">
        <v>30</v>
      </c>
      <c r="F56" s="64" t="s">
        <v>29</v>
      </c>
      <c r="G56" s="64" t="s">
        <v>28</v>
      </c>
      <c r="H56" s="64" t="s">
        <v>27</v>
      </c>
      <c r="I56" s="64" t="s">
        <v>26</v>
      </c>
      <c r="J56" s="64" t="s">
        <v>25</v>
      </c>
      <c r="K56" s="64" t="s">
        <v>24</v>
      </c>
      <c r="L56" s="63" t="s">
        <v>23</v>
      </c>
      <c r="M56" s="64" t="s">
        <v>22</v>
      </c>
      <c r="N56" s="68" t="s">
        <v>21</v>
      </c>
      <c r="O56" s="139"/>
      <c r="P56" s="69"/>
    </row>
    <row r="57" spans="2:20" ht="38.25" customHeight="1" x14ac:dyDescent="0.55000000000000004">
      <c r="B57" s="66" t="s">
        <v>412</v>
      </c>
      <c r="C57" s="331"/>
      <c r="D57" s="331"/>
      <c r="E57" s="331"/>
      <c r="F57" s="331"/>
      <c r="G57" s="331"/>
      <c r="H57" s="331"/>
      <c r="I57" s="331"/>
      <c r="J57" s="331"/>
      <c r="K57" s="331"/>
      <c r="L57" s="342"/>
      <c r="M57" s="331"/>
      <c r="N57" s="338"/>
      <c r="O57" s="134" t="s">
        <v>414</v>
      </c>
      <c r="P57" s="138" t="s">
        <v>413</v>
      </c>
    </row>
    <row r="58" spans="2:20" ht="19.5" customHeight="1" x14ac:dyDescent="0.55000000000000004">
      <c r="B58" s="65" t="s">
        <v>18</v>
      </c>
      <c r="C58" s="332"/>
      <c r="D58" s="332"/>
      <c r="E58" s="332"/>
      <c r="F58" s="332"/>
      <c r="G58" s="332"/>
      <c r="H58" s="332"/>
      <c r="I58" s="332"/>
      <c r="J58" s="332"/>
      <c r="K58" s="332"/>
      <c r="L58" s="332"/>
      <c r="M58" s="332"/>
      <c r="N58" s="343"/>
      <c r="O58" s="264" t="str">
        <f>IF(ISERROR(12*SUM(C58:N59)/COUNT(C58:N59)),"",12*SUM(C58:N59)/COUNT(C58:N59))</f>
        <v/>
      </c>
      <c r="P58" s="262" t="str">
        <f>IF(P61=0,"",IF(P63=1,"未入力欄を確認",IF(P61=1,"年度を選択",IF(P61=2,"エネルギー種別を選択",IF($E55="温水・冷水",計算!$J$27,IF($E55="産業用蒸気",計算!$J$28,IF($E55="産業用以外の蒸気",計算!$J$29,IF($E55="灯油",計算!$J$30,IF($E55="軽油",計算!$J$31,IF($E55="A重油",計算!$J$32,IF($E55="B・Ｃ重油",計算!$J$33,"")))))))))))</f>
        <v/>
      </c>
    </row>
    <row r="59" spans="2:20" ht="19.5" customHeight="1" thickBot="1" x14ac:dyDescent="0.6">
      <c r="B59" s="66" t="str">
        <f>IF(OR(E55="温水・冷水",E55="産業用蒸気",E55="産業用以外の蒸気"),"［MJ］","［L］")</f>
        <v>［L］</v>
      </c>
      <c r="C59" s="339"/>
      <c r="D59" s="339"/>
      <c r="E59" s="339"/>
      <c r="F59" s="339"/>
      <c r="G59" s="339"/>
      <c r="H59" s="339"/>
      <c r="I59" s="339"/>
      <c r="J59" s="334"/>
      <c r="K59" s="334"/>
      <c r="L59" s="334"/>
      <c r="M59" s="334"/>
      <c r="N59" s="344"/>
      <c r="O59" s="265"/>
      <c r="P59" s="263"/>
    </row>
    <row r="60" spans="2:20" ht="38.25" customHeight="1" thickTop="1" thickBot="1" x14ac:dyDescent="0.6">
      <c r="B60" s="67" t="s">
        <v>411</v>
      </c>
      <c r="C60" s="336"/>
      <c r="D60" s="336"/>
      <c r="E60" s="336"/>
      <c r="F60" s="336"/>
      <c r="G60" s="336"/>
      <c r="H60" s="336"/>
      <c r="I60" s="336"/>
      <c r="J60" s="340"/>
      <c r="K60" s="340"/>
      <c r="L60" s="340"/>
      <c r="M60" s="340"/>
      <c r="N60" s="345"/>
      <c r="O60" s="70" t="str">
        <f>IF(ISERROR(12*SUM(C60:N60)/COUNT(C60:N60)),"",12*SUM(C60:N60)/COUNT(C60:N60))</f>
        <v/>
      </c>
      <c r="P60" s="98">
        <f>IF(AND(O58="",O60="",P63=0),0,IF(OR(B56="",B56="年度を選択"),1,IF(OR(E55="",E55="エネルギー種別を選択"),2,4)))</f>
        <v>0</v>
      </c>
      <c r="Q60" s="158"/>
    </row>
    <row r="61" spans="2:20" ht="18.75" hidden="1" customHeight="1" x14ac:dyDescent="0.55000000000000004">
      <c r="B61" s="160" t="s">
        <v>444</v>
      </c>
      <c r="C61" s="159">
        <f>IF(C57="",2,IF(C57&lt;&gt;"",0,1))</f>
        <v>2</v>
      </c>
      <c r="D61" s="159">
        <f t="shared" ref="D61:L61" si="31">IF(D57="",2,IF(D57&lt;&gt;"",0,1))</f>
        <v>2</v>
      </c>
      <c r="E61" s="159">
        <f t="shared" si="31"/>
        <v>2</v>
      </c>
      <c r="F61" s="159">
        <f t="shared" si="31"/>
        <v>2</v>
      </c>
      <c r="G61" s="159">
        <f t="shared" si="31"/>
        <v>2</v>
      </c>
      <c r="H61" s="159">
        <f t="shared" si="31"/>
        <v>2</v>
      </c>
      <c r="I61" s="159">
        <f t="shared" si="31"/>
        <v>2</v>
      </c>
      <c r="J61" s="159">
        <f t="shared" si="31"/>
        <v>2</v>
      </c>
      <c r="K61" s="159">
        <f t="shared" si="31"/>
        <v>2</v>
      </c>
      <c r="L61" s="159">
        <f t="shared" si="31"/>
        <v>2</v>
      </c>
      <c r="M61" s="159">
        <f>IF(M57="",2,IF(M57&lt;&gt;"",0,1))</f>
        <v>2</v>
      </c>
      <c r="N61" s="159">
        <f t="shared" ref="N61" si="32">IF(N57="",2,IF(N57&lt;&gt;"",0,1))</f>
        <v>2</v>
      </c>
      <c r="O61" s="159" t="str">
        <f>IF(R61&gt;1,"入力確認",IF(Q61=Q62,"入力済","未入力"))</f>
        <v>入力済</v>
      </c>
      <c r="P61" s="161">
        <f>P60</f>
        <v>0</v>
      </c>
      <c r="Q61" s="158">
        <f>COUNTIF($C61:$N61,0)</f>
        <v>0</v>
      </c>
      <c r="R61" s="158">
        <f>COUNTIF($C61:$N61,1)</f>
        <v>0</v>
      </c>
      <c r="S61" s="158">
        <f>COUNTIF($C61:$N61,2)</f>
        <v>12</v>
      </c>
      <c r="T61" s="158"/>
    </row>
    <row r="62" spans="2:20" ht="18.75" hidden="1" customHeight="1" x14ac:dyDescent="0.55000000000000004">
      <c r="B62" s="160" t="s">
        <v>445</v>
      </c>
      <c r="C62" s="159">
        <f>IF(AND(C58="",C60=""),2,IF(AND(C58&lt;&gt;"",C60&lt;&gt;""),0,1))</f>
        <v>2</v>
      </c>
      <c r="D62" s="159">
        <f t="shared" ref="D62:N62" si="33">IF(AND(D58="",D60=""),2,IF(AND(D58&lt;&gt;"",D60&lt;&gt;""),0,1))</f>
        <v>2</v>
      </c>
      <c r="E62" s="159">
        <f t="shared" si="33"/>
        <v>2</v>
      </c>
      <c r="F62" s="159">
        <f t="shared" si="33"/>
        <v>2</v>
      </c>
      <c r="G62" s="159">
        <f t="shared" si="33"/>
        <v>2</v>
      </c>
      <c r="H62" s="159">
        <f t="shared" si="33"/>
        <v>2</v>
      </c>
      <c r="I62" s="159">
        <f t="shared" si="33"/>
        <v>2</v>
      </c>
      <c r="J62" s="159">
        <f t="shared" si="33"/>
        <v>2</v>
      </c>
      <c r="K62" s="159">
        <f t="shared" si="33"/>
        <v>2</v>
      </c>
      <c r="L62" s="159">
        <f t="shared" si="33"/>
        <v>2</v>
      </c>
      <c r="M62" s="159">
        <f t="shared" si="33"/>
        <v>2</v>
      </c>
      <c r="N62" s="159">
        <f t="shared" si="33"/>
        <v>2</v>
      </c>
      <c r="O62" s="159" t="str">
        <f>IF(R62&gt;1,"入力確認",IF(Q62+S62=12,"入力済","未入力"))</f>
        <v>入力済</v>
      </c>
      <c r="P62" s="161"/>
      <c r="Q62" s="158">
        <f>COUNTIF($C62:$N62,0)</f>
        <v>0</v>
      </c>
      <c r="R62" s="158">
        <f>COUNTIF($C62:$N62,1)</f>
        <v>0</v>
      </c>
      <c r="S62" s="158">
        <f>COUNTIF($C62:$N62,2)</f>
        <v>12</v>
      </c>
    </row>
    <row r="63" spans="2:20" ht="18.75" hidden="1" customHeight="1" x14ac:dyDescent="0.55000000000000004">
      <c r="B63" s="160" t="s">
        <v>446</v>
      </c>
      <c r="C63" s="159">
        <f>IF(AND(C61=2,C62=2),2,IF(C61&lt;&gt;C62,1,IF(AND(C61=0,C62=0),0,4)))</f>
        <v>2</v>
      </c>
      <c r="D63" s="159">
        <f t="shared" ref="D63" si="34">IF(AND(D61=2,D62=2),2,IF(D61&lt;&gt;D62,1,IF(AND(D61=0,D62=0),0,4)))</f>
        <v>2</v>
      </c>
      <c r="E63" s="159">
        <f t="shared" ref="E63" si="35">IF(AND(E61=2,E62=2),2,IF(E61&lt;&gt;E62,1,IF(AND(E61=0,E62=0),0,4)))</f>
        <v>2</v>
      </c>
      <c r="F63" s="159">
        <f t="shared" ref="F63" si="36">IF(AND(F61=2,F62=2),2,IF(F61&lt;&gt;F62,1,IF(AND(F61=0,F62=0),0,4)))</f>
        <v>2</v>
      </c>
      <c r="G63" s="159">
        <f t="shared" ref="G63" si="37">IF(AND(G61=2,G62=2),2,IF(G61&lt;&gt;G62,1,IF(AND(G61=0,G62=0),0,4)))</f>
        <v>2</v>
      </c>
      <c r="H63" s="159">
        <f t="shared" ref="H63" si="38">IF(AND(H61=2,H62=2),2,IF(H61&lt;&gt;H62,1,IF(AND(H61=0,H62=0),0,4)))</f>
        <v>2</v>
      </c>
      <c r="I63" s="159">
        <f t="shared" ref="I63" si="39">IF(AND(I61=2,I62=2),2,IF(I61&lt;&gt;I62,1,IF(AND(I61=0,I62=0),0,4)))</f>
        <v>2</v>
      </c>
      <c r="J63" s="159">
        <f t="shared" ref="J63" si="40">IF(AND(J61=2,J62=2),2,IF(J61&lt;&gt;J62,1,IF(AND(J61=0,J62=0),0,4)))</f>
        <v>2</v>
      </c>
      <c r="K63" s="159">
        <f t="shared" ref="K63" si="41">IF(AND(K61=2,K62=2),2,IF(K61&lt;&gt;K62,1,IF(AND(K61=0,K62=0),0,4)))</f>
        <v>2</v>
      </c>
      <c r="L63" s="159">
        <f t="shared" ref="L63" si="42">IF(AND(L61=2,L62=2),2,IF(L61&lt;&gt;L62,1,IF(AND(L61=0,L62=0),0,4)))</f>
        <v>2</v>
      </c>
      <c r="M63" s="159">
        <f t="shared" ref="M63" si="43">IF(AND(M61=2,M62=2),2,IF(M61&lt;&gt;M62,1,IF(AND(M61=0,M62=0),0,4)))</f>
        <v>2</v>
      </c>
      <c r="N63" s="159">
        <f t="shared" ref="N63" si="44">IF(AND(N61=2,N62=2),2,IF(N61&lt;&gt;N62,1,IF(AND(N61=0,N62=0),0,4)))</f>
        <v>2</v>
      </c>
      <c r="O63" s="159" t="str">
        <f>IF(R63&gt;1,"入力確認",IF(Q63+S63=12,"入力済","未入力"))</f>
        <v>入力済</v>
      </c>
      <c r="P63" s="161">
        <f>IF(O63="未入力",1,IF(O63="入力済",0,2))</f>
        <v>0</v>
      </c>
      <c r="Q63" s="158">
        <f>COUNTIF($C63:$N63,0)</f>
        <v>0</v>
      </c>
      <c r="R63" s="158">
        <f>COUNTIF($C63:$N63,1)</f>
        <v>0</v>
      </c>
      <c r="S63" s="158">
        <f>COUNTIF($C63:$N63,2)</f>
        <v>12</v>
      </c>
    </row>
    <row r="64" spans="2:20" x14ac:dyDescent="0.55000000000000004">
      <c r="E64" s="71"/>
      <c r="F64" s="71"/>
      <c r="G64" s="71"/>
      <c r="H64" s="71"/>
      <c r="O64" s="72"/>
    </row>
    <row r="65" spans="2:20" x14ac:dyDescent="0.55000000000000004">
      <c r="E65" s="71"/>
      <c r="F65" s="71"/>
      <c r="G65" s="71"/>
      <c r="H65" s="71"/>
      <c r="O65" s="72"/>
    </row>
    <row r="66" spans="2:20" ht="20.25" customHeight="1" thickBot="1" x14ac:dyDescent="0.6">
      <c r="B66" s="59" t="s">
        <v>202</v>
      </c>
      <c r="E66" s="341" t="s">
        <v>254</v>
      </c>
      <c r="F66" s="341"/>
      <c r="G66" s="62"/>
      <c r="H66" s="73"/>
      <c r="I66" s="73"/>
      <c r="K66" s="61"/>
    </row>
    <row r="67" spans="2:20" ht="19.5" customHeight="1" x14ac:dyDescent="0.55000000000000004">
      <c r="B67" s="330" t="s">
        <v>253</v>
      </c>
      <c r="C67" s="63" t="s">
        <v>32</v>
      </c>
      <c r="D67" s="64" t="s">
        <v>31</v>
      </c>
      <c r="E67" s="64" t="s">
        <v>30</v>
      </c>
      <c r="F67" s="64" t="s">
        <v>29</v>
      </c>
      <c r="G67" s="64" t="s">
        <v>28</v>
      </c>
      <c r="H67" s="64" t="s">
        <v>27</v>
      </c>
      <c r="I67" s="64" t="s">
        <v>26</v>
      </c>
      <c r="J67" s="64" t="s">
        <v>25</v>
      </c>
      <c r="K67" s="64" t="s">
        <v>24</v>
      </c>
      <c r="L67" s="63" t="s">
        <v>23</v>
      </c>
      <c r="M67" s="64" t="s">
        <v>22</v>
      </c>
      <c r="N67" s="68" t="s">
        <v>21</v>
      </c>
      <c r="O67" s="139"/>
      <c r="P67" s="69"/>
    </row>
    <row r="68" spans="2:20" ht="38.25" customHeight="1" x14ac:dyDescent="0.55000000000000004">
      <c r="B68" s="66" t="s">
        <v>412</v>
      </c>
      <c r="C68" s="331"/>
      <c r="D68" s="331"/>
      <c r="E68" s="331"/>
      <c r="F68" s="331"/>
      <c r="G68" s="331"/>
      <c r="H68" s="331"/>
      <c r="I68" s="331"/>
      <c r="J68" s="331"/>
      <c r="K68" s="331"/>
      <c r="L68" s="331"/>
      <c r="M68" s="331"/>
      <c r="N68" s="338"/>
      <c r="O68" s="134" t="s">
        <v>414</v>
      </c>
      <c r="P68" s="138" t="s">
        <v>413</v>
      </c>
    </row>
    <row r="69" spans="2:20" ht="19.5" customHeight="1" x14ac:dyDescent="0.55000000000000004">
      <c r="B69" s="65" t="s">
        <v>18</v>
      </c>
      <c r="C69" s="332"/>
      <c r="D69" s="332"/>
      <c r="E69" s="332"/>
      <c r="F69" s="332"/>
      <c r="G69" s="332"/>
      <c r="H69" s="332"/>
      <c r="I69" s="332"/>
      <c r="J69" s="332"/>
      <c r="K69" s="332"/>
      <c r="L69" s="332"/>
      <c r="M69" s="332"/>
      <c r="N69" s="332"/>
      <c r="O69" s="264" t="str">
        <f>IF(ISERROR(12*SUM(C69:N70)/COUNT(C69:N70)),"",12*SUM(C69:N70)/COUNT(C69:N70))</f>
        <v/>
      </c>
      <c r="P69" s="262" t="str">
        <f>IF(P72=0,"",IF(P74=1,"未入力欄を確認",IF(P72=1,"年度を選択",IF(P72=2,"エネルギー種別を選択",IF($E66="温水・冷水",計算!$J$36,IF($E66="産業用蒸気",計算!$J$37,IF($E66="産業用以外の蒸気",計算!$J$38,IF($E66="灯油",計算!$J$39,IF($E66="軽油",計算!$J$40,IF($E66="A重油",計算!$J$41,IF($E66="B・Ｃ重油",計算!$J$42,"")))))))))))</f>
        <v/>
      </c>
    </row>
    <row r="70" spans="2:20" ht="19.5" customHeight="1" thickBot="1" x14ac:dyDescent="0.6">
      <c r="B70" s="66" t="str">
        <f>IF(OR(E66="温水・冷水",E66="産業用蒸気",E66="産業用以外の蒸気"),"［MJ］","［L］")</f>
        <v>［L］</v>
      </c>
      <c r="C70" s="339"/>
      <c r="D70" s="339"/>
      <c r="E70" s="339"/>
      <c r="F70" s="339"/>
      <c r="G70" s="339"/>
      <c r="H70" s="339"/>
      <c r="I70" s="339"/>
      <c r="J70" s="334"/>
      <c r="K70" s="334"/>
      <c r="L70" s="334"/>
      <c r="M70" s="334"/>
      <c r="N70" s="334"/>
      <c r="O70" s="265"/>
      <c r="P70" s="263"/>
    </row>
    <row r="71" spans="2:20" ht="38.25" customHeight="1" thickTop="1" thickBot="1" x14ac:dyDescent="0.6">
      <c r="B71" s="67" t="s">
        <v>411</v>
      </c>
      <c r="C71" s="336"/>
      <c r="D71" s="336"/>
      <c r="E71" s="336"/>
      <c r="F71" s="336"/>
      <c r="G71" s="336"/>
      <c r="H71" s="336"/>
      <c r="I71" s="336"/>
      <c r="J71" s="340"/>
      <c r="K71" s="340"/>
      <c r="L71" s="340"/>
      <c r="M71" s="340"/>
      <c r="N71" s="340"/>
      <c r="O71" s="70" t="str">
        <f>IF(ISERROR(12*SUM(C71:N71)/COUNT(C71:N71)),"",12*SUM(C71:N71)/COUNT(C71:N71))</f>
        <v/>
      </c>
      <c r="P71" s="98">
        <f>IF(AND(O69="",O71="",P74=0),0,IF(OR(B67="",B67="年度を選択"),1,IF(OR(E66="",E66="エネルギー種別を選択"),2,4)))</f>
        <v>0</v>
      </c>
      <c r="Q71" s="158"/>
    </row>
    <row r="72" spans="2:20" ht="18.75" hidden="1" customHeight="1" x14ac:dyDescent="0.55000000000000004">
      <c r="B72" s="160" t="s">
        <v>444</v>
      </c>
      <c r="C72" s="159">
        <f>IF(C68="",2,IF(C68&lt;&gt;"",0,1))</f>
        <v>2</v>
      </c>
      <c r="D72" s="159">
        <f t="shared" ref="D72:L72" si="45">IF(D68="",2,IF(D68&lt;&gt;"",0,1))</f>
        <v>2</v>
      </c>
      <c r="E72" s="159">
        <f t="shared" si="45"/>
        <v>2</v>
      </c>
      <c r="F72" s="159">
        <f t="shared" si="45"/>
        <v>2</v>
      </c>
      <c r="G72" s="159">
        <f t="shared" si="45"/>
        <v>2</v>
      </c>
      <c r="H72" s="159">
        <f t="shared" si="45"/>
        <v>2</v>
      </c>
      <c r="I72" s="159">
        <f t="shared" si="45"/>
        <v>2</v>
      </c>
      <c r="J72" s="159">
        <f t="shared" si="45"/>
        <v>2</v>
      </c>
      <c r="K72" s="159">
        <f t="shared" si="45"/>
        <v>2</v>
      </c>
      <c r="L72" s="159">
        <f t="shared" si="45"/>
        <v>2</v>
      </c>
      <c r="M72" s="159">
        <f>IF(M68="",2,IF(M68&lt;&gt;"",0,1))</f>
        <v>2</v>
      </c>
      <c r="N72" s="159">
        <f t="shared" ref="N72" si="46">IF(N68="",2,IF(N68&lt;&gt;"",0,1))</f>
        <v>2</v>
      </c>
      <c r="O72" s="159" t="str">
        <f>IF(R72&gt;1,"入力確認",IF(Q72=Q73,"入力済","未入力"))</f>
        <v>入力済</v>
      </c>
      <c r="P72" s="161">
        <f>P71</f>
        <v>0</v>
      </c>
      <c r="Q72" s="158">
        <f>COUNTIF($C72:$N72,0)</f>
        <v>0</v>
      </c>
      <c r="R72" s="158">
        <f>COUNTIF($C72:$N72,1)</f>
        <v>0</v>
      </c>
      <c r="S72" s="158">
        <f>COUNTIF($C72:$N72,2)</f>
        <v>12</v>
      </c>
      <c r="T72" s="158"/>
    </row>
    <row r="73" spans="2:20" ht="18.75" hidden="1" customHeight="1" x14ac:dyDescent="0.55000000000000004">
      <c r="B73" s="160" t="s">
        <v>445</v>
      </c>
      <c r="C73" s="159">
        <f>IF(AND(C69="",C71=""),2,IF(AND(C69&lt;&gt;"",C71&lt;&gt;""),0,1))</f>
        <v>2</v>
      </c>
      <c r="D73" s="159">
        <f t="shared" ref="D73:N73" si="47">IF(AND(D69="",D71=""),2,IF(AND(D69&lt;&gt;"",D71&lt;&gt;""),0,1))</f>
        <v>2</v>
      </c>
      <c r="E73" s="159">
        <f t="shared" si="47"/>
        <v>2</v>
      </c>
      <c r="F73" s="159">
        <f t="shared" si="47"/>
        <v>2</v>
      </c>
      <c r="G73" s="159">
        <f t="shared" si="47"/>
        <v>2</v>
      </c>
      <c r="H73" s="159">
        <f t="shared" si="47"/>
        <v>2</v>
      </c>
      <c r="I73" s="159">
        <f t="shared" si="47"/>
        <v>2</v>
      </c>
      <c r="J73" s="159">
        <f t="shared" si="47"/>
        <v>2</v>
      </c>
      <c r="K73" s="159">
        <f t="shared" si="47"/>
        <v>2</v>
      </c>
      <c r="L73" s="159">
        <f t="shared" si="47"/>
        <v>2</v>
      </c>
      <c r="M73" s="159">
        <f t="shared" si="47"/>
        <v>2</v>
      </c>
      <c r="N73" s="159">
        <f t="shared" si="47"/>
        <v>2</v>
      </c>
      <c r="O73" s="159" t="str">
        <f>IF(R73&gt;1,"入力確認",IF(Q73+S73=12,"入力済","未入力"))</f>
        <v>入力済</v>
      </c>
      <c r="P73" s="161"/>
      <c r="Q73" s="158">
        <f>COUNTIF($C73:$N73,0)</f>
        <v>0</v>
      </c>
      <c r="R73" s="158">
        <f>COUNTIF($C73:$N73,1)</f>
        <v>0</v>
      </c>
      <c r="S73" s="158">
        <f>COUNTIF($C73:$N73,2)</f>
        <v>12</v>
      </c>
    </row>
    <row r="74" spans="2:20" ht="18.75" hidden="1" customHeight="1" x14ac:dyDescent="0.55000000000000004">
      <c r="B74" s="160" t="s">
        <v>446</v>
      </c>
      <c r="C74" s="159">
        <f>IF(AND(C72=2,C73=2),2,IF(C72&lt;&gt;C73,1,IF(AND(C72=0,C73=0),0,4)))</f>
        <v>2</v>
      </c>
      <c r="D74" s="159">
        <f t="shared" ref="D74" si="48">IF(AND(D72=2,D73=2),2,IF(D72&lt;&gt;D73,1,IF(AND(D72=0,D73=0),0,4)))</f>
        <v>2</v>
      </c>
      <c r="E74" s="159">
        <f t="shared" ref="E74" si="49">IF(AND(E72=2,E73=2),2,IF(E72&lt;&gt;E73,1,IF(AND(E72=0,E73=0),0,4)))</f>
        <v>2</v>
      </c>
      <c r="F74" s="159">
        <f t="shared" ref="F74" si="50">IF(AND(F72=2,F73=2),2,IF(F72&lt;&gt;F73,1,IF(AND(F72=0,F73=0),0,4)))</f>
        <v>2</v>
      </c>
      <c r="G74" s="159">
        <f t="shared" ref="G74" si="51">IF(AND(G72=2,G73=2),2,IF(G72&lt;&gt;G73,1,IF(AND(G72=0,G73=0),0,4)))</f>
        <v>2</v>
      </c>
      <c r="H74" s="159">
        <f t="shared" ref="H74" si="52">IF(AND(H72=2,H73=2),2,IF(H72&lt;&gt;H73,1,IF(AND(H72=0,H73=0),0,4)))</f>
        <v>2</v>
      </c>
      <c r="I74" s="159">
        <f t="shared" ref="I74" si="53">IF(AND(I72=2,I73=2),2,IF(I72&lt;&gt;I73,1,IF(AND(I72=0,I73=0),0,4)))</f>
        <v>2</v>
      </c>
      <c r="J74" s="159">
        <f t="shared" ref="J74" si="54">IF(AND(J72=2,J73=2),2,IF(J72&lt;&gt;J73,1,IF(AND(J72=0,J73=0),0,4)))</f>
        <v>2</v>
      </c>
      <c r="K74" s="159">
        <f t="shared" ref="K74" si="55">IF(AND(K72=2,K73=2),2,IF(K72&lt;&gt;K73,1,IF(AND(K72=0,K73=0),0,4)))</f>
        <v>2</v>
      </c>
      <c r="L74" s="159">
        <f t="shared" ref="L74" si="56">IF(AND(L72=2,L73=2),2,IF(L72&lt;&gt;L73,1,IF(AND(L72=0,L73=0),0,4)))</f>
        <v>2</v>
      </c>
      <c r="M74" s="159">
        <f t="shared" ref="M74" si="57">IF(AND(M72=2,M73=2),2,IF(M72&lt;&gt;M73,1,IF(AND(M72=0,M73=0),0,4)))</f>
        <v>2</v>
      </c>
      <c r="N74" s="159">
        <f t="shared" ref="N74" si="58">IF(AND(N72=2,N73=2),2,IF(N72&lt;&gt;N73,1,IF(AND(N72=0,N73=0),0,4)))</f>
        <v>2</v>
      </c>
      <c r="O74" s="159" t="str">
        <f>IF(R74&gt;1,"入力確認",IF(Q74+S74=12,"入力済","未入力"))</f>
        <v>入力済</v>
      </c>
      <c r="P74" s="161">
        <f>IF(O74="未入力",1,IF(O74="入力済",0,2))</f>
        <v>0</v>
      </c>
      <c r="Q74" s="158">
        <f>COUNTIF($C74:$N74,0)</f>
        <v>0</v>
      </c>
      <c r="R74" s="158">
        <f>COUNTIF($C74:$N74,1)</f>
        <v>0</v>
      </c>
      <c r="S74" s="158">
        <f>COUNTIF($C74:$N74,2)</f>
        <v>12</v>
      </c>
    </row>
    <row r="75" spans="2:20" x14ac:dyDescent="0.55000000000000004">
      <c r="E75" s="71"/>
      <c r="F75" s="71"/>
      <c r="G75" s="71"/>
      <c r="H75" s="71"/>
      <c r="O75" s="72"/>
    </row>
    <row r="76" spans="2:20" x14ac:dyDescent="0.55000000000000004">
      <c r="E76" s="71"/>
      <c r="F76" s="71"/>
      <c r="G76" s="71"/>
      <c r="H76" s="71"/>
      <c r="O76" s="72"/>
    </row>
    <row r="77" spans="2:20" ht="20.25" customHeight="1" thickBot="1" x14ac:dyDescent="0.6">
      <c r="B77" s="59" t="s">
        <v>203</v>
      </c>
      <c r="E77" s="341" t="s">
        <v>254</v>
      </c>
      <c r="F77" s="341"/>
      <c r="G77" s="62"/>
      <c r="H77" s="73"/>
      <c r="I77" s="73"/>
      <c r="K77" s="61"/>
    </row>
    <row r="78" spans="2:20" ht="19.5" customHeight="1" x14ac:dyDescent="0.55000000000000004">
      <c r="B78" s="330" t="s">
        <v>253</v>
      </c>
      <c r="C78" s="63" t="s">
        <v>32</v>
      </c>
      <c r="D78" s="64" t="s">
        <v>31</v>
      </c>
      <c r="E78" s="64" t="s">
        <v>30</v>
      </c>
      <c r="F78" s="64" t="s">
        <v>29</v>
      </c>
      <c r="G78" s="64" t="s">
        <v>28</v>
      </c>
      <c r="H78" s="64" t="s">
        <v>27</v>
      </c>
      <c r="I78" s="64" t="s">
        <v>26</v>
      </c>
      <c r="J78" s="64" t="s">
        <v>25</v>
      </c>
      <c r="K78" s="64" t="s">
        <v>24</v>
      </c>
      <c r="L78" s="63" t="s">
        <v>23</v>
      </c>
      <c r="M78" s="64" t="s">
        <v>22</v>
      </c>
      <c r="N78" s="68" t="s">
        <v>21</v>
      </c>
      <c r="O78" s="139"/>
      <c r="P78" s="69"/>
    </row>
    <row r="79" spans="2:20" ht="38.25" customHeight="1" x14ac:dyDescent="0.55000000000000004">
      <c r="B79" s="66" t="s">
        <v>412</v>
      </c>
      <c r="C79" s="331"/>
      <c r="D79" s="331"/>
      <c r="E79" s="331"/>
      <c r="F79" s="331"/>
      <c r="G79" s="331"/>
      <c r="H79" s="331"/>
      <c r="I79" s="331"/>
      <c r="J79" s="331"/>
      <c r="K79" s="331"/>
      <c r="L79" s="331"/>
      <c r="M79" s="331"/>
      <c r="N79" s="338"/>
      <c r="O79" s="134" t="s">
        <v>414</v>
      </c>
      <c r="P79" s="138" t="s">
        <v>413</v>
      </c>
    </row>
    <row r="80" spans="2:20" ht="19.5" customHeight="1" x14ac:dyDescent="0.55000000000000004">
      <c r="B80" s="65" t="s">
        <v>18</v>
      </c>
      <c r="C80" s="332"/>
      <c r="D80" s="332"/>
      <c r="E80" s="332"/>
      <c r="F80" s="332"/>
      <c r="G80" s="332"/>
      <c r="H80" s="332"/>
      <c r="I80" s="332"/>
      <c r="J80" s="332"/>
      <c r="K80" s="332"/>
      <c r="L80" s="332"/>
      <c r="M80" s="332"/>
      <c r="N80" s="332"/>
      <c r="O80" s="264" t="str">
        <f>IF(ISERROR(12*SUM(C80:N81)/COUNT(C80:N81)),"",12*SUM(C80:N81)/COUNT(C80:N81))</f>
        <v/>
      </c>
      <c r="P80" s="262" t="str">
        <f>IF(P83=0,"",IF(P85=1,"未入力欄を確認",IF(P83=1,"年度を選択",IF(P83=2,"エネルギー種別を選択",IF($E77="温水・冷水",計算!$J$45,IF($E77="産業用蒸気",計算!$J$46,IF($E77="産業用以外の蒸気",計算!$J$47,IF($E77="灯油",計算!$J$48,IF($E77="軽油",計算!$J$49,IF($E77="A重油",計算!$J$50,IF($E77="B・Ｃ重油",計算!J51,"")))))))))))</f>
        <v/>
      </c>
    </row>
    <row r="81" spans="2:20" ht="19.5" customHeight="1" thickBot="1" x14ac:dyDescent="0.6">
      <c r="B81" s="66" t="str">
        <f>IF(OR(E77="温水・冷水",E77="産業用蒸気",E77="産業用以外の蒸気"),"［MJ］","［L］")</f>
        <v>［L］</v>
      </c>
      <c r="C81" s="339"/>
      <c r="D81" s="339"/>
      <c r="E81" s="339"/>
      <c r="F81" s="339"/>
      <c r="G81" s="339"/>
      <c r="H81" s="339"/>
      <c r="I81" s="339"/>
      <c r="J81" s="334"/>
      <c r="K81" s="334"/>
      <c r="L81" s="334"/>
      <c r="M81" s="334"/>
      <c r="N81" s="334"/>
      <c r="O81" s="265"/>
      <c r="P81" s="263"/>
    </row>
    <row r="82" spans="2:20" ht="38.25" customHeight="1" thickTop="1" thickBot="1" x14ac:dyDescent="0.6">
      <c r="B82" s="67" t="s">
        <v>411</v>
      </c>
      <c r="C82" s="336"/>
      <c r="D82" s="336"/>
      <c r="E82" s="336"/>
      <c r="F82" s="336"/>
      <c r="G82" s="336"/>
      <c r="H82" s="336"/>
      <c r="I82" s="336"/>
      <c r="J82" s="340"/>
      <c r="K82" s="340"/>
      <c r="L82" s="340"/>
      <c r="M82" s="340"/>
      <c r="N82" s="340"/>
      <c r="O82" s="70" t="str">
        <f>IF(ISERROR(12*SUM(C82:N82)/COUNT(C82:N82)),"",12*SUM(C82:N82)/COUNT(C82:N82))</f>
        <v/>
      </c>
      <c r="P82" s="98">
        <f>IF(AND(O80="",O82="",P85=0),0,IF(OR(B78="",B78="年度を選択"),1,IF(OR(E77="",E77="エネルギー種別を選択"),2,4)))</f>
        <v>0</v>
      </c>
      <c r="Q82" s="158"/>
    </row>
    <row r="83" spans="2:20" ht="18.75" hidden="1" customHeight="1" x14ac:dyDescent="0.55000000000000004">
      <c r="B83" s="160" t="s">
        <v>444</v>
      </c>
      <c r="C83" s="159">
        <f>IF(C79="",2,IF(C79&lt;&gt;"",0,1))</f>
        <v>2</v>
      </c>
      <c r="D83" s="159">
        <f t="shared" ref="D83:L83" si="59">IF(D79="",2,IF(D79&lt;&gt;"",0,1))</f>
        <v>2</v>
      </c>
      <c r="E83" s="159">
        <f t="shared" si="59"/>
        <v>2</v>
      </c>
      <c r="F83" s="159">
        <f t="shared" si="59"/>
        <v>2</v>
      </c>
      <c r="G83" s="159">
        <f t="shared" si="59"/>
        <v>2</v>
      </c>
      <c r="H83" s="159">
        <f t="shared" si="59"/>
        <v>2</v>
      </c>
      <c r="I83" s="159">
        <f t="shared" si="59"/>
        <v>2</v>
      </c>
      <c r="J83" s="159">
        <f t="shared" si="59"/>
        <v>2</v>
      </c>
      <c r="K83" s="159">
        <f t="shared" si="59"/>
        <v>2</v>
      </c>
      <c r="L83" s="159">
        <f t="shared" si="59"/>
        <v>2</v>
      </c>
      <c r="M83" s="159">
        <f>IF(M79="",2,IF(M79&lt;&gt;"",0,1))</f>
        <v>2</v>
      </c>
      <c r="N83" s="159">
        <f t="shared" ref="N83" si="60">IF(N79="",2,IF(N79&lt;&gt;"",0,1))</f>
        <v>2</v>
      </c>
      <c r="O83" s="159" t="str">
        <f>IF(R83&gt;1,"入力確認",IF(Q83=Q84,"入力済","未入力"))</f>
        <v>入力済</v>
      </c>
      <c r="P83" s="161">
        <f>P82</f>
        <v>0</v>
      </c>
      <c r="Q83" s="158">
        <f>COUNTIF($C83:$N83,0)</f>
        <v>0</v>
      </c>
      <c r="R83" s="158">
        <f>COUNTIF($C83:$N83,1)</f>
        <v>0</v>
      </c>
      <c r="S83" s="158">
        <f>COUNTIF($C83:$N83,2)</f>
        <v>12</v>
      </c>
      <c r="T83" s="158"/>
    </row>
    <row r="84" spans="2:20" ht="18.75" hidden="1" customHeight="1" x14ac:dyDescent="0.55000000000000004">
      <c r="B84" s="160" t="s">
        <v>445</v>
      </c>
      <c r="C84" s="159">
        <f>IF(AND(C80="",C82=""),2,IF(AND(C80&lt;&gt;"",C82&lt;&gt;""),0,1))</f>
        <v>2</v>
      </c>
      <c r="D84" s="159">
        <f t="shared" ref="D84:N84" si="61">IF(AND(D80="",D82=""),2,IF(AND(D80&lt;&gt;"",D82&lt;&gt;""),0,1))</f>
        <v>2</v>
      </c>
      <c r="E84" s="159">
        <f t="shared" si="61"/>
        <v>2</v>
      </c>
      <c r="F84" s="159">
        <f t="shared" si="61"/>
        <v>2</v>
      </c>
      <c r="G84" s="159">
        <f t="shared" si="61"/>
        <v>2</v>
      </c>
      <c r="H84" s="159">
        <f t="shared" si="61"/>
        <v>2</v>
      </c>
      <c r="I84" s="159">
        <f t="shared" si="61"/>
        <v>2</v>
      </c>
      <c r="J84" s="159">
        <f t="shared" si="61"/>
        <v>2</v>
      </c>
      <c r="K84" s="159">
        <f t="shared" si="61"/>
        <v>2</v>
      </c>
      <c r="L84" s="159">
        <f t="shared" si="61"/>
        <v>2</v>
      </c>
      <c r="M84" s="159">
        <f t="shared" si="61"/>
        <v>2</v>
      </c>
      <c r="N84" s="159">
        <f t="shared" si="61"/>
        <v>2</v>
      </c>
      <c r="O84" s="159" t="str">
        <f>IF(R84&gt;1,"入力確認",IF(Q84+S84=12,"入力済","未入力"))</f>
        <v>入力済</v>
      </c>
      <c r="P84" s="161"/>
      <c r="Q84" s="158">
        <f>COUNTIF($C84:$N84,0)</f>
        <v>0</v>
      </c>
      <c r="R84" s="158">
        <f>COUNTIF($C84:$N84,1)</f>
        <v>0</v>
      </c>
      <c r="S84" s="158">
        <f>COUNTIF($C84:$N84,2)</f>
        <v>12</v>
      </c>
    </row>
    <row r="85" spans="2:20" ht="18.75" hidden="1" customHeight="1" x14ac:dyDescent="0.55000000000000004">
      <c r="B85" s="160" t="s">
        <v>446</v>
      </c>
      <c r="C85" s="159">
        <f>IF(AND(C83=2,C84=2),2,IF(C83&lt;&gt;C84,1,IF(AND(C83=0,C84=0),0,4)))</f>
        <v>2</v>
      </c>
      <c r="D85" s="159">
        <f t="shared" ref="D85" si="62">IF(AND(D83=2,D84=2),2,IF(D83&lt;&gt;D84,1,IF(AND(D83=0,D84=0),0,4)))</f>
        <v>2</v>
      </c>
      <c r="E85" s="159">
        <f t="shared" ref="E85" si="63">IF(AND(E83=2,E84=2),2,IF(E83&lt;&gt;E84,1,IF(AND(E83=0,E84=0),0,4)))</f>
        <v>2</v>
      </c>
      <c r="F85" s="159">
        <f t="shared" ref="F85" si="64">IF(AND(F83=2,F84=2),2,IF(F83&lt;&gt;F84,1,IF(AND(F83=0,F84=0),0,4)))</f>
        <v>2</v>
      </c>
      <c r="G85" s="159">
        <f t="shared" ref="G85" si="65">IF(AND(G83=2,G84=2),2,IF(G83&lt;&gt;G84,1,IF(AND(G83=0,G84=0),0,4)))</f>
        <v>2</v>
      </c>
      <c r="H85" s="159">
        <f t="shared" ref="H85" si="66">IF(AND(H83=2,H84=2),2,IF(H83&lt;&gt;H84,1,IF(AND(H83=0,H84=0),0,4)))</f>
        <v>2</v>
      </c>
      <c r="I85" s="159">
        <f t="shared" ref="I85" si="67">IF(AND(I83=2,I84=2),2,IF(I83&lt;&gt;I84,1,IF(AND(I83=0,I84=0),0,4)))</f>
        <v>2</v>
      </c>
      <c r="J85" s="159">
        <f t="shared" ref="J85" si="68">IF(AND(J83=2,J84=2),2,IF(J83&lt;&gt;J84,1,IF(AND(J83=0,J84=0),0,4)))</f>
        <v>2</v>
      </c>
      <c r="K85" s="159">
        <f t="shared" ref="K85" si="69">IF(AND(K83=2,K84=2),2,IF(K83&lt;&gt;K84,1,IF(AND(K83=0,K84=0),0,4)))</f>
        <v>2</v>
      </c>
      <c r="L85" s="159">
        <f t="shared" ref="L85" si="70">IF(AND(L83=2,L84=2),2,IF(L83&lt;&gt;L84,1,IF(AND(L83=0,L84=0),0,4)))</f>
        <v>2</v>
      </c>
      <c r="M85" s="159">
        <f t="shared" ref="M85" si="71">IF(AND(M83=2,M84=2),2,IF(M83&lt;&gt;M84,1,IF(AND(M83=0,M84=0),0,4)))</f>
        <v>2</v>
      </c>
      <c r="N85" s="159">
        <f t="shared" ref="N85" si="72">IF(AND(N83=2,N84=2),2,IF(N83&lt;&gt;N84,1,IF(AND(N83=0,N84=0),0,4)))</f>
        <v>2</v>
      </c>
      <c r="O85" s="159" t="str">
        <f>IF(R85&gt;1,"入力確認",IF(Q85+S85=12,"入力済","未入力"))</f>
        <v>入力済</v>
      </c>
      <c r="P85" s="161">
        <f>IF(O85="未入力",1,IF(O85="入力済",0,2))</f>
        <v>0</v>
      </c>
      <c r="Q85" s="158">
        <f>COUNTIF($C85:$N85,0)</f>
        <v>0</v>
      </c>
      <c r="R85" s="158">
        <f>COUNTIF($C85:$N85,1)</f>
        <v>0</v>
      </c>
      <c r="S85" s="158">
        <f>COUNTIF($C85:$N85,2)</f>
        <v>12</v>
      </c>
    </row>
  </sheetData>
  <sheetProtection algorithmName="SHA-512" hashValue="2WAeBFNs47O+ejVejmGqY30Iov0dRFh0YpUplBQdgnskUxRvFa9e8NTsqbyVB6icJZzow4bkVhzh2Nfz/pkFMw==" saltValue="Kbx+EWaQ//Ug63m/p4eHKA==" spinCount="100000" sheet="1" objects="1" scenarios="1" selectLockedCells="1" selectUnlockedCells="1"/>
  <mergeCells count="90">
    <mergeCell ref="M36:M37"/>
    <mergeCell ref="N24:N25"/>
    <mergeCell ref="L24:L25"/>
    <mergeCell ref="M24:M25"/>
    <mergeCell ref="K24:K25"/>
    <mergeCell ref="K36:K37"/>
    <mergeCell ref="L36:L37"/>
    <mergeCell ref="H24:H25"/>
    <mergeCell ref="I24:I25"/>
    <mergeCell ref="J24:J25"/>
    <mergeCell ref="P24:P25"/>
    <mergeCell ref="E19:F19"/>
    <mergeCell ref="G24:G25"/>
    <mergeCell ref="G19:N19"/>
    <mergeCell ref="C24:C25"/>
    <mergeCell ref="D24:D25"/>
    <mergeCell ref="E24:E25"/>
    <mergeCell ref="F24:F25"/>
    <mergeCell ref="P36:P37"/>
    <mergeCell ref="E36:E37"/>
    <mergeCell ref="F36:F37"/>
    <mergeCell ref="G36:G37"/>
    <mergeCell ref="I36:I37"/>
    <mergeCell ref="J36:J37"/>
    <mergeCell ref="H36:H37"/>
    <mergeCell ref="N36:N37"/>
    <mergeCell ref="O36:O37"/>
    <mergeCell ref="C36:C37"/>
    <mergeCell ref="D36:D37"/>
    <mergeCell ref="O24:O25"/>
    <mergeCell ref="P47:P48"/>
    <mergeCell ref="I47:I48"/>
    <mergeCell ref="E44:F44"/>
    <mergeCell ref="H47:H48"/>
    <mergeCell ref="E47:E48"/>
    <mergeCell ref="F47:F48"/>
    <mergeCell ref="G47:G48"/>
    <mergeCell ref="J47:J48"/>
    <mergeCell ref="K47:K48"/>
    <mergeCell ref="C47:C48"/>
    <mergeCell ref="D47:D48"/>
    <mergeCell ref="O47:O48"/>
    <mergeCell ref="L47:L48"/>
    <mergeCell ref="M47:M48"/>
    <mergeCell ref="N47:N48"/>
    <mergeCell ref="P58:P59"/>
    <mergeCell ref="E55:F55"/>
    <mergeCell ref="C58:C59"/>
    <mergeCell ref="D58:D59"/>
    <mergeCell ref="E58:E59"/>
    <mergeCell ref="F58:F59"/>
    <mergeCell ref="G58:G59"/>
    <mergeCell ref="H58:H59"/>
    <mergeCell ref="I58:I59"/>
    <mergeCell ref="J58:J59"/>
    <mergeCell ref="K58:K59"/>
    <mergeCell ref="L58:L59"/>
    <mergeCell ref="M58:M59"/>
    <mergeCell ref="N58:N59"/>
    <mergeCell ref="O58:O59"/>
    <mergeCell ref="P69:P70"/>
    <mergeCell ref="E66:F66"/>
    <mergeCell ref="C69:C70"/>
    <mergeCell ref="D69:D70"/>
    <mergeCell ref="E69:E70"/>
    <mergeCell ref="F69:F70"/>
    <mergeCell ref="G69:G70"/>
    <mergeCell ref="H69:H70"/>
    <mergeCell ref="I69:I70"/>
    <mergeCell ref="J69:J70"/>
    <mergeCell ref="K69:K70"/>
    <mergeCell ref="L69:L70"/>
    <mergeCell ref="M69:M70"/>
    <mergeCell ref="N69:N70"/>
    <mergeCell ref="O69:O70"/>
    <mergeCell ref="P80:P81"/>
    <mergeCell ref="E77:F77"/>
    <mergeCell ref="C80:C81"/>
    <mergeCell ref="D80:D81"/>
    <mergeCell ref="E80:E81"/>
    <mergeCell ref="F80:F81"/>
    <mergeCell ref="G80:G81"/>
    <mergeCell ref="H80:H81"/>
    <mergeCell ref="I80:I81"/>
    <mergeCell ref="J80:J81"/>
    <mergeCell ref="K80:K81"/>
    <mergeCell ref="L80:L81"/>
    <mergeCell ref="M80:M81"/>
    <mergeCell ref="N80:N81"/>
    <mergeCell ref="O80:O81"/>
  </mergeCells>
  <phoneticPr fontId="2"/>
  <conditionalFormatting sqref="B22 P24">
    <cfRule type="expression" dxfId="62" priority="26">
      <formula>$P$27=1</formula>
    </cfRule>
  </conditionalFormatting>
  <conditionalFormatting sqref="G19">
    <cfRule type="expression" dxfId="61" priority="40">
      <formula>OR($G$19="エネルギー種別・単位を選択してください。",$G$19="エネルギーの使用年度を選択してください。",$G$19="未入力欄が有ります。確認してください。",$G$19="中小規模事業所の要件を満たしていないため、申請できません。")</formula>
    </cfRule>
  </conditionalFormatting>
  <conditionalFormatting sqref="C22:N22">
    <cfRule type="expression" dxfId="60" priority="37">
      <formula>C29=1</formula>
    </cfRule>
  </conditionalFormatting>
  <conditionalFormatting sqref="C34:N34">
    <cfRule type="expression" dxfId="59" priority="36">
      <formula>C41=1</formula>
    </cfRule>
  </conditionalFormatting>
  <conditionalFormatting sqref="B34 P36">
    <cfRule type="expression" dxfId="58" priority="23">
      <formula>$P$39=1</formula>
    </cfRule>
  </conditionalFormatting>
  <conditionalFormatting sqref="E33 P36">
    <cfRule type="expression" dxfId="57" priority="22">
      <formula>$P$39=2</formula>
    </cfRule>
  </conditionalFormatting>
  <conditionalFormatting sqref="F33 P36">
    <cfRule type="expression" dxfId="56" priority="21">
      <formula>$P$39=3</formula>
    </cfRule>
  </conditionalFormatting>
  <conditionalFormatting sqref="C45:N45">
    <cfRule type="expression" dxfId="55" priority="34">
      <formula>C52=1</formula>
    </cfRule>
  </conditionalFormatting>
  <conditionalFormatting sqref="C56:N56">
    <cfRule type="expression" dxfId="54" priority="29">
      <formula>C63=1</formula>
    </cfRule>
  </conditionalFormatting>
  <conditionalFormatting sqref="C67:N67">
    <cfRule type="expression" dxfId="53" priority="28">
      <formula>C74=1</formula>
    </cfRule>
  </conditionalFormatting>
  <conditionalFormatting sqref="C78:N78">
    <cfRule type="expression" dxfId="52" priority="27">
      <formula>C85=1</formula>
    </cfRule>
  </conditionalFormatting>
  <conditionalFormatting sqref="B45 P47">
    <cfRule type="expression" dxfId="51" priority="20">
      <formula>$P$50=1</formula>
    </cfRule>
  </conditionalFormatting>
  <conditionalFormatting sqref="B56 P58">
    <cfRule type="expression" dxfId="50" priority="18">
      <formula>$P$61=1</formula>
    </cfRule>
  </conditionalFormatting>
  <conditionalFormatting sqref="B67 P69">
    <cfRule type="expression" dxfId="49" priority="14">
      <formula>$P$72=1</formula>
    </cfRule>
  </conditionalFormatting>
  <conditionalFormatting sqref="E44 P47">
    <cfRule type="expression" dxfId="48" priority="19">
      <formula>$P$50=2</formula>
    </cfRule>
  </conditionalFormatting>
  <conditionalFormatting sqref="E55 P58">
    <cfRule type="expression" dxfId="47" priority="15">
      <formula>$P$61=2</formula>
    </cfRule>
  </conditionalFormatting>
  <conditionalFormatting sqref="E66 P69">
    <cfRule type="expression" dxfId="46" priority="12">
      <formula>$P$72=2</formula>
    </cfRule>
  </conditionalFormatting>
  <conditionalFormatting sqref="P24">
    <cfRule type="expression" dxfId="45" priority="24">
      <formula>$P$29=1</formula>
    </cfRule>
  </conditionalFormatting>
  <conditionalFormatting sqref="B78 P80">
    <cfRule type="expression" dxfId="44" priority="11">
      <formula>$P$83=1</formula>
    </cfRule>
  </conditionalFormatting>
  <conditionalFormatting sqref="E77 P80">
    <cfRule type="expression" dxfId="43" priority="10">
      <formula>$P$83=2</formula>
    </cfRule>
  </conditionalFormatting>
  <conditionalFormatting sqref="G19:N19">
    <cfRule type="expression" dxfId="42" priority="1">
      <formula>$G$19="事業所のエネルギー使用について入力してください。"</formula>
    </cfRule>
  </conditionalFormatting>
  <dataValidations xWindow="198" yWindow="327" count="5">
    <dataValidation allowBlank="1" showInputMessage="1" sqref="B23 B57 B68 B35 B46 B79"/>
    <dataValidation type="list" allowBlank="1" showInputMessage="1" sqref="B78 B22 B34 B45 B56 B67">
      <formula1>"年度を選択,2021年度,2022年度"</formula1>
    </dataValidation>
    <dataValidation allowBlank="1" sqref="C13:C14"/>
    <dataValidation allowBlank="1" showInputMessage="1" showErrorMessage="1" prompt="証憑等に記載されている使用期間を記入してください。" sqref="C23"/>
    <dataValidation type="list" allowBlank="1" showInputMessage="1" showErrorMessage="1" sqref="F33">
      <formula1>INDIRECT($E$33)</formula1>
    </dataValidation>
  </dataValidations>
  <printOptions horizontalCentered="1"/>
  <pageMargins left="0.6692913385826772" right="0.31496062992125984" top="0.56000000000000005" bottom="0.37" header="0.24" footer="0.15748031496062992"/>
  <pageSetup paperSize="9" scale="62" fitToHeight="0" orientation="landscape" r:id="rId1"/>
  <headerFooter>
    <oddHeader>&amp;C&amp;20換気量・省エネ計算シート</oddHeader>
    <oddFooter>&amp;C&amp;P</oddFooter>
  </headerFooter>
  <rowBreaks count="2" manualBreakCount="2">
    <brk id="43" max="16" man="1"/>
    <brk id="64" max="16" man="1"/>
  </rowBreaks>
  <drawing r:id="rId2"/>
  <legacyDrawing r:id="rId3"/>
  <extLst>
    <ext xmlns:x14="http://schemas.microsoft.com/office/spreadsheetml/2009/9/main" uri="{CCE6A557-97BC-4b89-ADB6-D9C93CAAB3DF}">
      <x14:dataValidations xmlns:xm="http://schemas.microsoft.com/office/excel/2006/main" xWindow="198" yWindow="327" count="3">
        <x14:dataValidation type="list" allowBlank="1" showInputMessage="1" showErrorMessage="1">
          <x14:formula1>
            <xm:f>計算!$N$3:$N$5</xm:f>
          </x14:formula1>
          <xm:sqref>E33</xm:sqref>
        </x14:dataValidation>
        <x14:dataValidation type="list" allowBlank="1" showInputMessage="1" showErrorMessage="1">
          <x14:formula1>
            <xm:f>計算!$Q$3:$Q$11</xm:f>
          </x14:formula1>
          <xm:sqref>E44:F44</xm:sqref>
        </x14:dataValidation>
        <x14:dataValidation type="list" allowBlank="1" showInputMessage="1" showErrorMessage="1">
          <x14:formula1>
            <xm:f>計算!$P$3:$P$12</xm:f>
          </x14:formula1>
          <xm:sqref>E55:F55 E66:F66 E77:F77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2:V85"/>
  <sheetViews>
    <sheetView view="pageBreakPreview" zoomScale="70" zoomScaleNormal="100" zoomScaleSheetLayoutView="70" workbookViewId="0">
      <selection sqref="A1:XFD1048576"/>
    </sheetView>
  </sheetViews>
  <sheetFormatPr defaultColWidth="8.83203125" defaultRowHeight="17.399999999999999" x14ac:dyDescent="0.55000000000000004"/>
  <cols>
    <col min="1" max="1" width="2.33203125" style="59" customWidth="1"/>
    <col min="2" max="2" width="11.9140625" style="59" customWidth="1"/>
    <col min="3" max="16" width="10.58203125" style="59" customWidth="1"/>
    <col min="17" max="17" width="2.1640625" style="59" customWidth="1"/>
    <col min="18" max="21" width="5" style="59" customWidth="1"/>
    <col min="22" max="23" width="8.83203125" style="59"/>
    <col min="24" max="24" width="9.58203125" style="59" bestFit="1" customWidth="1"/>
    <col min="25" max="25" width="8.5" style="59" customWidth="1"/>
    <col min="26" max="26" width="9.33203125" style="59" customWidth="1"/>
    <col min="27" max="27" width="9.33203125" style="59" bestFit="1" customWidth="1"/>
    <col min="28" max="16384" width="8.83203125" style="59"/>
  </cols>
  <sheetData>
    <row r="2" spans="2:11" s="18" customFormat="1" ht="19.2" x14ac:dyDescent="0.55000000000000004">
      <c r="B2" s="48" t="s">
        <v>177</v>
      </c>
    </row>
    <row r="3" spans="2:11" ht="19.2" x14ac:dyDescent="0.55000000000000004">
      <c r="B3" s="137" t="s">
        <v>410</v>
      </c>
      <c r="K3" s="18"/>
    </row>
    <row r="4" spans="2:11" ht="19.2" x14ac:dyDescent="0.55000000000000004">
      <c r="B4" s="137" t="s">
        <v>427</v>
      </c>
      <c r="K4" s="18"/>
    </row>
    <row r="5" spans="2:11" ht="19.2" x14ac:dyDescent="0.55000000000000004">
      <c r="B5" s="137" t="s">
        <v>463</v>
      </c>
      <c r="K5" s="18"/>
    </row>
    <row r="6" spans="2:11" ht="19.2" x14ac:dyDescent="0.55000000000000004">
      <c r="B6" s="137" t="s">
        <v>466</v>
      </c>
      <c r="K6" s="18"/>
    </row>
    <row r="7" spans="2:11" ht="19.2" x14ac:dyDescent="0.55000000000000004">
      <c r="B7" s="137" t="s">
        <v>465</v>
      </c>
      <c r="K7" s="18"/>
    </row>
    <row r="8" spans="2:11" ht="19.2" x14ac:dyDescent="0.55000000000000004">
      <c r="B8" s="137" t="s">
        <v>426</v>
      </c>
      <c r="K8" s="18"/>
    </row>
    <row r="9" spans="2:11" ht="19.2" x14ac:dyDescent="0.55000000000000004">
      <c r="B9" s="137" t="s">
        <v>409</v>
      </c>
      <c r="K9" s="18"/>
    </row>
    <row r="10" spans="2:11" ht="19.2" x14ac:dyDescent="0.55000000000000004">
      <c r="B10" s="137" t="s">
        <v>408</v>
      </c>
      <c r="K10" s="18"/>
    </row>
    <row r="11" spans="2:11" ht="19.2" x14ac:dyDescent="0.55000000000000004">
      <c r="B11" s="137" t="s">
        <v>464</v>
      </c>
      <c r="K11" s="18"/>
    </row>
    <row r="12" spans="2:11" ht="19.2" x14ac:dyDescent="0.55000000000000004">
      <c r="B12" s="58"/>
      <c r="K12" s="18"/>
    </row>
    <row r="13" spans="2:11" s="18" customFormat="1" ht="19.2" x14ac:dyDescent="0.55000000000000004">
      <c r="B13" s="87" t="s">
        <v>178</v>
      </c>
      <c r="C13" s="20"/>
      <c r="D13" s="46" t="s">
        <v>228</v>
      </c>
      <c r="K13" s="162"/>
    </row>
    <row r="14" spans="2:11" s="18" customFormat="1" ht="19.2" x14ac:dyDescent="0.55000000000000004">
      <c r="C14" s="21"/>
      <c r="D14" s="47" t="s">
        <v>134</v>
      </c>
      <c r="J14" s="38"/>
    </row>
    <row r="15" spans="2:11" s="18" customFormat="1" ht="19.2" x14ac:dyDescent="0.55000000000000004">
      <c r="C15" s="22"/>
      <c r="D15" s="47" t="s">
        <v>135</v>
      </c>
    </row>
    <row r="16" spans="2:11" s="18" customFormat="1" ht="19.2" x14ac:dyDescent="0.55000000000000004">
      <c r="B16" s="19"/>
      <c r="C16" s="19"/>
    </row>
    <row r="17" spans="2:22" ht="18" customHeight="1" x14ac:dyDescent="0.55000000000000004">
      <c r="J17" s="104"/>
      <c r="L17" s="18"/>
      <c r="M17" s="18"/>
      <c r="N17" s="18"/>
      <c r="O17" s="18"/>
      <c r="P17" s="18"/>
      <c r="Q17" s="18"/>
      <c r="R17" s="18"/>
      <c r="V17" s="166"/>
    </row>
    <row r="18" spans="2:22" ht="18.75" customHeight="1" x14ac:dyDescent="0.55000000000000004">
      <c r="B18" s="166"/>
      <c r="J18" s="104"/>
      <c r="L18" s="18"/>
      <c r="M18" s="18"/>
      <c r="N18" s="18"/>
      <c r="O18" s="18"/>
      <c r="P18" s="18"/>
      <c r="Q18" s="18"/>
      <c r="R18" s="18"/>
    </row>
    <row r="19" spans="2:22" ht="42.75" customHeight="1" x14ac:dyDescent="0.55000000000000004">
      <c r="B19" s="60" t="s">
        <v>206</v>
      </c>
      <c r="E19" s="269" t="s">
        <v>252</v>
      </c>
      <c r="F19" s="269"/>
      <c r="G19" s="270" t="str">
        <f>IF(AND(P27=0,P39=0,P50=0,P61=0,P72=0,P83=0),"事業所のエネルギー使用について入力してください。",IF(OR(P29&lt;&gt;0,P41&lt;&gt;0,P52&lt;&gt;0,P63&lt;&gt;0,P74&lt;&gt;0,P85&lt;&gt;0),"未入力欄が有ります。確認してください。",IF(OR(P27=1,P39=1,P50=1,P61=1,P72=1,P83=1),"エネルギーの使用年度を選択してください。",IF(OR(P39=2,P39=3,P50=2,P61=2,P72=2,P83=2),"エネルギー種別・単位を選択してください。",IF(SUM(P24,P36,P47,P58,P69,P80)&lt;1500,"中小規模事業所に該当します。","中小規模事業所の要件を満たしていないため、申請できません。")))))</f>
        <v>未入力欄が有ります。確認してください。</v>
      </c>
      <c r="H19" s="271"/>
      <c r="I19" s="271"/>
      <c r="J19" s="271"/>
      <c r="K19" s="271"/>
      <c r="L19" s="271"/>
      <c r="M19" s="271"/>
      <c r="N19" s="272"/>
      <c r="O19" s="18"/>
      <c r="P19" s="18"/>
      <c r="Q19" s="18"/>
      <c r="R19" s="18"/>
    </row>
    <row r="20" spans="2:22" ht="19.5" customHeight="1" x14ac:dyDescent="0.55000000000000004">
      <c r="B20" s="60"/>
      <c r="C20" s="60"/>
      <c r="D20" s="60"/>
      <c r="E20" s="60"/>
      <c r="F20" s="60"/>
      <c r="G20" s="60"/>
      <c r="H20" s="60"/>
      <c r="I20" s="60"/>
      <c r="J20" s="60"/>
      <c r="K20" s="60"/>
      <c r="L20" s="60"/>
      <c r="M20" s="60"/>
      <c r="N20" s="60"/>
      <c r="O20" s="18"/>
      <c r="P20" s="18"/>
      <c r="Q20" s="18"/>
      <c r="R20" s="18"/>
    </row>
    <row r="21" spans="2:22" ht="19.8" thickBot="1" x14ac:dyDescent="0.6">
      <c r="B21" s="59" t="s">
        <v>38</v>
      </c>
      <c r="E21" s="62"/>
      <c r="F21" s="62"/>
      <c r="G21" s="62"/>
      <c r="H21" s="62"/>
      <c r="I21" s="62"/>
      <c r="L21" s="18"/>
      <c r="M21" s="18"/>
      <c r="N21" s="18"/>
      <c r="O21" s="18"/>
      <c r="P21" s="18"/>
      <c r="Q21" s="18"/>
      <c r="R21" s="18"/>
    </row>
    <row r="22" spans="2:22" ht="18.75" customHeight="1" x14ac:dyDescent="0.55000000000000004">
      <c r="B22" s="330" t="s">
        <v>542</v>
      </c>
      <c r="C22" s="63" t="s">
        <v>32</v>
      </c>
      <c r="D22" s="64" t="s">
        <v>31</v>
      </c>
      <c r="E22" s="64" t="s">
        <v>30</v>
      </c>
      <c r="F22" s="64" t="s">
        <v>29</v>
      </c>
      <c r="G22" s="64" t="s">
        <v>28</v>
      </c>
      <c r="H22" s="64" t="s">
        <v>27</v>
      </c>
      <c r="I22" s="64" t="s">
        <v>26</v>
      </c>
      <c r="J22" s="64" t="s">
        <v>25</v>
      </c>
      <c r="K22" s="64" t="s">
        <v>24</v>
      </c>
      <c r="L22" s="63" t="s">
        <v>23</v>
      </c>
      <c r="M22" s="64" t="s">
        <v>22</v>
      </c>
      <c r="N22" s="68" t="s">
        <v>21</v>
      </c>
      <c r="O22" s="139"/>
      <c r="P22" s="69"/>
      <c r="Q22" s="18"/>
      <c r="R22" s="18"/>
    </row>
    <row r="23" spans="2:22" ht="38.25" customHeight="1" x14ac:dyDescent="0.55000000000000004">
      <c r="B23" s="66" t="s">
        <v>412</v>
      </c>
      <c r="C23" s="331" t="s">
        <v>543</v>
      </c>
      <c r="D23" s="331" t="s">
        <v>544</v>
      </c>
      <c r="E23" s="331" t="s">
        <v>545</v>
      </c>
      <c r="F23" s="331" t="s">
        <v>546</v>
      </c>
      <c r="G23" s="331" t="s">
        <v>547</v>
      </c>
      <c r="H23" s="331" t="s">
        <v>548</v>
      </c>
      <c r="I23" s="331" t="s">
        <v>549</v>
      </c>
      <c r="J23" s="331" t="s">
        <v>550</v>
      </c>
      <c r="K23" s="331" t="s">
        <v>551</v>
      </c>
      <c r="L23" s="331" t="s">
        <v>552</v>
      </c>
      <c r="M23" s="331" t="s">
        <v>553</v>
      </c>
      <c r="N23" s="331" t="s">
        <v>554</v>
      </c>
      <c r="O23" s="134" t="s">
        <v>414</v>
      </c>
      <c r="P23" s="138" t="s">
        <v>413</v>
      </c>
    </row>
    <row r="24" spans="2:22" ht="18.75" customHeight="1" x14ac:dyDescent="0.55000000000000004">
      <c r="B24" s="65" t="s">
        <v>37</v>
      </c>
      <c r="C24" s="332">
        <v>898</v>
      </c>
      <c r="D24" s="332">
        <v>997</v>
      </c>
      <c r="E24" s="332">
        <v>1179</v>
      </c>
      <c r="F24" s="332"/>
      <c r="G24" s="332">
        <v>1467</v>
      </c>
      <c r="H24" s="332">
        <v>1770</v>
      </c>
      <c r="I24" s="332">
        <v>1216</v>
      </c>
      <c r="J24" s="332">
        <v>856</v>
      </c>
      <c r="K24" s="332">
        <v>956</v>
      </c>
      <c r="L24" s="332">
        <v>1032</v>
      </c>
      <c r="M24" s="332">
        <v>1164</v>
      </c>
      <c r="N24" s="333">
        <v>785</v>
      </c>
      <c r="O24" s="264">
        <f>IF(ISERROR(12*SUM(C24:N25)/COUNT(C24:N25)),"",12*SUM(C24:N25)/COUNT(C24:N25))</f>
        <v>13440</v>
      </c>
      <c r="P24" s="268" t="str">
        <f>IF(P27=0,"",IF(P29=1,"未入力欄を確認",IF(P27=1,"年度を選択",IF(AND(O24&gt;0,O26&gt;0,Q27=Q28,P27=4),計算!$J$3,"入力不足"))))</f>
        <v>未入力欄を確認</v>
      </c>
    </row>
    <row r="25" spans="2:22" ht="18.75" customHeight="1" thickBot="1" x14ac:dyDescent="0.6">
      <c r="B25" s="66" t="s">
        <v>36</v>
      </c>
      <c r="C25" s="334"/>
      <c r="D25" s="334"/>
      <c r="E25" s="334"/>
      <c r="F25" s="334"/>
      <c r="G25" s="334"/>
      <c r="H25" s="334"/>
      <c r="I25" s="334"/>
      <c r="J25" s="334"/>
      <c r="K25" s="334"/>
      <c r="L25" s="334"/>
      <c r="M25" s="334"/>
      <c r="N25" s="335"/>
      <c r="O25" s="265"/>
      <c r="P25" s="263"/>
    </row>
    <row r="26" spans="2:22" ht="38.25" customHeight="1" thickTop="1" thickBot="1" x14ac:dyDescent="0.6">
      <c r="B26" s="67" t="s">
        <v>411</v>
      </c>
      <c r="C26" s="336">
        <v>27234</v>
      </c>
      <c r="D26" s="336">
        <v>29368</v>
      </c>
      <c r="E26" s="336">
        <v>33026</v>
      </c>
      <c r="F26" s="336">
        <v>33807</v>
      </c>
      <c r="G26" s="336">
        <v>37411</v>
      </c>
      <c r="H26" s="336">
        <v>42293</v>
      </c>
      <c r="I26" s="336">
        <v>30582</v>
      </c>
      <c r="J26" s="336">
        <v>25126</v>
      </c>
      <c r="K26" s="336">
        <v>25741</v>
      </c>
      <c r="L26" s="336">
        <v>25461</v>
      </c>
      <c r="M26" s="336">
        <v>27085</v>
      </c>
      <c r="N26" s="336">
        <v>21091</v>
      </c>
      <c r="O26" s="70">
        <f>IF(ISERROR(12*SUM(C26:N26)/COUNT(C26:N26)),"",12*SUM(C26:N26)/COUNT(C26:N26))</f>
        <v>358225</v>
      </c>
      <c r="P26" s="141">
        <f>IF(AND(O24="",O26="",P29=0),0,IF(OR(B22="",B22="年度を選択"),1,4))</f>
        <v>4</v>
      </c>
      <c r="Q26" s="158"/>
    </row>
    <row r="27" spans="2:22" ht="18.75" hidden="1" customHeight="1" x14ac:dyDescent="0.55000000000000004">
      <c r="B27" s="160" t="s">
        <v>444</v>
      </c>
      <c r="C27" s="159">
        <f>IF(C23="",2,IF(C23&lt;&gt;"",0,1))</f>
        <v>0</v>
      </c>
      <c r="D27" s="159">
        <f t="shared" ref="D27:N27" si="0">IF(D23="",2,IF(D23&lt;&gt;"",0,1))</f>
        <v>0</v>
      </c>
      <c r="E27" s="159">
        <f t="shared" si="0"/>
        <v>0</v>
      </c>
      <c r="F27" s="159">
        <f t="shared" si="0"/>
        <v>0</v>
      </c>
      <c r="G27" s="159">
        <f t="shared" si="0"/>
        <v>0</v>
      </c>
      <c r="H27" s="159">
        <f t="shared" si="0"/>
        <v>0</v>
      </c>
      <c r="I27" s="159">
        <f t="shared" si="0"/>
        <v>0</v>
      </c>
      <c r="J27" s="159">
        <f t="shared" si="0"/>
        <v>0</v>
      </c>
      <c r="K27" s="159">
        <f t="shared" si="0"/>
        <v>0</v>
      </c>
      <c r="L27" s="159">
        <f t="shared" si="0"/>
        <v>0</v>
      </c>
      <c r="M27" s="159">
        <f>IF(M23="",2,IF(M23&lt;&gt;"",0,1))</f>
        <v>0</v>
      </c>
      <c r="N27" s="159">
        <f t="shared" si="0"/>
        <v>0</v>
      </c>
      <c r="O27" s="159" t="str">
        <f>IF(R27&gt;1,"入力確認",IF(Q27=Q28,"入力済","未入力"))</f>
        <v>未入力</v>
      </c>
      <c r="P27" s="161">
        <f>P26</f>
        <v>4</v>
      </c>
      <c r="Q27" s="158">
        <f>COUNTIF($C27:$N27,0)</f>
        <v>12</v>
      </c>
      <c r="R27" s="158">
        <f>COUNTIF($C27:$N27,1)</f>
        <v>0</v>
      </c>
      <c r="S27" s="158">
        <f>COUNTIF($C27:$N27,2)</f>
        <v>0</v>
      </c>
      <c r="T27" s="158"/>
    </row>
    <row r="28" spans="2:22" ht="18.75" hidden="1" customHeight="1" x14ac:dyDescent="0.55000000000000004">
      <c r="B28" s="160" t="s">
        <v>445</v>
      </c>
      <c r="C28" s="159">
        <f>IF(AND(C24="",C26=""),2,IF(AND(C24&lt;&gt;"",C26&lt;&gt;""),0,1))</f>
        <v>0</v>
      </c>
      <c r="D28" s="159">
        <f t="shared" ref="D28:N28" si="1">IF(AND(D24="",D26=""),2,IF(AND(D24&lt;&gt;"",D26&lt;&gt;""),0,1))</f>
        <v>0</v>
      </c>
      <c r="E28" s="159">
        <f t="shared" si="1"/>
        <v>0</v>
      </c>
      <c r="F28" s="159">
        <f t="shared" si="1"/>
        <v>1</v>
      </c>
      <c r="G28" s="159">
        <f t="shared" si="1"/>
        <v>0</v>
      </c>
      <c r="H28" s="159">
        <f t="shared" si="1"/>
        <v>0</v>
      </c>
      <c r="I28" s="159">
        <f t="shared" si="1"/>
        <v>0</v>
      </c>
      <c r="J28" s="159">
        <f t="shared" si="1"/>
        <v>0</v>
      </c>
      <c r="K28" s="159">
        <f t="shared" si="1"/>
        <v>0</v>
      </c>
      <c r="L28" s="159">
        <f t="shared" si="1"/>
        <v>0</v>
      </c>
      <c r="M28" s="159">
        <f t="shared" si="1"/>
        <v>0</v>
      </c>
      <c r="N28" s="159">
        <f t="shared" si="1"/>
        <v>0</v>
      </c>
      <c r="O28" s="159" t="str">
        <f>IF(R28&gt;1,"入力確認",IF(Q28+S28=12,"入力済","未入力"))</f>
        <v>未入力</v>
      </c>
      <c r="P28" s="161"/>
      <c r="Q28" s="158">
        <f>COUNTIF($C28:$N28,0)</f>
        <v>11</v>
      </c>
      <c r="R28" s="158">
        <f>COUNTIF($C28:$N28,1)</f>
        <v>1</v>
      </c>
      <c r="S28" s="158">
        <f>COUNTIF($C28:$N28,2)</f>
        <v>0</v>
      </c>
    </row>
    <row r="29" spans="2:22" ht="18.75" hidden="1" customHeight="1" x14ac:dyDescent="0.55000000000000004">
      <c r="B29" s="160" t="s">
        <v>446</v>
      </c>
      <c r="C29" s="159">
        <f>IF(AND(C27=2,C28=2),2,IF(C27&lt;&gt;C28,1,IF(AND(C27=0,C28=0),0,4)))</f>
        <v>0</v>
      </c>
      <c r="D29" s="159">
        <f t="shared" ref="D29:N29" si="2">IF(AND(D27=2,D28=2),2,IF(D27&lt;&gt;D28,1,IF(AND(D27=0,D28=0),0,4)))</f>
        <v>0</v>
      </c>
      <c r="E29" s="159">
        <f t="shared" si="2"/>
        <v>0</v>
      </c>
      <c r="F29" s="159">
        <f t="shared" si="2"/>
        <v>1</v>
      </c>
      <c r="G29" s="159">
        <f t="shared" si="2"/>
        <v>0</v>
      </c>
      <c r="H29" s="159">
        <f t="shared" si="2"/>
        <v>0</v>
      </c>
      <c r="I29" s="159">
        <f t="shared" si="2"/>
        <v>0</v>
      </c>
      <c r="J29" s="159">
        <f t="shared" si="2"/>
        <v>0</v>
      </c>
      <c r="K29" s="159">
        <f t="shared" si="2"/>
        <v>0</v>
      </c>
      <c r="L29" s="159">
        <f t="shared" si="2"/>
        <v>0</v>
      </c>
      <c r="M29" s="159">
        <f t="shared" si="2"/>
        <v>0</v>
      </c>
      <c r="N29" s="159">
        <f t="shared" si="2"/>
        <v>0</v>
      </c>
      <c r="O29" s="159" t="str">
        <f>IF(R29&gt;1,"入力確認",IF(Q29+S29=12,"入力済","未入力"))</f>
        <v>未入力</v>
      </c>
      <c r="P29" s="161">
        <f>IF(O29="未入力",1,IF(O29="入力済",0,2))</f>
        <v>1</v>
      </c>
      <c r="Q29" s="158">
        <f>COUNTIF($C29:$N29,0)</f>
        <v>11</v>
      </c>
      <c r="R29" s="158">
        <f>COUNTIF($C29:$N29,1)</f>
        <v>1</v>
      </c>
      <c r="S29" s="158">
        <f>COUNTIF($C29:$N29,2)</f>
        <v>0</v>
      </c>
    </row>
    <row r="30" spans="2:22" x14ac:dyDescent="0.55000000000000004">
      <c r="B30" s="59" t="s">
        <v>35</v>
      </c>
      <c r="E30" s="71"/>
      <c r="F30" s="71"/>
      <c r="G30" s="71"/>
      <c r="H30" s="71"/>
      <c r="O30" s="72"/>
    </row>
    <row r="33" spans="2:20" ht="18" thickBot="1" x14ac:dyDescent="0.6">
      <c r="B33" s="59" t="s">
        <v>34</v>
      </c>
      <c r="E33" s="337" t="s">
        <v>441</v>
      </c>
      <c r="F33" s="337" t="s">
        <v>442</v>
      </c>
      <c r="G33" s="62"/>
      <c r="K33" s="61"/>
    </row>
    <row r="34" spans="2:20" ht="19.5" customHeight="1" x14ac:dyDescent="0.55000000000000004">
      <c r="B34" s="330" t="s">
        <v>542</v>
      </c>
      <c r="C34" s="63" t="s">
        <v>32</v>
      </c>
      <c r="D34" s="64" t="s">
        <v>31</v>
      </c>
      <c r="E34" s="64" t="s">
        <v>30</v>
      </c>
      <c r="F34" s="64" t="s">
        <v>29</v>
      </c>
      <c r="G34" s="64" t="s">
        <v>28</v>
      </c>
      <c r="H34" s="64" t="s">
        <v>27</v>
      </c>
      <c r="I34" s="64" t="s">
        <v>26</v>
      </c>
      <c r="J34" s="64" t="s">
        <v>25</v>
      </c>
      <c r="K34" s="64" t="s">
        <v>24</v>
      </c>
      <c r="L34" s="63" t="s">
        <v>23</v>
      </c>
      <c r="M34" s="64" t="s">
        <v>22</v>
      </c>
      <c r="N34" s="68" t="s">
        <v>21</v>
      </c>
      <c r="O34" s="139"/>
      <c r="P34" s="69"/>
    </row>
    <row r="35" spans="2:20" ht="38.25" customHeight="1" x14ac:dyDescent="0.55000000000000004">
      <c r="B35" s="66" t="s">
        <v>412</v>
      </c>
      <c r="C35" s="331" t="s">
        <v>555</v>
      </c>
      <c r="D35" s="331" t="s">
        <v>556</v>
      </c>
      <c r="E35" s="331" t="s">
        <v>557</v>
      </c>
      <c r="F35" s="331" t="s">
        <v>558</v>
      </c>
      <c r="G35" s="331" t="s">
        <v>559</v>
      </c>
      <c r="H35" s="331" t="s">
        <v>560</v>
      </c>
      <c r="I35" s="331" t="s">
        <v>561</v>
      </c>
      <c r="J35" s="331" t="s">
        <v>562</v>
      </c>
      <c r="K35" s="331" t="s">
        <v>563</v>
      </c>
      <c r="L35" s="331" t="s">
        <v>564</v>
      </c>
      <c r="M35" s="331" t="s">
        <v>565</v>
      </c>
      <c r="N35" s="338" t="s">
        <v>566</v>
      </c>
      <c r="O35" s="134" t="s">
        <v>414</v>
      </c>
      <c r="P35" s="138" t="s">
        <v>413</v>
      </c>
    </row>
    <row r="36" spans="2:20" ht="19.5" customHeight="1" x14ac:dyDescent="0.55000000000000004">
      <c r="B36" s="65" t="s">
        <v>33</v>
      </c>
      <c r="C36" s="332">
        <v>247</v>
      </c>
      <c r="D36" s="332">
        <v>269</v>
      </c>
      <c r="E36" s="332">
        <v>230</v>
      </c>
      <c r="F36" s="332">
        <v>222</v>
      </c>
      <c r="G36" s="332">
        <v>266</v>
      </c>
      <c r="H36" s="332">
        <v>224</v>
      </c>
      <c r="I36" s="332">
        <v>328</v>
      </c>
      <c r="J36" s="332">
        <v>369</v>
      </c>
      <c r="K36" s="332">
        <v>394</v>
      </c>
      <c r="L36" s="332">
        <v>378</v>
      </c>
      <c r="M36" s="332">
        <v>342</v>
      </c>
      <c r="N36" s="332">
        <v>348</v>
      </c>
      <c r="O36" s="264">
        <f>IF(ISERROR(12*SUM(C36:N37)/COUNT(C36:N37)),"",12*SUM(C36:N37)/COUNT(C36:N37))</f>
        <v>3617</v>
      </c>
      <c r="P36" s="266" t="str">
        <f>IF(P39=0,"",IF(P41=1,"未入力欄を確認",IF(P39=1,"年度を選択",IF(P39=2,"種別を選択",IF(P39=3,"単位を選択",IF(AND($E$33="都市ガス",$F$33="［m3］"),計算!$J$6,IF(AND($E$33="LPG",$F$33="［m3］"),計算!$J$7,IF(AND($E$33="LPG",$F$33="［kg］"),計算!$L$7,IF($E$33="LNG",計算!$J$8,IF($E$33="水素ガス",計算!$J$9,IF($E$33="天然ガス",計算!$J$10,"")))))))))))</f>
        <v>未入力欄を確認</v>
      </c>
    </row>
    <row r="37" spans="2:20" ht="19.5" customHeight="1" thickBot="1" x14ac:dyDescent="0.6">
      <c r="B37" s="66" t="str">
        <f>IF(F33="","",F33)</f>
        <v>［m3］</v>
      </c>
      <c r="C37" s="339"/>
      <c r="D37" s="339"/>
      <c r="E37" s="339"/>
      <c r="F37" s="339"/>
      <c r="G37" s="339"/>
      <c r="H37" s="339"/>
      <c r="I37" s="339"/>
      <c r="J37" s="334"/>
      <c r="K37" s="334"/>
      <c r="L37" s="334"/>
      <c r="M37" s="334"/>
      <c r="N37" s="334"/>
      <c r="O37" s="265"/>
      <c r="P37" s="267"/>
    </row>
    <row r="38" spans="2:20" ht="38.25" customHeight="1" thickTop="1" thickBot="1" x14ac:dyDescent="0.6">
      <c r="B38" s="67" t="s">
        <v>411</v>
      </c>
      <c r="C38" s="336">
        <v>31853</v>
      </c>
      <c r="D38" s="336">
        <v>34521</v>
      </c>
      <c r="E38" s="336"/>
      <c r="F38" s="336">
        <v>28742</v>
      </c>
      <c r="G38" s="336">
        <v>33968</v>
      </c>
      <c r="H38" s="336">
        <v>28424</v>
      </c>
      <c r="I38" s="336">
        <v>39516</v>
      </c>
      <c r="J38" s="340">
        <v>42279</v>
      </c>
      <c r="K38" s="340">
        <v>43226</v>
      </c>
      <c r="L38" s="340">
        <v>40671</v>
      </c>
      <c r="M38" s="340">
        <v>37189</v>
      </c>
      <c r="N38" s="340">
        <v>38804</v>
      </c>
      <c r="O38" s="140">
        <f>IF(ISERROR(12*SUM(C38:N38)/COUNT(C38:N38)),"",12*SUM(C38:N38)/COUNT(C38:N38))</f>
        <v>435483.27272727271</v>
      </c>
      <c r="P38" s="141">
        <f>IF(AND(O36="",O38="",P41=0),0,IF(OR(B34="",B34="年度を選択"),1,IF(OR(E33="",E33="種別を選択"),2,IF(OR(F33="",F33="単位を選択"),3,4))))</f>
        <v>4</v>
      </c>
      <c r="Q38" s="158"/>
      <c r="R38" s="158"/>
    </row>
    <row r="39" spans="2:20" ht="18.75" hidden="1" customHeight="1" x14ac:dyDescent="0.55000000000000004">
      <c r="B39" s="160" t="s">
        <v>444</v>
      </c>
      <c r="C39" s="159">
        <f>IF(C35="",2,IF(C35&lt;&gt;"",0,1))</f>
        <v>0</v>
      </c>
      <c r="D39" s="159">
        <f t="shared" ref="D39:L39" si="3">IF(D35="",2,IF(D35&lt;&gt;"",0,1))</f>
        <v>0</v>
      </c>
      <c r="E39" s="159">
        <f t="shared" si="3"/>
        <v>0</v>
      </c>
      <c r="F39" s="159">
        <f t="shared" si="3"/>
        <v>0</v>
      </c>
      <c r="G39" s="159">
        <f t="shared" si="3"/>
        <v>0</v>
      </c>
      <c r="H39" s="159">
        <f t="shared" si="3"/>
        <v>0</v>
      </c>
      <c r="I39" s="159">
        <f t="shared" si="3"/>
        <v>0</v>
      </c>
      <c r="J39" s="159">
        <f t="shared" si="3"/>
        <v>0</v>
      </c>
      <c r="K39" s="159">
        <f t="shared" si="3"/>
        <v>0</v>
      </c>
      <c r="L39" s="159">
        <f t="shared" si="3"/>
        <v>0</v>
      </c>
      <c r="M39" s="159">
        <f>IF(M35="",2,IF(M35&lt;&gt;"",0,1))</f>
        <v>0</v>
      </c>
      <c r="N39" s="159">
        <f t="shared" ref="N39" si="4">IF(N35="",2,IF(N35&lt;&gt;"",0,1))</f>
        <v>0</v>
      </c>
      <c r="O39" s="159" t="str">
        <f>IF(R39&gt;1,"入力確認",IF(Q39=Q40,"入力済","未入力"))</f>
        <v>未入力</v>
      </c>
      <c r="P39" s="161">
        <f>P38</f>
        <v>4</v>
      </c>
      <c r="Q39" s="158">
        <f>COUNTIF($C39:$N39,0)</f>
        <v>12</v>
      </c>
      <c r="R39" s="158">
        <f>COUNTIF($C39:$N39,1)</f>
        <v>0</v>
      </c>
      <c r="S39" s="158">
        <f>COUNTIF($C39:$N39,2)</f>
        <v>0</v>
      </c>
      <c r="T39" s="158"/>
    </row>
    <row r="40" spans="2:20" ht="18.75" hidden="1" customHeight="1" x14ac:dyDescent="0.55000000000000004">
      <c r="B40" s="160" t="s">
        <v>445</v>
      </c>
      <c r="C40" s="159">
        <f>IF(AND(C36="",C38=""),2,IF(AND(C36&lt;&gt;"",C38&lt;&gt;""),0,1))</f>
        <v>0</v>
      </c>
      <c r="D40" s="159">
        <f t="shared" ref="D40:N40" si="5">IF(AND(D36="",D38=""),2,IF(AND(D36&lt;&gt;"",D38&lt;&gt;""),0,1))</f>
        <v>0</v>
      </c>
      <c r="E40" s="159">
        <f t="shared" si="5"/>
        <v>1</v>
      </c>
      <c r="F40" s="159">
        <f t="shared" si="5"/>
        <v>0</v>
      </c>
      <c r="G40" s="159">
        <f t="shared" si="5"/>
        <v>0</v>
      </c>
      <c r="H40" s="159">
        <f t="shared" si="5"/>
        <v>0</v>
      </c>
      <c r="I40" s="159">
        <f t="shared" si="5"/>
        <v>0</v>
      </c>
      <c r="J40" s="159">
        <f t="shared" si="5"/>
        <v>0</v>
      </c>
      <c r="K40" s="159">
        <f t="shared" si="5"/>
        <v>0</v>
      </c>
      <c r="L40" s="159">
        <f t="shared" si="5"/>
        <v>0</v>
      </c>
      <c r="M40" s="159">
        <f t="shared" si="5"/>
        <v>0</v>
      </c>
      <c r="N40" s="159">
        <f t="shared" si="5"/>
        <v>0</v>
      </c>
      <c r="O40" s="159" t="str">
        <f>IF(R40&gt;1,"入力確認",IF(Q40+S40=12,"入力済","未入力"))</f>
        <v>未入力</v>
      </c>
      <c r="P40" s="161"/>
      <c r="Q40" s="158">
        <f>COUNTIF($C40:$N40,0)</f>
        <v>11</v>
      </c>
      <c r="R40" s="158">
        <f>COUNTIF($C40:$N40,1)</f>
        <v>1</v>
      </c>
      <c r="S40" s="158">
        <f>COUNTIF($C40:$N40,2)</f>
        <v>0</v>
      </c>
    </row>
    <row r="41" spans="2:20" ht="18.75" hidden="1" customHeight="1" x14ac:dyDescent="0.55000000000000004">
      <c r="B41" s="160" t="s">
        <v>446</v>
      </c>
      <c r="C41" s="159">
        <f>IF(AND(C39=2,C40=2),2,IF(C39&lt;&gt;C40,1,IF(AND(C39=0,C40=0),0,4)))</f>
        <v>0</v>
      </c>
      <c r="D41" s="159">
        <f t="shared" ref="D41:N41" si="6">IF(AND(D39=2,D40=2),2,IF(D39&lt;&gt;D40,1,IF(AND(D39=0,D40=0),0,4)))</f>
        <v>0</v>
      </c>
      <c r="E41" s="159">
        <f t="shared" si="6"/>
        <v>1</v>
      </c>
      <c r="F41" s="159">
        <f t="shared" si="6"/>
        <v>0</v>
      </c>
      <c r="G41" s="159">
        <f t="shared" si="6"/>
        <v>0</v>
      </c>
      <c r="H41" s="159">
        <f t="shared" si="6"/>
        <v>0</v>
      </c>
      <c r="I41" s="159">
        <f t="shared" si="6"/>
        <v>0</v>
      </c>
      <c r="J41" s="159">
        <f t="shared" si="6"/>
        <v>0</v>
      </c>
      <c r="K41" s="159">
        <f t="shared" si="6"/>
        <v>0</v>
      </c>
      <c r="L41" s="159">
        <f t="shared" si="6"/>
        <v>0</v>
      </c>
      <c r="M41" s="159">
        <f t="shared" si="6"/>
        <v>0</v>
      </c>
      <c r="N41" s="159">
        <f t="shared" si="6"/>
        <v>0</v>
      </c>
      <c r="O41" s="159" t="str">
        <f>IF(R41&gt;1,"入力確認",IF(Q41+S41=12,"入力済","未入力"))</f>
        <v>未入力</v>
      </c>
      <c r="P41" s="161">
        <f>IF(O41="未入力",1,IF(O41="入力済",0,2))</f>
        <v>1</v>
      </c>
      <c r="Q41" s="158">
        <f>COUNTIF($C41:$N41,0)</f>
        <v>11</v>
      </c>
      <c r="R41" s="158">
        <f>COUNTIF($C41:$N41,1)</f>
        <v>1</v>
      </c>
      <c r="S41" s="158">
        <f>COUNTIF($C41:$N41,2)</f>
        <v>0</v>
      </c>
    </row>
    <row r="42" spans="2:20" x14ac:dyDescent="0.55000000000000004">
      <c r="E42" s="71"/>
      <c r="F42" s="71"/>
      <c r="G42" s="71"/>
      <c r="H42" s="71"/>
      <c r="O42" s="72"/>
    </row>
    <row r="43" spans="2:20" x14ac:dyDescent="0.55000000000000004">
      <c r="E43" s="71"/>
      <c r="F43" s="71"/>
      <c r="G43" s="71"/>
      <c r="H43" s="71"/>
      <c r="O43" s="72"/>
    </row>
    <row r="44" spans="2:20" ht="20.25" customHeight="1" thickBot="1" x14ac:dyDescent="0.6">
      <c r="B44" s="59" t="s">
        <v>200</v>
      </c>
      <c r="E44" s="341" t="s">
        <v>254</v>
      </c>
      <c r="F44" s="341"/>
      <c r="G44" s="62"/>
      <c r="H44" s="73"/>
      <c r="I44" s="73"/>
      <c r="K44" s="61"/>
    </row>
    <row r="45" spans="2:20" ht="19.5" customHeight="1" x14ac:dyDescent="0.55000000000000004">
      <c r="B45" s="330" t="s">
        <v>253</v>
      </c>
      <c r="C45" s="63" t="s">
        <v>32</v>
      </c>
      <c r="D45" s="64" t="s">
        <v>31</v>
      </c>
      <c r="E45" s="64" t="s">
        <v>30</v>
      </c>
      <c r="F45" s="64" t="s">
        <v>29</v>
      </c>
      <c r="G45" s="64" t="s">
        <v>28</v>
      </c>
      <c r="H45" s="64" t="s">
        <v>27</v>
      </c>
      <c r="I45" s="64" t="s">
        <v>26</v>
      </c>
      <c r="J45" s="64" t="s">
        <v>25</v>
      </c>
      <c r="K45" s="64" t="s">
        <v>24</v>
      </c>
      <c r="L45" s="63" t="s">
        <v>23</v>
      </c>
      <c r="M45" s="64" t="s">
        <v>22</v>
      </c>
      <c r="N45" s="68" t="s">
        <v>21</v>
      </c>
      <c r="O45" s="139"/>
      <c r="P45" s="69"/>
    </row>
    <row r="46" spans="2:20" ht="38.25" customHeight="1" x14ac:dyDescent="0.55000000000000004">
      <c r="B46" s="66" t="s">
        <v>412</v>
      </c>
      <c r="C46" s="331"/>
      <c r="D46" s="331"/>
      <c r="E46" s="331"/>
      <c r="F46" s="331"/>
      <c r="G46" s="331"/>
      <c r="H46" s="331"/>
      <c r="I46" s="331"/>
      <c r="J46" s="331"/>
      <c r="K46" s="331"/>
      <c r="L46" s="331"/>
      <c r="M46" s="331"/>
      <c r="N46" s="338"/>
      <c r="O46" s="134" t="s">
        <v>414</v>
      </c>
      <c r="P46" s="138" t="s">
        <v>413</v>
      </c>
    </row>
    <row r="47" spans="2:20" ht="19.5" customHeight="1" x14ac:dyDescent="0.55000000000000004">
      <c r="B47" s="65" t="s">
        <v>18</v>
      </c>
      <c r="C47" s="332"/>
      <c r="D47" s="332"/>
      <c r="E47" s="332"/>
      <c r="F47" s="332"/>
      <c r="G47" s="332"/>
      <c r="H47" s="332"/>
      <c r="I47" s="332"/>
      <c r="J47" s="332"/>
      <c r="K47" s="332"/>
      <c r="L47" s="332"/>
      <c r="M47" s="332"/>
      <c r="N47" s="332"/>
      <c r="O47" s="264" t="str">
        <f>IF(ISERROR(12*SUM(C47:N48)/COUNT(C47:N48)),"",12*SUM(C47:N48)/COUNT(C47:N48))</f>
        <v/>
      </c>
      <c r="P47" s="262" t="str">
        <f>IF(P50=0,"",IF(P52=1,"未入力欄を確認",IF(P50=1,"年度を選択",IF(P50=2,"エネルギー種別を選択",IF($E44="都市ガス",計算!$J$17,IF($E44="温水・冷水",計算!$J$18,IF($E44="産業用蒸気",計算!$J$19,IF($E44="産業用以外の蒸気",計算!$J$20,IF($E44="灯油",計算!$J$21,IF($E44="軽油",計算!$J$22,IF($E44="A重油",計算!$J$23,IF($E44="B・Ｃ重油",計算!$J$24,""))))))))))))</f>
        <v/>
      </c>
    </row>
    <row r="48" spans="2:20" ht="19.5" customHeight="1" thickBot="1" x14ac:dyDescent="0.6">
      <c r="B48" s="66" t="str">
        <f>IF(E44="都市ガス","［m3］",IF(OR(E44="温水・冷水",E44="産業用蒸気",E44="産業用以外の蒸気"),"［MJ］","［L］"))</f>
        <v>［L］</v>
      </c>
      <c r="C48" s="339"/>
      <c r="D48" s="339"/>
      <c r="E48" s="339"/>
      <c r="F48" s="339"/>
      <c r="G48" s="339"/>
      <c r="H48" s="339"/>
      <c r="I48" s="339"/>
      <c r="J48" s="334"/>
      <c r="K48" s="334"/>
      <c r="L48" s="334"/>
      <c r="M48" s="334"/>
      <c r="N48" s="334"/>
      <c r="O48" s="265"/>
      <c r="P48" s="263"/>
    </row>
    <row r="49" spans="2:20" ht="38.25" customHeight="1" thickTop="1" thickBot="1" x14ac:dyDescent="0.6">
      <c r="B49" s="67" t="s">
        <v>411</v>
      </c>
      <c r="C49" s="336"/>
      <c r="D49" s="336"/>
      <c r="E49" s="336"/>
      <c r="F49" s="336"/>
      <c r="G49" s="336"/>
      <c r="H49" s="336"/>
      <c r="I49" s="336"/>
      <c r="J49" s="340"/>
      <c r="K49" s="340"/>
      <c r="L49" s="340"/>
      <c r="M49" s="340"/>
      <c r="N49" s="340"/>
      <c r="O49" s="70" t="str">
        <f>IF(ISERROR(12*SUM(C49:N49)/COUNT(C49:N49)),"",12*SUM(C49:N49)/COUNT(C49:N49))</f>
        <v/>
      </c>
      <c r="P49" s="141">
        <f>IF(AND(O47="",O49="",P52=0),0,IF(OR(B45="",B45="年度を選択"),1,IF(OR(E44="",E44="エネルギー種別を選択"),2,4)))</f>
        <v>0</v>
      </c>
      <c r="Q49" s="158"/>
    </row>
    <row r="50" spans="2:20" ht="18.75" hidden="1" customHeight="1" x14ac:dyDescent="0.55000000000000004">
      <c r="B50" s="160" t="s">
        <v>444</v>
      </c>
      <c r="C50" s="159">
        <f>IF(C46="",2,IF(C46&lt;&gt;"",0,1))</f>
        <v>2</v>
      </c>
      <c r="D50" s="159">
        <f t="shared" ref="D50:L50" si="7">IF(D46="",2,IF(D46&lt;&gt;"",0,1))</f>
        <v>2</v>
      </c>
      <c r="E50" s="159">
        <f t="shared" si="7"/>
        <v>2</v>
      </c>
      <c r="F50" s="159">
        <f t="shared" si="7"/>
        <v>2</v>
      </c>
      <c r="G50" s="159">
        <f t="shared" si="7"/>
        <v>2</v>
      </c>
      <c r="H50" s="159">
        <f t="shared" si="7"/>
        <v>2</v>
      </c>
      <c r="I50" s="159">
        <f t="shared" si="7"/>
        <v>2</v>
      </c>
      <c r="J50" s="159">
        <f t="shared" si="7"/>
        <v>2</v>
      </c>
      <c r="K50" s="159">
        <f t="shared" si="7"/>
        <v>2</v>
      </c>
      <c r="L50" s="159">
        <f t="shared" si="7"/>
        <v>2</v>
      </c>
      <c r="M50" s="159">
        <f>IF(M46="",2,IF(M46&lt;&gt;"",0,1))</f>
        <v>2</v>
      </c>
      <c r="N50" s="159">
        <f t="shared" ref="N50" si="8">IF(N46="",2,IF(N46&lt;&gt;"",0,1))</f>
        <v>2</v>
      </c>
      <c r="O50" s="159" t="str">
        <f>IF(R50&gt;1,"入力確認",IF(Q50=Q51,"入力済","未入力"))</f>
        <v>入力済</v>
      </c>
      <c r="P50" s="161">
        <f>P49</f>
        <v>0</v>
      </c>
      <c r="Q50" s="158">
        <f>COUNTIF($C50:$N50,0)</f>
        <v>0</v>
      </c>
      <c r="R50" s="158">
        <f>COUNTIF($C50:$N50,1)</f>
        <v>0</v>
      </c>
      <c r="S50" s="158">
        <f>COUNTIF($C50:$N50,2)</f>
        <v>12</v>
      </c>
      <c r="T50" s="158"/>
    </row>
    <row r="51" spans="2:20" ht="18.75" hidden="1" customHeight="1" x14ac:dyDescent="0.55000000000000004">
      <c r="B51" s="160" t="s">
        <v>445</v>
      </c>
      <c r="C51" s="159">
        <f>IF(AND(C47="",C49=""),2,IF(AND(C47&lt;&gt;"",C49&lt;&gt;""),0,1))</f>
        <v>2</v>
      </c>
      <c r="D51" s="159">
        <f t="shared" ref="D51:N51" si="9">IF(AND(D47="",D49=""),2,IF(AND(D47&lt;&gt;"",D49&lt;&gt;""),0,1))</f>
        <v>2</v>
      </c>
      <c r="E51" s="159">
        <f t="shared" si="9"/>
        <v>2</v>
      </c>
      <c r="F51" s="159">
        <f t="shared" si="9"/>
        <v>2</v>
      </c>
      <c r="G51" s="159">
        <f t="shared" si="9"/>
        <v>2</v>
      </c>
      <c r="H51" s="159">
        <f t="shared" si="9"/>
        <v>2</v>
      </c>
      <c r="I51" s="159">
        <f t="shared" si="9"/>
        <v>2</v>
      </c>
      <c r="J51" s="159">
        <f t="shared" si="9"/>
        <v>2</v>
      </c>
      <c r="K51" s="159">
        <f t="shared" si="9"/>
        <v>2</v>
      </c>
      <c r="L51" s="159">
        <f t="shared" si="9"/>
        <v>2</v>
      </c>
      <c r="M51" s="159">
        <f t="shared" si="9"/>
        <v>2</v>
      </c>
      <c r="N51" s="159">
        <f t="shared" si="9"/>
        <v>2</v>
      </c>
      <c r="O51" s="159" t="str">
        <f>IF(R51&gt;1,"入力確認",IF(Q51+S51=12,"入力済","未入力"))</f>
        <v>入力済</v>
      </c>
      <c r="P51" s="161"/>
      <c r="Q51" s="158">
        <f>COUNTIF($C51:$N51,0)</f>
        <v>0</v>
      </c>
      <c r="R51" s="158">
        <f>COUNTIF($C51:$N51,1)</f>
        <v>0</v>
      </c>
      <c r="S51" s="158">
        <f>COUNTIF($C51:$N51,2)</f>
        <v>12</v>
      </c>
    </row>
    <row r="52" spans="2:20" ht="18.75" hidden="1" customHeight="1" x14ac:dyDescent="0.55000000000000004">
      <c r="B52" s="160" t="s">
        <v>446</v>
      </c>
      <c r="C52" s="159">
        <f>IF(AND(C50=2,C51=2),2,IF(C50&lt;&gt;C51,1,IF(AND(C50=0,C51=0),0,4)))</f>
        <v>2</v>
      </c>
      <c r="D52" s="159">
        <f t="shared" ref="D52:N52" si="10">IF(AND(D50=2,D51=2),2,IF(D50&lt;&gt;D51,1,IF(AND(D50=0,D51=0),0,4)))</f>
        <v>2</v>
      </c>
      <c r="E52" s="159">
        <f t="shared" si="10"/>
        <v>2</v>
      </c>
      <c r="F52" s="159">
        <f t="shared" si="10"/>
        <v>2</v>
      </c>
      <c r="G52" s="159">
        <f t="shared" si="10"/>
        <v>2</v>
      </c>
      <c r="H52" s="159">
        <f t="shared" si="10"/>
        <v>2</v>
      </c>
      <c r="I52" s="159">
        <f t="shared" si="10"/>
        <v>2</v>
      </c>
      <c r="J52" s="159">
        <f t="shared" si="10"/>
        <v>2</v>
      </c>
      <c r="K52" s="159">
        <f t="shared" si="10"/>
        <v>2</v>
      </c>
      <c r="L52" s="159">
        <f t="shared" si="10"/>
        <v>2</v>
      </c>
      <c r="M52" s="159">
        <f t="shared" si="10"/>
        <v>2</v>
      </c>
      <c r="N52" s="159">
        <f t="shared" si="10"/>
        <v>2</v>
      </c>
      <c r="O52" s="159" t="str">
        <f>IF(R52&gt;1,"入力確認",IF(Q52+S52=12,"入力済","未入力"))</f>
        <v>入力済</v>
      </c>
      <c r="P52" s="161">
        <f>IF(O52="未入力",1,IF(O52="入力済",0,2))</f>
        <v>0</v>
      </c>
      <c r="Q52" s="158">
        <f>COUNTIF($C52:$N52,0)</f>
        <v>0</v>
      </c>
      <c r="R52" s="158">
        <f>COUNTIF($C52:$N52,1)</f>
        <v>0</v>
      </c>
      <c r="S52" s="158">
        <f>COUNTIF($C52:$N52,2)</f>
        <v>12</v>
      </c>
    </row>
    <row r="53" spans="2:20" x14ac:dyDescent="0.55000000000000004">
      <c r="E53" s="71"/>
      <c r="F53" s="71"/>
      <c r="G53" s="71"/>
      <c r="H53" s="71"/>
      <c r="O53" s="72"/>
    </row>
    <row r="54" spans="2:20" x14ac:dyDescent="0.55000000000000004">
      <c r="E54" s="71"/>
      <c r="F54" s="71"/>
      <c r="G54" s="71"/>
      <c r="H54" s="71"/>
      <c r="O54" s="72"/>
    </row>
    <row r="55" spans="2:20" ht="20.25" customHeight="1" thickBot="1" x14ac:dyDescent="0.6">
      <c r="B55" s="59" t="s">
        <v>201</v>
      </c>
      <c r="E55" s="341" t="s">
        <v>254</v>
      </c>
      <c r="F55" s="341"/>
      <c r="G55" s="62"/>
      <c r="H55" s="73"/>
      <c r="I55" s="73"/>
      <c r="K55" s="61"/>
    </row>
    <row r="56" spans="2:20" ht="19.5" customHeight="1" x14ac:dyDescent="0.55000000000000004">
      <c r="B56" s="330" t="s">
        <v>253</v>
      </c>
      <c r="C56" s="63" t="s">
        <v>32</v>
      </c>
      <c r="D56" s="64" t="s">
        <v>31</v>
      </c>
      <c r="E56" s="64" t="s">
        <v>30</v>
      </c>
      <c r="F56" s="64" t="s">
        <v>29</v>
      </c>
      <c r="G56" s="64" t="s">
        <v>28</v>
      </c>
      <c r="H56" s="64" t="s">
        <v>27</v>
      </c>
      <c r="I56" s="64" t="s">
        <v>26</v>
      </c>
      <c r="J56" s="64" t="s">
        <v>25</v>
      </c>
      <c r="K56" s="64" t="s">
        <v>24</v>
      </c>
      <c r="L56" s="63" t="s">
        <v>23</v>
      </c>
      <c r="M56" s="64" t="s">
        <v>22</v>
      </c>
      <c r="N56" s="68" t="s">
        <v>21</v>
      </c>
      <c r="O56" s="139"/>
      <c r="P56" s="69"/>
    </row>
    <row r="57" spans="2:20" ht="38.25" customHeight="1" x14ac:dyDescent="0.55000000000000004">
      <c r="B57" s="66" t="s">
        <v>412</v>
      </c>
      <c r="C57" s="331"/>
      <c r="D57" s="331"/>
      <c r="E57" s="331"/>
      <c r="F57" s="331"/>
      <c r="G57" s="331"/>
      <c r="H57" s="331"/>
      <c r="I57" s="331"/>
      <c r="J57" s="331"/>
      <c r="K57" s="331"/>
      <c r="L57" s="342"/>
      <c r="M57" s="331"/>
      <c r="N57" s="338"/>
      <c r="O57" s="134" t="s">
        <v>414</v>
      </c>
      <c r="P57" s="138" t="s">
        <v>413</v>
      </c>
    </row>
    <row r="58" spans="2:20" ht="19.5" customHeight="1" x14ac:dyDescent="0.55000000000000004">
      <c r="B58" s="65" t="s">
        <v>18</v>
      </c>
      <c r="C58" s="332"/>
      <c r="D58" s="332"/>
      <c r="E58" s="332"/>
      <c r="F58" s="332"/>
      <c r="G58" s="332"/>
      <c r="H58" s="332"/>
      <c r="I58" s="332"/>
      <c r="J58" s="332"/>
      <c r="K58" s="332"/>
      <c r="L58" s="332"/>
      <c r="M58" s="332"/>
      <c r="N58" s="343"/>
      <c r="O58" s="264" t="str">
        <f>IF(ISERROR(12*SUM(C58:N59)/COUNT(C58:N59)),"",12*SUM(C58:N59)/COUNT(C58:N59))</f>
        <v/>
      </c>
      <c r="P58" s="262" t="str">
        <f>IF(P61=0,"",IF(P63=1,"未入力欄を確認",IF(P61=1,"年度を選択",IF(P61=2,"エネルギー種別を選択",IF($E55="温水・冷水",計算!$J$27,IF($E55="産業用蒸気",計算!$J$28,IF($E55="産業用以外の蒸気",計算!$J$29,IF($E55="灯油",計算!$J$30,IF($E55="軽油",計算!$J$31,IF($E55="A重油",計算!$J$32,IF($E55="B・Ｃ重油",計算!$J$33,"")))))))))))</f>
        <v/>
      </c>
    </row>
    <row r="59" spans="2:20" ht="19.5" customHeight="1" thickBot="1" x14ac:dyDescent="0.6">
      <c r="B59" s="66" t="str">
        <f>IF(OR(E55="温水・冷水",E55="産業用蒸気",E55="産業用以外の蒸気"),"［MJ］","［L］")</f>
        <v>［L］</v>
      </c>
      <c r="C59" s="339"/>
      <c r="D59" s="339"/>
      <c r="E59" s="339"/>
      <c r="F59" s="339"/>
      <c r="G59" s="339"/>
      <c r="H59" s="339"/>
      <c r="I59" s="339"/>
      <c r="J59" s="334"/>
      <c r="K59" s="334"/>
      <c r="L59" s="334"/>
      <c r="M59" s="334"/>
      <c r="N59" s="344"/>
      <c r="O59" s="265"/>
      <c r="P59" s="263"/>
    </row>
    <row r="60" spans="2:20" ht="38.25" customHeight="1" thickTop="1" thickBot="1" x14ac:dyDescent="0.6">
      <c r="B60" s="67" t="s">
        <v>411</v>
      </c>
      <c r="C60" s="336"/>
      <c r="D60" s="336"/>
      <c r="E60" s="336"/>
      <c r="F60" s="336"/>
      <c r="G60" s="336"/>
      <c r="H60" s="336"/>
      <c r="I60" s="336"/>
      <c r="J60" s="340"/>
      <c r="K60" s="340"/>
      <c r="L60" s="340"/>
      <c r="M60" s="340"/>
      <c r="N60" s="345"/>
      <c r="O60" s="70" t="str">
        <f>IF(ISERROR(12*SUM(C60:N60)/COUNT(C60:N60)),"",12*SUM(C60:N60)/COUNT(C60:N60))</f>
        <v/>
      </c>
      <c r="P60" s="98">
        <f>IF(AND(O58="",O60="",P63=0),0,IF(OR(B56="",B56="年度を選択"),1,IF(OR(E55="",E55="エネルギー種別を選択"),2,4)))</f>
        <v>0</v>
      </c>
      <c r="Q60" s="158"/>
    </row>
    <row r="61" spans="2:20" ht="18.75" hidden="1" customHeight="1" x14ac:dyDescent="0.55000000000000004">
      <c r="B61" s="160" t="s">
        <v>444</v>
      </c>
      <c r="C61" s="159">
        <f>IF(C57="",2,IF(C57&lt;&gt;"",0,1))</f>
        <v>2</v>
      </c>
      <c r="D61" s="159">
        <f t="shared" ref="D61:L61" si="11">IF(D57="",2,IF(D57&lt;&gt;"",0,1))</f>
        <v>2</v>
      </c>
      <c r="E61" s="159">
        <f t="shared" si="11"/>
        <v>2</v>
      </c>
      <c r="F61" s="159">
        <f t="shared" si="11"/>
        <v>2</v>
      </c>
      <c r="G61" s="159">
        <f t="shared" si="11"/>
        <v>2</v>
      </c>
      <c r="H61" s="159">
        <f t="shared" si="11"/>
        <v>2</v>
      </c>
      <c r="I61" s="159">
        <f t="shared" si="11"/>
        <v>2</v>
      </c>
      <c r="J61" s="159">
        <f t="shared" si="11"/>
        <v>2</v>
      </c>
      <c r="K61" s="159">
        <f t="shared" si="11"/>
        <v>2</v>
      </c>
      <c r="L61" s="159">
        <f t="shared" si="11"/>
        <v>2</v>
      </c>
      <c r="M61" s="159">
        <f>IF(M57="",2,IF(M57&lt;&gt;"",0,1))</f>
        <v>2</v>
      </c>
      <c r="N61" s="159">
        <f t="shared" ref="N61" si="12">IF(N57="",2,IF(N57&lt;&gt;"",0,1))</f>
        <v>2</v>
      </c>
      <c r="O61" s="159" t="str">
        <f>IF(R61&gt;1,"入力確認",IF(Q61=Q62,"入力済","未入力"))</f>
        <v>入力済</v>
      </c>
      <c r="P61" s="161">
        <f>P60</f>
        <v>0</v>
      </c>
      <c r="Q61" s="158">
        <f>COUNTIF($C61:$N61,0)</f>
        <v>0</v>
      </c>
      <c r="R61" s="158">
        <f>COUNTIF($C61:$N61,1)</f>
        <v>0</v>
      </c>
      <c r="S61" s="158">
        <f>COUNTIF($C61:$N61,2)</f>
        <v>12</v>
      </c>
      <c r="T61" s="158"/>
    </row>
    <row r="62" spans="2:20" ht="18.75" hidden="1" customHeight="1" x14ac:dyDescent="0.55000000000000004">
      <c r="B62" s="160" t="s">
        <v>445</v>
      </c>
      <c r="C62" s="159">
        <f>IF(AND(C58="",C60=""),2,IF(AND(C58&lt;&gt;"",C60&lt;&gt;""),0,1))</f>
        <v>2</v>
      </c>
      <c r="D62" s="159">
        <f t="shared" ref="D62:N62" si="13">IF(AND(D58="",D60=""),2,IF(AND(D58&lt;&gt;"",D60&lt;&gt;""),0,1))</f>
        <v>2</v>
      </c>
      <c r="E62" s="159">
        <f t="shared" si="13"/>
        <v>2</v>
      </c>
      <c r="F62" s="159">
        <f t="shared" si="13"/>
        <v>2</v>
      </c>
      <c r="G62" s="159">
        <f t="shared" si="13"/>
        <v>2</v>
      </c>
      <c r="H62" s="159">
        <f t="shared" si="13"/>
        <v>2</v>
      </c>
      <c r="I62" s="159">
        <f t="shared" si="13"/>
        <v>2</v>
      </c>
      <c r="J62" s="159">
        <f t="shared" si="13"/>
        <v>2</v>
      </c>
      <c r="K62" s="159">
        <f t="shared" si="13"/>
        <v>2</v>
      </c>
      <c r="L62" s="159">
        <f t="shared" si="13"/>
        <v>2</v>
      </c>
      <c r="M62" s="159">
        <f t="shared" si="13"/>
        <v>2</v>
      </c>
      <c r="N62" s="159">
        <f t="shared" si="13"/>
        <v>2</v>
      </c>
      <c r="O62" s="159" t="str">
        <f>IF(R62&gt;1,"入力確認",IF(Q62+S62=12,"入力済","未入力"))</f>
        <v>入力済</v>
      </c>
      <c r="P62" s="161"/>
      <c r="Q62" s="158">
        <f>COUNTIF($C62:$N62,0)</f>
        <v>0</v>
      </c>
      <c r="R62" s="158">
        <f>COUNTIF($C62:$N62,1)</f>
        <v>0</v>
      </c>
      <c r="S62" s="158">
        <f>COUNTIF($C62:$N62,2)</f>
        <v>12</v>
      </c>
    </row>
    <row r="63" spans="2:20" ht="18.75" hidden="1" customHeight="1" x14ac:dyDescent="0.55000000000000004">
      <c r="B63" s="160" t="s">
        <v>446</v>
      </c>
      <c r="C63" s="159">
        <f>IF(AND(C61=2,C62=2),2,IF(C61&lt;&gt;C62,1,IF(AND(C61=0,C62=0),0,4)))</f>
        <v>2</v>
      </c>
      <c r="D63" s="159">
        <f t="shared" ref="D63:N63" si="14">IF(AND(D61=2,D62=2),2,IF(D61&lt;&gt;D62,1,IF(AND(D61=0,D62=0),0,4)))</f>
        <v>2</v>
      </c>
      <c r="E63" s="159">
        <f t="shared" si="14"/>
        <v>2</v>
      </c>
      <c r="F63" s="159">
        <f t="shared" si="14"/>
        <v>2</v>
      </c>
      <c r="G63" s="159">
        <f t="shared" si="14"/>
        <v>2</v>
      </c>
      <c r="H63" s="159">
        <f t="shared" si="14"/>
        <v>2</v>
      </c>
      <c r="I63" s="159">
        <f t="shared" si="14"/>
        <v>2</v>
      </c>
      <c r="J63" s="159">
        <f t="shared" si="14"/>
        <v>2</v>
      </c>
      <c r="K63" s="159">
        <f t="shared" si="14"/>
        <v>2</v>
      </c>
      <c r="L63" s="159">
        <f t="shared" si="14"/>
        <v>2</v>
      </c>
      <c r="M63" s="159">
        <f t="shared" si="14"/>
        <v>2</v>
      </c>
      <c r="N63" s="159">
        <f t="shared" si="14"/>
        <v>2</v>
      </c>
      <c r="O63" s="159" t="str">
        <f>IF(R63&gt;1,"入力確認",IF(Q63+S63=12,"入力済","未入力"))</f>
        <v>入力済</v>
      </c>
      <c r="P63" s="161">
        <f>IF(O63="未入力",1,IF(O63="入力済",0,2))</f>
        <v>0</v>
      </c>
      <c r="Q63" s="158">
        <f>COUNTIF($C63:$N63,0)</f>
        <v>0</v>
      </c>
      <c r="R63" s="158">
        <f>COUNTIF($C63:$N63,1)</f>
        <v>0</v>
      </c>
      <c r="S63" s="158">
        <f>COUNTIF($C63:$N63,2)</f>
        <v>12</v>
      </c>
    </row>
    <row r="64" spans="2:20" x14ac:dyDescent="0.55000000000000004">
      <c r="E64" s="71"/>
      <c r="F64" s="71"/>
      <c r="G64" s="71"/>
      <c r="H64" s="71"/>
      <c r="O64" s="72"/>
    </row>
    <row r="65" spans="2:20" x14ac:dyDescent="0.55000000000000004">
      <c r="E65" s="71"/>
      <c r="F65" s="71"/>
      <c r="G65" s="71"/>
      <c r="H65" s="71"/>
      <c r="O65" s="72"/>
    </row>
    <row r="66" spans="2:20" ht="20.25" customHeight="1" thickBot="1" x14ac:dyDescent="0.6">
      <c r="B66" s="59" t="s">
        <v>202</v>
      </c>
      <c r="E66" s="341" t="s">
        <v>254</v>
      </c>
      <c r="F66" s="341"/>
      <c r="G66" s="62"/>
      <c r="H66" s="73"/>
      <c r="I66" s="73"/>
      <c r="K66" s="61"/>
    </row>
    <row r="67" spans="2:20" ht="19.5" customHeight="1" x14ac:dyDescent="0.55000000000000004">
      <c r="B67" s="330" t="s">
        <v>253</v>
      </c>
      <c r="C67" s="63" t="s">
        <v>32</v>
      </c>
      <c r="D67" s="64" t="s">
        <v>31</v>
      </c>
      <c r="E67" s="64" t="s">
        <v>30</v>
      </c>
      <c r="F67" s="64" t="s">
        <v>29</v>
      </c>
      <c r="G67" s="64" t="s">
        <v>28</v>
      </c>
      <c r="H67" s="64" t="s">
        <v>27</v>
      </c>
      <c r="I67" s="64" t="s">
        <v>26</v>
      </c>
      <c r="J67" s="64" t="s">
        <v>25</v>
      </c>
      <c r="K67" s="64" t="s">
        <v>24</v>
      </c>
      <c r="L67" s="63" t="s">
        <v>23</v>
      </c>
      <c r="M67" s="64" t="s">
        <v>22</v>
      </c>
      <c r="N67" s="68" t="s">
        <v>21</v>
      </c>
      <c r="O67" s="139"/>
      <c r="P67" s="69"/>
    </row>
    <row r="68" spans="2:20" ht="38.25" customHeight="1" x14ac:dyDescent="0.55000000000000004">
      <c r="B68" s="66" t="s">
        <v>412</v>
      </c>
      <c r="C68" s="331"/>
      <c r="D68" s="331"/>
      <c r="E68" s="331"/>
      <c r="F68" s="331"/>
      <c r="G68" s="331"/>
      <c r="H68" s="331"/>
      <c r="I68" s="331"/>
      <c r="J68" s="331"/>
      <c r="K68" s="331"/>
      <c r="L68" s="331"/>
      <c r="M68" s="331"/>
      <c r="N68" s="338"/>
      <c r="O68" s="134" t="s">
        <v>414</v>
      </c>
      <c r="P68" s="138" t="s">
        <v>413</v>
      </c>
    </row>
    <row r="69" spans="2:20" ht="19.5" customHeight="1" x14ac:dyDescent="0.55000000000000004">
      <c r="B69" s="65" t="s">
        <v>18</v>
      </c>
      <c r="C69" s="332"/>
      <c r="D69" s="332"/>
      <c r="E69" s="332"/>
      <c r="F69" s="332"/>
      <c r="G69" s="332"/>
      <c r="H69" s="332"/>
      <c r="I69" s="332"/>
      <c r="J69" s="332"/>
      <c r="K69" s="332"/>
      <c r="L69" s="332"/>
      <c r="M69" s="332"/>
      <c r="N69" s="332"/>
      <c r="O69" s="264" t="str">
        <f>IF(ISERROR(12*SUM(C69:N70)/COUNT(C69:N70)),"",12*SUM(C69:N70)/COUNT(C69:N70))</f>
        <v/>
      </c>
      <c r="P69" s="262" t="str">
        <f>IF(P72=0,"",IF(P74=1,"未入力欄を確認",IF(P72=1,"年度を選択",IF(P72=2,"エネルギー種別を選択",IF($E66="温水・冷水",計算!$J$36,IF($E66="産業用蒸気",計算!$J$37,IF($E66="産業用以外の蒸気",計算!$J$38,IF($E66="灯油",計算!$J$39,IF($E66="軽油",計算!$J$40,IF($E66="A重油",計算!$J$41,IF($E66="B・Ｃ重油",計算!$J$42,"")))))))))))</f>
        <v/>
      </c>
    </row>
    <row r="70" spans="2:20" ht="19.5" customHeight="1" thickBot="1" x14ac:dyDescent="0.6">
      <c r="B70" s="66" t="str">
        <f>IF(OR(E66="温水・冷水",E66="産業用蒸気",E66="産業用以外の蒸気"),"［MJ］","［L］")</f>
        <v>［L］</v>
      </c>
      <c r="C70" s="339"/>
      <c r="D70" s="339"/>
      <c r="E70" s="339"/>
      <c r="F70" s="339"/>
      <c r="G70" s="339"/>
      <c r="H70" s="339"/>
      <c r="I70" s="339"/>
      <c r="J70" s="334"/>
      <c r="K70" s="334"/>
      <c r="L70" s="334"/>
      <c r="M70" s="334"/>
      <c r="N70" s="334"/>
      <c r="O70" s="265"/>
      <c r="P70" s="263"/>
    </row>
    <row r="71" spans="2:20" ht="38.25" customHeight="1" thickTop="1" thickBot="1" x14ac:dyDescent="0.6">
      <c r="B71" s="67" t="s">
        <v>411</v>
      </c>
      <c r="C71" s="336"/>
      <c r="D71" s="336"/>
      <c r="E71" s="336"/>
      <c r="F71" s="336"/>
      <c r="G71" s="336"/>
      <c r="H71" s="336"/>
      <c r="I71" s="336"/>
      <c r="J71" s="340"/>
      <c r="K71" s="340"/>
      <c r="L71" s="340"/>
      <c r="M71" s="340"/>
      <c r="N71" s="340"/>
      <c r="O71" s="70" t="str">
        <f>IF(ISERROR(12*SUM(C71:N71)/COUNT(C71:N71)),"",12*SUM(C71:N71)/COUNT(C71:N71))</f>
        <v/>
      </c>
      <c r="P71" s="98">
        <f>IF(AND(O69="",O71="",P74=0),0,IF(OR(B67="",B67="年度を選択"),1,IF(OR(E66="",E66="エネルギー種別を選択"),2,4)))</f>
        <v>0</v>
      </c>
      <c r="Q71" s="158"/>
    </row>
    <row r="72" spans="2:20" ht="18.75" hidden="1" customHeight="1" x14ac:dyDescent="0.55000000000000004">
      <c r="B72" s="160" t="s">
        <v>444</v>
      </c>
      <c r="C72" s="159">
        <f>IF(C68="",2,IF(C68&lt;&gt;"",0,1))</f>
        <v>2</v>
      </c>
      <c r="D72" s="159">
        <f t="shared" ref="D72:L72" si="15">IF(D68="",2,IF(D68&lt;&gt;"",0,1))</f>
        <v>2</v>
      </c>
      <c r="E72" s="159">
        <f t="shared" si="15"/>
        <v>2</v>
      </c>
      <c r="F72" s="159">
        <f t="shared" si="15"/>
        <v>2</v>
      </c>
      <c r="G72" s="159">
        <f t="shared" si="15"/>
        <v>2</v>
      </c>
      <c r="H72" s="159">
        <f t="shared" si="15"/>
        <v>2</v>
      </c>
      <c r="I72" s="159">
        <f t="shared" si="15"/>
        <v>2</v>
      </c>
      <c r="J72" s="159">
        <f t="shared" si="15"/>
        <v>2</v>
      </c>
      <c r="K72" s="159">
        <f t="shared" si="15"/>
        <v>2</v>
      </c>
      <c r="L72" s="159">
        <f t="shared" si="15"/>
        <v>2</v>
      </c>
      <c r="M72" s="159">
        <f>IF(M68="",2,IF(M68&lt;&gt;"",0,1))</f>
        <v>2</v>
      </c>
      <c r="N72" s="159">
        <f t="shared" ref="N72" si="16">IF(N68="",2,IF(N68&lt;&gt;"",0,1))</f>
        <v>2</v>
      </c>
      <c r="O72" s="159" t="str">
        <f>IF(R72&gt;1,"入力確認",IF(Q72=Q73,"入力済","未入力"))</f>
        <v>入力済</v>
      </c>
      <c r="P72" s="161">
        <f>P71</f>
        <v>0</v>
      </c>
      <c r="Q72" s="158">
        <f>COUNTIF($C72:$N72,0)</f>
        <v>0</v>
      </c>
      <c r="R72" s="158">
        <f>COUNTIF($C72:$N72,1)</f>
        <v>0</v>
      </c>
      <c r="S72" s="158">
        <f>COUNTIF($C72:$N72,2)</f>
        <v>12</v>
      </c>
      <c r="T72" s="158"/>
    </row>
    <row r="73" spans="2:20" ht="18.75" hidden="1" customHeight="1" x14ac:dyDescent="0.55000000000000004">
      <c r="B73" s="160" t="s">
        <v>445</v>
      </c>
      <c r="C73" s="159">
        <f>IF(AND(C69="",C71=""),2,IF(AND(C69&lt;&gt;"",C71&lt;&gt;""),0,1))</f>
        <v>2</v>
      </c>
      <c r="D73" s="159">
        <f t="shared" ref="D73:N73" si="17">IF(AND(D69="",D71=""),2,IF(AND(D69&lt;&gt;"",D71&lt;&gt;""),0,1))</f>
        <v>2</v>
      </c>
      <c r="E73" s="159">
        <f t="shared" si="17"/>
        <v>2</v>
      </c>
      <c r="F73" s="159">
        <f t="shared" si="17"/>
        <v>2</v>
      </c>
      <c r="G73" s="159">
        <f t="shared" si="17"/>
        <v>2</v>
      </c>
      <c r="H73" s="159">
        <f t="shared" si="17"/>
        <v>2</v>
      </c>
      <c r="I73" s="159">
        <f t="shared" si="17"/>
        <v>2</v>
      </c>
      <c r="J73" s="159">
        <f t="shared" si="17"/>
        <v>2</v>
      </c>
      <c r="K73" s="159">
        <f t="shared" si="17"/>
        <v>2</v>
      </c>
      <c r="L73" s="159">
        <f t="shared" si="17"/>
        <v>2</v>
      </c>
      <c r="M73" s="159">
        <f t="shared" si="17"/>
        <v>2</v>
      </c>
      <c r="N73" s="159">
        <f t="shared" si="17"/>
        <v>2</v>
      </c>
      <c r="O73" s="159" t="str">
        <f>IF(R73&gt;1,"入力確認",IF(Q73+S73=12,"入力済","未入力"))</f>
        <v>入力済</v>
      </c>
      <c r="P73" s="161"/>
      <c r="Q73" s="158">
        <f>COUNTIF($C73:$N73,0)</f>
        <v>0</v>
      </c>
      <c r="R73" s="158">
        <f>COUNTIF($C73:$N73,1)</f>
        <v>0</v>
      </c>
      <c r="S73" s="158">
        <f>COUNTIF($C73:$N73,2)</f>
        <v>12</v>
      </c>
    </row>
    <row r="74" spans="2:20" ht="18.75" hidden="1" customHeight="1" x14ac:dyDescent="0.55000000000000004">
      <c r="B74" s="160" t="s">
        <v>446</v>
      </c>
      <c r="C74" s="159">
        <f>IF(AND(C72=2,C73=2),2,IF(C72&lt;&gt;C73,1,IF(AND(C72=0,C73=0),0,4)))</f>
        <v>2</v>
      </c>
      <c r="D74" s="159">
        <f t="shared" ref="D74:N74" si="18">IF(AND(D72=2,D73=2),2,IF(D72&lt;&gt;D73,1,IF(AND(D72=0,D73=0),0,4)))</f>
        <v>2</v>
      </c>
      <c r="E74" s="159">
        <f t="shared" si="18"/>
        <v>2</v>
      </c>
      <c r="F74" s="159">
        <f t="shared" si="18"/>
        <v>2</v>
      </c>
      <c r="G74" s="159">
        <f t="shared" si="18"/>
        <v>2</v>
      </c>
      <c r="H74" s="159">
        <f t="shared" si="18"/>
        <v>2</v>
      </c>
      <c r="I74" s="159">
        <f t="shared" si="18"/>
        <v>2</v>
      </c>
      <c r="J74" s="159">
        <f t="shared" si="18"/>
        <v>2</v>
      </c>
      <c r="K74" s="159">
        <f t="shared" si="18"/>
        <v>2</v>
      </c>
      <c r="L74" s="159">
        <f t="shared" si="18"/>
        <v>2</v>
      </c>
      <c r="M74" s="159">
        <f t="shared" si="18"/>
        <v>2</v>
      </c>
      <c r="N74" s="159">
        <f t="shared" si="18"/>
        <v>2</v>
      </c>
      <c r="O74" s="159" t="str">
        <f>IF(R74&gt;1,"入力確認",IF(Q74+S74=12,"入力済","未入力"))</f>
        <v>入力済</v>
      </c>
      <c r="P74" s="161">
        <f>IF(O74="未入力",1,IF(O74="入力済",0,2))</f>
        <v>0</v>
      </c>
      <c r="Q74" s="158">
        <f>COUNTIF($C74:$N74,0)</f>
        <v>0</v>
      </c>
      <c r="R74" s="158">
        <f>COUNTIF($C74:$N74,1)</f>
        <v>0</v>
      </c>
      <c r="S74" s="158">
        <f>COUNTIF($C74:$N74,2)</f>
        <v>12</v>
      </c>
    </row>
    <row r="75" spans="2:20" x14ac:dyDescent="0.55000000000000004">
      <c r="E75" s="71"/>
      <c r="F75" s="71"/>
      <c r="G75" s="71"/>
      <c r="H75" s="71"/>
      <c r="O75" s="72"/>
    </row>
    <row r="76" spans="2:20" x14ac:dyDescent="0.55000000000000004">
      <c r="E76" s="71"/>
      <c r="F76" s="71"/>
      <c r="G76" s="71"/>
      <c r="H76" s="71"/>
      <c r="O76" s="72"/>
    </row>
    <row r="77" spans="2:20" ht="20.25" customHeight="1" thickBot="1" x14ac:dyDescent="0.6">
      <c r="B77" s="59" t="s">
        <v>203</v>
      </c>
      <c r="E77" s="341" t="s">
        <v>254</v>
      </c>
      <c r="F77" s="341"/>
      <c r="G77" s="62"/>
      <c r="H77" s="73"/>
      <c r="I77" s="73"/>
      <c r="K77" s="61"/>
    </row>
    <row r="78" spans="2:20" ht="19.5" customHeight="1" x14ac:dyDescent="0.55000000000000004">
      <c r="B78" s="330" t="s">
        <v>253</v>
      </c>
      <c r="C78" s="63" t="s">
        <v>32</v>
      </c>
      <c r="D78" s="64" t="s">
        <v>31</v>
      </c>
      <c r="E78" s="64" t="s">
        <v>30</v>
      </c>
      <c r="F78" s="64" t="s">
        <v>29</v>
      </c>
      <c r="G78" s="64" t="s">
        <v>28</v>
      </c>
      <c r="H78" s="64" t="s">
        <v>27</v>
      </c>
      <c r="I78" s="64" t="s">
        <v>26</v>
      </c>
      <c r="J78" s="64" t="s">
        <v>25</v>
      </c>
      <c r="K78" s="64" t="s">
        <v>24</v>
      </c>
      <c r="L78" s="63" t="s">
        <v>23</v>
      </c>
      <c r="M78" s="64" t="s">
        <v>22</v>
      </c>
      <c r="N78" s="68" t="s">
        <v>21</v>
      </c>
      <c r="O78" s="139"/>
      <c r="P78" s="69"/>
    </row>
    <row r="79" spans="2:20" ht="38.25" customHeight="1" x14ac:dyDescent="0.55000000000000004">
      <c r="B79" s="66" t="s">
        <v>412</v>
      </c>
      <c r="C79" s="331"/>
      <c r="D79" s="331"/>
      <c r="E79" s="331"/>
      <c r="F79" s="331"/>
      <c r="G79" s="331"/>
      <c r="H79" s="331"/>
      <c r="I79" s="331"/>
      <c r="J79" s="331"/>
      <c r="K79" s="331"/>
      <c r="L79" s="331"/>
      <c r="M79" s="331"/>
      <c r="N79" s="338"/>
      <c r="O79" s="134" t="s">
        <v>414</v>
      </c>
      <c r="P79" s="138" t="s">
        <v>413</v>
      </c>
    </row>
    <row r="80" spans="2:20" ht="19.5" customHeight="1" x14ac:dyDescent="0.55000000000000004">
      <c r="B80" s="65" t="s">
        <v>18</v>
      </c>
      <c r="C80" s="332"/>
      <c r="D80" s="332"/>
      <c r="E80" s="332"/>
      <c r="F80" s="332"/>
      <c r="G80" s="332"/>
      <c r="H80" s="332"/>
      <c r="I80" s="332"/>
      <c r="J80" s="332"/>
      <c r="K80" s="332"/>
      <c r="L80" s="332"/>
      <c r="M80" s="332"/>
      <c r="N80" s="332"/>
      <c r="O80" s="264" t="str">
        <f>IF(ISERROR(12*SUM(C80:N81)/COUNT(C80:N81)),"",12*SUM(C80:N81)/COUNT(C80:N81))</f>
        <v/>
      </c>
      <c r="P80" s="262" t="str">
        <f>IF(P83=0,"",IF(P85=1,"未入力欄を確認",IF(P83=1,"年度を選択",IF(P83=2,"エネルギー種別を選択",IF($E77="温水・冷水",計算!$J$45,IF($E77="産業用蒸気",計算!$J$46,IF($E77="産業用以外の蒸気",計算!$J$47,IF($E77="灯油",計算!$J$48,IF($E77="軽油",計算!$J$49,IF($E77="A重油",計算!$J$50,IF($E77="B・Ｃ重油",計算!J51,"")))))))))))</f>
        <v/>
      </c>
    </row>
    <row r="81" spans="2:20" ht="19.5" customHeight="1" thickBot="1" x14ac:dyDescent="0.6">
      <c r="B81" s="66" t="str">
        <f>IF(OR(E77="温水・冷水",E77="産業用蒸気",E77="産業用以外の蒸気"),"［MJ］","［L］")</f>
        <v>［L］</v>
      </c>
      <c r="C81" s="339"/>
      <c r="D81" s="339"/>
      <c r="E81" s="339"/>
      <c r="F81" s="339"/>
      <c r="G81" s="339"/>
      <c r="H81" s="339"/>
      <c r="I81" s="339"/>
      <c r="J81" s="334"/>
      <c r="K81" s="334"/>
      <c r="L81" s="334"/>
      <c r="M81" s="334"/>
      <c r="N81" s="334"/>
      <c r="O81" s="265"/>
      <c r="P81" s="263"/>
    </row>
    <row r="82" spans="2:20" ht="38.25" customHeight="1" thickTop="1" thickBot="1" x14ac:dyDescent="0.6">
      <c r="B82" s="67" t="s">
        <v>411</v>
      </c>
      <c r="C82" s="336"/>
      <c r="D82" s="336"/>
      <c r="E82" s="336"/>
      <c r="F82" s="336"/>
      <c r="G82" s="336"/>
      <c r="H82" s="336"/>
      <c r="I82" s="336"/>
      <c r="J82" s="340"/>
      <c r="K82" s="340"/>
      <c r="L82" s="340"/>
      <c r="M82" s="340"/>
      <c r="N82" s="340"/>
      <c r="O82" s="70" t="str">
        <f>IF(ISERROR(12*SUM(C82:N82)/COUNT(C82:N82)),"",12*SUM(C82:N82)/COUNT(C82:N82))</f>
        <v/>
      </c>
      <c r="P82" s="98">
        <f>IF(AND(O80="",O82="",P85=0),0,IF(OR(B78="",B78="年度を選択"),1,IF(OR(E77="",E77="エネルギー種別を選択"),2,4)))</f>
        <v>0</v>
      </c>
      <c r="Q82" s="158"/>
    </row>
    <row r="83" spans="2:20" ht="18.75" hidden="1" customHeight="1" x14ac:dyDescent="0.55000000000000004">
      <c r="B83" s="160" t="s">
        <v>444</v>
      </c>
      <c r="C83" s="159">
        <f>IF(C79="",2,IF(C79&lt;&gt;"",0,1))</f>
        <v>2</v>
      </c>
      <c r="D83" s="159">
        <f t="shared" ref="D83:L83" si="19">IF(D79="",2,IF(D79&lt;&gt;"",0,1))</f>
        <v>2</v>
      </c>
      <c r="E83" s="159">
        <f t="shared" si="19"/>
        <v>2</v>
      </c>
      <c r="F83" s="159">
        <f t="shared" si="19"/>
        <v>2</v>
      </c>
      <c r="G83" s="159">
        <f t="shared" si="19"/>
        <v>2</v>
      </c>
      <c r="H83" s="159">
        <f t="shared" si="19"/>
        <v>2</v>
      </c>
      <c r="I83" s="159">
        <f t="shared" si="19"/>
        <v>2</v>
      </c>
      <c r="J83" s="159">
        <f t="shared" si="19"/>
        <v>2</v>
      </c>
      <c r="K83" s="159">
        <f t="shared" si="19"/>
        <v>2</v>
      </c>
      <c r="L83" s="159">
        <f t="shared" si="19"/>
        <v>2</v>
      </c>
      <c r="M83" s="159">
        <f>IF(M79="",2,IF(M79&lt;&gt;"",0,1))</f>
        <v>2</v>
      </c>
      <c r="N83" s="159">
        <f t="shared" ref="N83" si="20">IF(N79="",2,IF(N79&lt;&gt;"",0,1))</f>
        <v>2</v>
      </c>
      <c r="O83" s="159" t="str">
        <f>IF(R83&gt;1,"入力確認",IF(Q83=Q84,"入力済","未入力"))</f>
        <v>入力済</v>
      </c>
      <c r="P83" s="161">
        <f>P82</f>
        <v>0</v>
      </c>
      <c r="Q83" s="158">
        <f>COUNTIF($C83:$N83,0)</f>
        <v>0</v>
      </c>
      <c r="R83" s="158">
        <f>COUNTIF($C83:$N83,1)</f>
        <v>0</v>
      </c>
      <c r="S83" s="158">
        <f>COUNTIF($C83:$N83,2)</f>
        <v>12</v>
      </c>
      <c r="T83" s="158"/>
    </row>
    <row r="84" spans="2:20" ht="18.75" hidden="1" customHeight="1" x14ac:dyDescent="0.55000000000000004">
      <c r="B84" s="160" t="s">
        <v>445</v>
      </c>
      <c r="C84" s="159">
        <f>IF(AND(C80="",C82=""),2,IF(AND(C80&lt;&gt;"",C82&lt;&gt;""),0,1))</f>
        <v>2</v>
      </c>
      <c r="D84" s="159">
        <f t="shared" ref="D84:N84" si="21">IF(AND(D80="",D82=""),2,IF(AND(D80&lt;&gt;"",D82&lt;&gt;""),0,1))</f>
        <v>2</v>
      </c>
      <c r="E84" s="159">
        <f t="shared" si="21"/>
        <v>2</v>
      </c>
      <c r="F84" s="159">
        <f t="shared" si="21"/>
        <v>2</v>
      </c>
      <c r="G84" s="159">
        <f t="shared" si="21"/>
        <v>2</v>
      </c>
      <c r="H84" s="159">
        <f t="shared" si="21"/>
        <v>2</v>
      </c>
      <c r="I84" s="159">
        <f t="shared" si="21"/>
        <v>2</v>
      </c>
      <c r="J84" s="159">
        <f t="shared" si="21"/>
        <v>2</v>
      </c>
      <c r="K84" s="159">
        <f t="shared" si="21"/>
        <v>2</v>
      </c>
      <c r="L84" s="159">
        <f t="shared" si="21"/>
        <v>2</v>
      </c>
      <c r="M84" s="159">
        <f t="shared" si="21"/>
        <v>2</v>
      </c>
      <c r="N84" s="159">
        <f t="shared" si="21"/>
        <v>2</v>
      </c>
      <c r="O84" s="159" t="str">
        <f>IF(R84&gt;1,"入力確認",IF(Q84+S84=12,"入力済","未入力"))</f>
        <v>入力済</v>
      </c>
      <c r="P84" s="161"/>
      <c r="Q84" s="158">
        <f>COUNTIF($C84:$N84,0)</f>
        <v>0</v>
      </c>
      <c r="R84" s="158">
        <f>COUNTIF($C84:$N84,1)</f>
        <v>0</v>
      </c>
      <c r="S84" s="158">
        <f>COUNTIF($C84:$N84,2)</f>
        <v>12</v>
      </c>
    </row>
    <row r="85" spans="2:20" ht="18.75" hidden="1" customHeight="1" x14ac:dyDescent="0.55000000000000004">
      <c r="B85" s="160" t="s">
        <v>446</v>
      </c>
      <c r="C85" s="159">
        <f>IF(AND(C83=2,C84=2),2,IF(C83&lt;&gt;C84,1,IF(AND(C83=0,C84=0),0,4)))</f>
        <v>2</v>
      </c>
      <c r="D85" s="159">
        <f t="shared" ref="D85:N85" si="22">IF(AND(D83=2,D84=2),2,IF(D83&lt;&gt;D84,1,IF(AND(D83=0,D84=0),0,4)))</f>
        <v>2</v>
      </c>
      <c r="E85" s="159">
        <f t="shared" si="22"/>
        <v>2</v>
      </c>
      <c r="F85" s="159">
        <f t="shared" si="22"/>
        <v>2</v>
      </c>
      <c r="G85" s="159">
        <f t="shared" si="22"/>
        <v>2</v>
      </c>
      <c r="H85" s="159">
        <f t="shared" si="22"/>
        <v>2</v>
      </c>
      <c r="I85" s="159">
        <f t="shared" si="22"/>
        <v>2</v>
      </c>
      <c r="J85" s="159">
        <f t="shared" si="22"/>
        <v>2</v>
      </c>
      <c r="K85" s="159">
        <f t="shared" si="22"/>
        <v>2</v>
      </c>
      <c r="L85" s="159">
        <f t="shared" si="22"/>
        <v>2</v>
      </c>
      <c r="M85" s="159">
        <f t="shared" si="22"/>
        <v>2</v>
      </c>
      <c r="N85" s="159">
        <f t="shared" si="22"/>
        <v>2</v>
      </c>
      <c r="O85" s="159" t="str">
        <f>IF(R85&gt;1,"入力確認",IF(Q85+S85=12,"入力済","未入力"))</f>
        <v>入力済</v>
      </c>
      <c r="P85" s="161">
        <f>IF(O85="未入力",1,IF(O85="入力済",0,2))</f>
        <v>0</v>
      </c>
      <c r="Q85" s="158">
        <f>COUNTIF($C85:$N85,0)</f>
        <v>0</v>
      </c>
      <c r="R85" s="158">
        <f>COUNTIF($C85:$N85,1)</f>
        <v>0</v>
      </c>
      <c r="S85" s="158">
        <f>COUNTIF($C85:$N85,2)</f>
        <v>12</v>
      </c>
    </row>
  </sheetData>
  <sheetProtection algorithmName="SHA-512" hashValue="ewwgVZz/7cZIdDuqGpSh4BBfnStc6H1+0yDTzk9j87MmGa5ho3sEDLKS5nzSKPb6olQ9ekluXv88kDBaeTDM6Q==" saltValue="Jf+mnMu4fHVuXx1qKoVepQ==" spinCount="100000" sheet="1" objects="1" scenarios="1" selectLockedCells="1" selectUnlockedCells="1"/>
  <mergeCells count="90">
    <mergeCell ref="P80:P81"/>
    <mergeCell ref="I80:I81"/>
    <mergeCell ref="J80:J81"/>
    <mergeCell ref="K80:K81"/>
    <mergeCell ref="L80:L81"/>
    <mergeCell ref="M80:M81"/>
    <mergeCell ref="N80:N81"/>
    <mergeCell ref="O69:O70"/>
    <mergeCell ref="P69:P70"/>
    <mergeCell ref="E77:F77"/>
    <mergeCell ref="C80:C81"/>
    <mergeCell ref="D80:D81"/>
    <mergeCell ref="E80:E81"/>
    <mergeCell ref="F80:F81"/>
    <mergeCell ref="G80:G81"/>
    <mergeCell ref="H80:H81"/>
    <mergeCell ref="H69:H70"/>
    <mergeCell ref="I69:I70"/>
    <mergeCell ref="J69:J70"/>
    <mergeCell ref="K69:K70"/>
    <mergeCell ref="L69:L70"/>
    <mergeCell ref="M69:M70"/>
    <mergeCell ref="O80:O81"/>
    <mergeCell ref="E66:F66"/>
    <mergeCell ref="C69:C70"/>
    <mergeCell ref="D69:D70"/>
    <mergeCell ref="E69:E70"/>
    <mergeCell ref="F69:F70"/>
    <mergeCell ref="G69:G70"/>
    <mergeCell ref="K58:K59"/>
    <mergeCell ref="L58:L59"/>
    <mergeCell ref="M58:M59"/>
    <mergeCell ref="N58:N59"/>
    <mergeCell ref="N69:N70"/>
    <mergeCell ref="O58:O59"/>
    <mergeCell ref="P58:P59"/>
    <mergeCell ref="P47:P48"/>
    <mergeCell ref="E55:F55"/>
    <mergeCell ref="C58:C59"/>
    <mergeCell ref="D58:D59"/>
    <mergeCell ref="E58:E59"/>
    <mergeCell ref="F58:F59"/>
    <mergeCell ref="G58:G59"/>
    <mergeCell ref="H58:H59"/>
    <mergeCell ref="I58:I59"/>
    <mergeCell ref="J58:J59"/>
    <mergeCell ref="J47:J48"/>
    <mergeCell ref="K47:K48"/>
    <mergeCell ref="L47:L48"/>
    <mergeCell ref="M47:M48"/>
    <mergeCell ref="N47:N48"/>
    <mergeCell ref="O47:O48"/>
    <mergeCell ref="O36:O37"/>
    <mergeCell ref="P36:P37"/>
    <mergeCell ref="E44:F44"/>
    <mergeCell ref="H47:H48"/>
    <mergeCell ref="I47:I48"/>
    <mergeCell ref="I36:I37"/>
    <mergeCell ref="J36:J37"/>
    <mergeCell ref="K36:K37"/>
    <mergeCell ref="L36:L37"/>
    <mergeCell ref="M36:M37"/>
    <mergeCell ref="N36:N37"/>
    <mergeCell ref="H36:H37"/>
    <mergeCell ref="C47:C48"/>
    <mergeCell ref="D47:D48"/>
    <mergeCell ref="E47:E48"/>
    <mergeCell ref="F47:F48"/>
    <mergeCell ref="G47:G48"/>
    <mergeCell ref="C36:C37"/>
    <mergeCell ref="D36:D37"/>
    <mergeCell ref="E36:E37"/>
    <mergeCell ref="F36:F37"/>
    <mergeCell ref="G36:G37"/>
    <mergeCell ref="P24:P25"/>
    <mergeCell ref="E19:F19"/>
    <mergeCell ref="G19:N19"/>
    <mergeCell ref="C24:C25"/>
    <mergeCell ref="D24:D25"/>
    <mergeCell ref="E24:E25"/>
    <mergeCell ref="F24:F25"/>
    <mergeCell ref="G24:G25"/>
    <mergeCell ref="H24:H25"/>
    <mergeCell ref="I24:I25"/>
    <mergeCell ref="J24:J25"/>
    <mergeCell ref="K24:K25"/>
    <mergeCell ref="L24:L25"/>
    <mergeCell ref="M24:M25"/>
    <mergeCell ref="N24:N25"/>
    <mergeCell ref="O24:O25"/>
  </mergeCells>
  <phoneticPr fontId="2"/>
  <conditionalFormatting sqref="B22 P24">
    <cfRule type="expression" dxfId="41" priority="14">
      <formula>$P$27=1</formula>
    </cfRule>
  </conditionalFormatting>
  <conditionalFormatting sqref="G19">
    <cfRule type="expression" dxfId="40" priority="21">
      <formula>OR($G$19="エネルギー種別・単位を選択してください。",$G$19="エネルギーの使用年度を選択してください。",$G$19="未入力欄が有ります。確認してください。",$G$19="中小規模事業所の要件を満たしていないため、申請できません。")</formula>
    </cfRule>
  </conditionalFormatting>
  <conditionalFormatting sqref="C22:N22">
    <cfRule type="expression" dxfId="39" priority="20">
      <formula>C29=1</formula>
    </cfRule>
  </conditionalFormatting>
  <conditionalFormatting sqref="C34:N34">
    <cfRule type="expression" dxfId="38" priority="19">
      <formula>C41=1</formula>
    </cfRule>
  </conditionalFormatting>
  <conditionalFormatting sqref="B34 P36">
    <cfRule type="expression" dxfId="37" priority="12">
      <formula>$P$39=1</formula>
    </cfRule>
  </conditionalFormatting>
  <conditionalFormatting sqref="E33 P36">
    <cfRule type="expression" dxfId="36" priority="11">
      <formula>$P$39=2</formula>
    </cfRule>
  </conditionalFormatting>
  <conditionalFormatting sqref="F33 P36">
    <cfRule type="expression" dxfId="35" priority="10">
      <formula>$P$39=3</formula>
    </cfRule>
  </conditionalFormatting>
  <conditionalFormatting sqref="C45:N45">
    <cfRule type="expression" dxfId="34" priority="18">
      <formula>C52=1</formula>
    </cfRule>
  </conditionalFormatting>
  <conditionalFormatting sqref="C56:N56">
    <cfRule type="expression" dxfId="33" priority="17">
      <formula>C63=1</formula>
    </cfRule>
  </conditionalFormatting>
  <conditionalFormatting sqref="C67:N67">
    <cfRule type="expression" dxfId="32" priority="16">
      <formula>C74=1</formula>
    </cfRule>
  </conditionalFormatting>
  <conditionalFormatting sqref="C78:N78">
    <cfRule type="expression" dxfId="31" priority="15">
      <formula>C85=1</formula>
    </cfRule>
  </conditionalFormatting>
  <conditionalFormatting sqref="B45 P47">
    <cfRule type="expression" dxfId="30" priority="9">
      <formula>$P$50=1</formula>
    </cfRule>
  </conditionalFormatting>
  <conditionalFormatting sqref="B56 P58">
    <cfRule type="expression" dxfId="29" priority="7">
      <formula>$P$61=1</formula>
    </cfRule>
  </conditionalFormatting>
  <conditionalFormatting sqref="B67 P69">
    <cfRule type="expression" dxfId="28" priority="5">
      <formula>$P$72=1</formula>
    </cfRule>
  </conditionalFormatting>
  <conditionalFormatting sqref="E44 P47">
    <cfRule type="expression" dxfId="27" priority="8">
      <formula>$P$50=2</formula>
    </cfRule>
  </conditionalFormatting>
  <conditionalFormatting sqref="E55 P58">
    <cfRule type="expression" dxfId="26" priority="6">
      <formula>$P$61=2</formula>
    </cfRule>
  </conditionalFormatting>
  <conditionalFormatting sqref="E66 P69">
    <cfRule type="expression" dxfId="25" priority="4">
      <formula>$P$72=2</formula>
    </cfRule>
  </conditionalFormatting>
  <conditionalFormatting sqref="P24">
    <cfRule type="expression" dxfId="24" priority="13">
      <formula>$P$29=1</formula>
    </cfRule>
  </conditionalFormatting>
  <conditionalFormatting sqref="B78 P80">
    <cfRule type="expression" dxfId="23" priority="3">
      <formula>$P$83=1</formula>
    </cfRule>
  </conditionalFormatting>
  <conditionalFormatting sqref="E77 P80">
    <cfRule type="expression" dxfId="22" priority="2">
      <formula>$P$83=2</formula>
    </cfRule>
  </conditionalFormatting>
  <conditionalFormatting sqref="G19:N19">
    <cfRule type="expression" dxfId="21" priority="1">
      <formula>$G$19="事業所のエネルギー使用について入力してください。"</formula>
    </cfRule>
  </conditionalFormatting>
  <dataValidations count="5">
    <dataValidation type="list" allowBlank="1" showInputMessage="1" showErrorMessage="1" sqref="F33">
      <formula1>INDIRECT($E$33)</formula1>
    </dataValidation>
    <dataValidation allowBlank="1" showInputMessage="1" showErrorMessage="1" prompt="証憑等に記載されている使用期間を記入してください。" sqref="C23"/>
    <dataValidation allowBlank="1" sqref="C13:C14"/>
    <dataValidation type="list" allowBlank="1" showInputMessage="1" sqref="B78 B22 B34 B45 B56 B67">
      <formula1>"年度を選択,2021年度,2022年度"</formula1>
    </dataValidation>
    <dataValidation allowBlank="1" showInputMessage="1" sqref="B23 B57 B68 B35 B46 B79"/>
  </dataValidations>
  <printOptions horizontalCentered="1"/>
  <pageMargins left="0.6692913385826772" right="0.31496062992125984" top="0.56000000000000005" bottom="0.37" header="0.24" footer="0.15748031496062992"/>
  <pageSetup paperSize="9" scale="62" fitToHeight="0" orientation="landscape" r:id="rId1"/>
  <headerFooter>
    <oddHeader>&amp;C&amp;20換気量・省エネ計算シート</oddHeader>
    <oddFooter>&amp;C&amp;P</oddFooter>
  </headerFooter>
  <rowBreaks count="2" manualBreakCount="2">
    <brk id="43" max="16" man="1"/>
    <brk id="64" max="16"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計算!$P$3:$P$12</xm:f>
          </x14:formula1>
          <xm:sqref>E55:F55 E66:F66 E77:F77</xm:sqref>
        </x14:dataValidation>
        <x14:dataValidation type="list" allowBlank="1" showInputMessage="1" showErrorMessage="1">
          <x14:formula1>
            <xm:f>計算!$Q$3:$Q$11</xm:f>
          </x14:formula1>
          <xm:sqref>E44:F44</xm:sqref>
        </x14:dataValidation>
        <x14:dataValidation type="list" allowBlank="1" showInputMessage="1" showErrorMessage="1">
          <x14:formula1>
            <xm:f>計算!$N$3:$N$5</xm:f>
          </x14:formula1>
          <xm:sqref>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vt:i4>
      </vt:variant>
    </vt:vector>
  </HeadingPairs>
  <TitlesOfParts>
    <vt:vector size="31" baseType="lpstr">
      <vt:lpstr>※注意事項</vt:lpstr>
      <vt:lpstr>1.換気～比較表(適合例)</vt:lpstr>
      <vt:lpstr>1.換気～比較表(入力不足)</vt:lpstr>
      <vt:lpstr>1.換気～比較表 (不適合)</vt:lpstr>
      <vt:lpstr>2-3.設備仕様入力(適合例)</vt:lpstr>
      <vt:lpstr>2-3.設備仕様入力 (入力不足)</vt:lpstr>
      <vt:lpstr>2-3.設備仕様入力 (不適合)</vt:lpstr>
      <vt:lpstr>4.エネルギー使用量(適合例)</vt:lpstr>
      <vt:lpstr>4.エネルギー使用量 (入力不足)</vt:lpstr>
      <vt:lpstr>計算</vt:lpstr>
      <vt:lpstr>計算式</vt:lpstr>
      <vt:lpstr>4.エネルギー使用量 (不適合)</vt:lpstr>
      <vt:lpstr>計算式!LPG</vt:lpstr>
      <vt:lpstr>LPG</vt:lpstr>
      <vt:lpstr>'1.換気～比較表 (不適合)'!Print_Area</vt:lpstr>
      <vt:lpstr>'1.換気～比較表(適合例)'!Print_Area</vt:lpstr>
      <vt:lpstr>'1.換気～比較表(入力不足)'!Print_Area</vt:lpstr>
      <vt:lpstr>'2-3.設備仕様入力 (入力不足)'!Print_Area</vt:lpstr>
      <vt:lpstr>'2-3.設備仕様入力 (不適合)'!Print_Area</vt:lpstr>
      <vt:lpstr>'2-3.設備仕様入力(適合例)'!Print_Area</vt:lpstr>
      <vt:lpstr>'4.エネルギー使用量 (入力不足)'!Print_Area</vt:lpstr>
      <vt:lpstr>'4.エネルギー使用量 (不適合)'!Print_Area</vt:lpstr>
      <vt:lpstr>'4.エネルギー使用量(適合例)'!Print_Area</vt:lpstr>
      <vt:lpstr>'1.換気～比較表 (不適合)'!Print_Titles</vt:lpstr>
      <vt:lpstr>'1.換気～比較表(適合例)'!Print_Titles</vt:lpstr>
      <vt:lpstr>'1.換気～比較表(入力不足)'!Print_Titles</vt:lpstr>
      <vt:lpstr>'4.エネルギー使用量 (入力不足)'!Print_Titles</vt:lpstr>
      <vt:lpstr>'4.エネルギー使用量 (不適合)'!Print_Titles</vt:lpstr>
      <vt:lpstr>'4.エネルギー使用量(適合例)'!Print_Titles</vt:lpstr>
      <vt:lpstr>計算式!都市ガス</vt:lpstr>
      <vt:lpstr>都市ガス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PC19B60JS025</cp:lastModifiedBy>
  <cp:lastPrinted>2022-07-11T02:25:42Z</cp:lastPrinted>
  <dcterms:created xsi:type="dcterms:W3CDTF">2021-06-30T04:19:28Z</dcterms:created>
  <dcterms:modified xsi:type="dcterms:W3CDTF">2022-07-11T02:29:49Z</dcterms:modified>
</cp:coreProperties>
</file>