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東京都地球温暖化防止活動推進センター\事業支援チーム\Ｒ４\5_省エネ型換気・空調設備導入支援事業\4_要綱・様式・チェックシート\5_様式\6_様式記入例\【記入例】令和４年２回目\"/>
    </mc:Choice>
  </mc:AlternateContent>
  <workbookProtection workbookPassword="DFA8" lockStructure="1"/>
  <bookViews>
    <workbookView xWindow="0" yWindow="58800" windowWidth="20490" windowHeight="8805" tabRatio="712" firstSheet="1" activeTab="4"/>
  </bookViews>
  <sheets>
    <sheet name="計算" sheetId="5" state="hidden" r:id="rId1"/>
    <sheet name="※注意事項" sheetId="18" r:id="rId2"/>
    <sheet name="1.換気～比較表（適合）" sheetId="10" r:id="rId3"/>
    <sheet name="1.換気～比較表 (入力不足)" sheetId="19" r:id="rId4"/>
    <sheet name="1.換気～比較表 (不適合)" sheetId="20" r:id="rId5"/>
    <sheet name="2-3.設備仕様入力（適合）" sheetId="2" r:id="rId6"/>
    <sheet name="2-3.設備仕様入力（入力不足）" sheetId="22" r:id="rId7"/>
    <sheet name="2-3.設備仕様入力（不適合）" sheetId="23" r:id="rId8"/>
    <sheet name="4.エネルギー使用量（適合例）" sheetId="4" r:id="rId9"/>
    <sheet name="4.エネルギー使用量（入力不足）" sheetId="24" r:id="rId10"/>
    <sheet name="4.エネルギー使用量（不適合）" sheetId="25" r:id="rId11"/>
    <sheet name="5.概算使用量（適合１）" sheetId="17" r:id="rId12"/>
    <sheet name="5.概算使用量（適合２）" sheetId="26" r:id="rId13"/>
  </sheets>
  <externalReferences>
    <externalReference r:id="rId14"/>
  </externalReferences>
  <definedNames>
    <definedName name="LPG">計算!$O$10:$O$12</definedName>
    <definedName name="_xlnm.Print_Area" localSheetId="3">'1.換気～比較表 (入力不足)'!$A$20:$BL$35</definedName>
    <definedName name="_xlnm.Print_Area" localSheetId="4">'1.換気～比較表 (不適合)'!$A$20:$BL$35</definedName>
    <definedName name="_xlnm.Print_Area" localSheetId="2">'1.換気～比較表（適合）'!$A$20:$BL$35</definedName>
    <definedName name="_xlnm.Print_Area" localSheetId="5">'2-3.設備仕様入力（適合）'!$A$26:$Y$207</definedName>
    <definedName name="_xlnm.Print_Area" localSheetId="6">'2-3.設備仕様入力（入力不足）'!$A$26:$Y$207</definedName>
    <definedName name="_xlnm.Print_Area" localSheetId="7">'2-3.設備仕様入力（不適合）'!$A$26:$Y$207</definedName>
    <definedName name="_xlnm.Print_Area" localSheetId="8">'4.エネルギー使用量（適合例）'!$A$17:$Q$85</definedName>
    <definedName name="_xlnm.Print_Area" localSheetId="9">'4.エネルギー使用量（入力不足）'!$A$17:$Q$85</definedName>
    <definedName name="_xlnm.Print_Area" localSheetId="10">'4.エネルギー使用量（不適合）'!$A$17:$Q$85</definedName>
    <definedName name="_xlnm.Print_Area" localSheetId="11">'5.概算使用量（適合１）'!$A$13:$K$41</definedName>
    <definedName name="_xlnm.Print_Area" localSheetId="12">'5.概算使用量（適合２）'!$A$13:$K$41</definedName>
    <definedName name="_xlnm.Print_Titles" localSheetId="3">'1.換気～比較表 (入力不足)'!$B:$D</definedName>
    <definedName name="_xlnm.Print_Titles" localSheetId="4">'1.換気～比較表 (不適合)'!$B:$D</definedName>
    <definedName name="_xlnm.Print_Titles" localSheetId="2">'1.換気～比較表（適合）'!$B:$D</definedName>
    <definedName name="_xlnm.Print_Titles" localSheetId="8">'4.エネルギー使用量（適合例）'!$17:$19</definedName>
    <definedName name="_xlnm.Print_Titles" localSheetId="9">'4.エネルギー使用量（入力不足）'!$17:$19</definedName>
    <definedName name="_xlnm.Print_Titles" localSheetId="10">'4.エネルギー使用量（不適合）'!$17:$19</definedName>
    <definedName name="_xlnm.Print_Titles" localSheetId="11">'5.概算使用量（適合１）'!$14:$15</definedName>
    <definedName name="_xlnm.Print_Titles" localSheetId="12">'5.概算使用量（適合２）'!$14:$15</definedName>
    <definedName name="都市ガス">計算!$O$7:$O$8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6" l="1"/>
  <c r="F34" i="26" s="1"/>
  <c r="I29" i="26"/>
  <c r="F23" i="26"/>
  <c r="F24" i="26" s="1"/>
  <c r="F22" i="26"/>
  <c r="B12" i="26"/>
  <c r="F22" i="17"/>
  <c r="I14" i="26" l="1"/>
  <c r="J51" i="5"/>
  <c r="J50" i="5"/>
  <c r="J40" i="5"/>
  <c r="J39" i="5"/>
  <c r="J29" i="5"/>
  <c r="J28" i="5"/>
  <c r="J18" i="5"/>
  <c r="J17" i="5"/>
  <c r="J6" i="5"/>
  <c r="N83" i="25" l="1"/>
  <c r="M83" i="25"/>
  <c r="M84" i="25" s="1"/>
  <c r="L83" i="25"/>
  <c r="K83" i="25"/>
  <c r="J83" i="25"/>
  <c r="J84" i="25" s="1"/>
  <c r="I83" i="25"/>
  <c r="I84" i="25" s="1"/>
  <c r="H83" i="25"/>
  <c r="H84" i="25" s="1"/>
  <c r="G83" i="25"/>
  <c r="F83" i="25"/>
  <c r="E83" i="25"/>
  <c r="Q83" i="25" s="1"/>
  <c r="D83" i="25"/>
  <c r="C83" i="25"/>
  <c r="N82" i="25"/>
  <c r="N84" i="25" s="1"/>
  <c r="M82" i="25"/>
  <c r="L82" i="25"/>
  <c r="L84" i="25" s="1"/>
  <c r="K82" i="25"/>
  <c r="K84" i="25" s="1"/>
  <c r="J82" i="25"/>
  <c r="I82" i="25"/>
  <c r="H82" i="25"/>
  <c r="G82" i="25"/>
  <c r="G84" i="25" s="1"/>
  <c r="F82" i="25"/>
  <c r="F84" i="25" s="1"/>
  <c r="E82" i="25"/>
  <c r="D82" i="25"/>
  <c r="D84" i="25" s="1"/>
  <c r="C82" i="25"/>
  <c r="C84" i="25" s="1"/>
  <c r="O81" i="25"/>
  <c r="B80" i="25"/>
  <c r="O79" i="25"/>
  <c r="I73" i="25"/>
  <c r="R72" i="25"/>
  <c r="N72" i="25"/>
  <c r="N73" i="25" s="1"/>
  <c r="M72" i="25"/>
  <c r="L72" i="25"/>
  <c r="L73" i="25" s="1"/>
  <c r="K72" i="25"/>
  <c r="J72" i="25"/>
  <c r="I72" i="25"/>
  <c r="H72" i="25"/>
  <c r="H73" i="25" s="1"/>
  <c r="G72" i="25"/>
  <c r="G73" i="25" s="1"/>
  <c r="F72" i="25"/>
  <c r="F73" i="25" s="1"/>
  <c r="E72" i="25"/>
  <c r="D72" i="25"/>
  <c r="S72" i="25" s="1"/>
  <c r="C72" i="25"/>
  <c r="R71" i="25"/>
  <c r="N71" i="25"/>
  <c r="M71" i="25"/>
  <c r="M73" i="25" s="1"/>
  <c r="L71" i="25"/>
  <c r="K71" i="25"/>
  <c r="K73" i="25" s="1"/>
  <c r="J71" i="25"/>
  <c r="J73" i="25" s="1"/>
  <c r="I71" i="25"/>
  <c r="Q71" i="25" s="1"/>
  <c r="H71" i="25"/>
  <c r="G71" i="25"/>
  <c r="F71" i="25"/>
  <c r="E71" i="25"/>
  <c r="E73" i="25" s="1"/>
  <c r="D71" i="25"/>
  <c r="C71" i="25"/>
  <c r="S71" i="25" s="1"/>
  <c r="O70" i="25"/>
  <c r="B69" i="25"/>
  <c r="O68" i="25"/>
  <c r="N61" i="25"/>
  <c r="M61" i="25"/>
  <c r="L61" i="25"/>
  <c r="K61" i="25"/>
  <c r="K62" i="25" s="1"/>
  <c r="J61" i="25"/>
  <c r="I61" i="25"/>
  <c r="H61" i="25"/>
  <c r="G61" i="25"/>
  <c r="F61" i="25"/>
  <c r="E61" i="25"/>
  <c r="E62" i="25" s="1"/>
  <c r="D61" i="25"/>
  <c r="C61" i="25"/>
  <c r="N60" i="25"/>
  <c r="M60" i="25"/>
  <c r="L60" i="25"/>
  <c r="K60" i="25"/>
  <c r="J60" i="25"/>
  <c r="I60" i="25"/>
  <c r="H60" i="25"/>
  <c r="G60" i="25"/>
  <c r="F60" i="25"/>
  <c r="E60" i="25"/>
  <c r="D60" i="25"/>
  <c r="C60" i="25"/>
  <c r="O59" i="25"/>
  <c r="B58" i="25"/>
  <c r="O57" i="25"/>
  <c r="N50" i="25"/>
  <c r="M50" i="25"/>
  <c r="M51" i="25" s="1"/>
  <c r="L50" i="25"/>
  <c r="K50" i="25"/>
  <c r="J50" i="25"/>
  <c r="I50" i="25"/>
  <c r="H50" i="25"/>
  <c r="G50" i="25"/>
  <c r="F50" i="25"/>
  <c r="E50" i="25"/>
  <c r="Q50" i="25" s="1"/>
  <c r="D50" i="25"/>
  <c r="D51" i="25" s="1"/>
  <c r="C50" i="25"/>
  <c r="R50" i="25" s="1"/>
  <c r="N49" i="25"/>
  <c r="M49" i="25"/>
  <c r="L49" i="25"/>
  <c r="K49" i="25"/>
  <c r="K51" i="25" s="1"/>
  <c r="J49" i="25"/>
  <c r="I49" i="25"/>
  <c r="I51" i="25" s="1"/>
  <c r="H49" i="25"/>
  <c r="H51" i="25" s="1"/>
  <c r="G49" i="25"/>
  <c r="G51" i="25" s="1"/>
  <c r="F49" i="25"/>
  <c r="E49" i="25"/>
  <c r="D49" i="25"/>
  <c r="C49" i="25"/>
  <c r="O48" i="25"/>
  <c r="B47" i="25"/>
  <c r="O46" i="25"/>
  <c r="N39" i="25"/>
  <c r="M39" i="25"/>
  <c r="M40" i="25" s="1"/>
  <c r="L39" i="25"/>
  <c r="L40" i="25" s="1"/>
  <c r="K39" i="25"/>
  <c r="K40" i="25" s="1"/>
  <c r="J39" i="25"/>
  <c r="I39" i="25"/>
  <c r="I40" i="25" s="1"/>
  <c r="H39" i="25"/>
  <c r="G39" i="25"/>
  <c r="F39" i="25"/>
  <c r="E39" i="25"/>
  <c r="E40" i="25" s="1"/>
  <c r="D39" i="25"/>
  <c r="D40" i="25" s="1"/>
  <c r="C39" i="25"/>
  <c r="C40" i="25" s="1"/>
  <c r="N38" i="25"/>
  <c r="M38" i="25"/>
  <c r="L38" i="25"/>
  <c r="K38" i="25"/>
  <c r="J38" i="25"/>
  <c r="I38" i="25"/>
  <c r="H38" i="25"/>
  <c r="H40" i="25" s="1"/>
  <c r="G38" i="25"/>
  <c r="G40" i="25" s="1"/>
  <c r="F38" i="25"/>
  <c r="E38" i="25"/>
  <c r="R38" i="25" s="1"/>
  <c r="D38" i="25"/>
  <c r="C38" i="25"/>
  <c r="S38" i="25" s="1"/>
  <c r="O37" i="25"/>
  <c r="B36" i="25"/>
  <c r="O35" i="25"/>
  <c r="N27" i="25"/>
  <c r="M27" i="25"/>
  <c r="L27" i="25"/>
  <c r="K27" i="25"/>
  <c r="K28" i="25" s="1"/>
  <c r="J27" i="25"/>
  <c r="J28" i="25" s="1"/>
  <c r="I27" i="25"/>
  <c r="H27" i="25"/>
  <c r="H28" i="25" s="1"/>
  <c r="G27" i="25"/>
  <c r="F27" i="25"/>
  <c r="E27" i="25"/>
  <c r="D27" i="25"/>
  <c r="C27" i="25"/>
  <c r="C28" i="25" s="1"/>
  <c r="N26" i="25"/>
  <c r="N28" i="25" s="1"/>
  <c r="M26" i="25"/>
  <c r="L26" i="25"/>
  <c r="K26" i="25"/>
  <c r="J26" i="25"/>
  <c r="I26" i="25"/>
  <c r="I28" i="25" s="1"/>
  <c r="H26" i="25"/>
  <c r="G26" i="25"/>
  <c r="G28" i="25" s="1"/>
  <c r="F26" i="25"/>
  <c r="F28" i="25" s="1"/>
  <c r="E26" i="25"/>
  <c r="D26" i="25"/>
  <c r="Q26" i="25" s="1"/>
  <c r="C26" i="25"/>
  <c r="S26" i="25" s="1"/>
  <c r="O25" i="25"/>
  <c r="O23" i="25"/>
  <c r="B16" i="25"/>
  <c r="N83" i="24"/>
  <c r="M83" i="24"/>
  <c r="M84" i="24" s="1"/>
  <c r="L83" i="24"/>
  <c r="K83" i="24"/>
  <c r="J83" i="24"/>
  <c r="I83" i="24"/>
  <c r="I84" i="24" s="1"/>
  <c r="H83" i="24"/>
  <c r="G83" i="24"/>
  <c r="F83" i="24"/>
  <c r="E83" i="24"/>
  <c r="E84" i="24" s="1"/>
  <c r="D83" i="24"/>
  <c r="C83" i="24"/>
  <c r="S83" i="24" s="1"/>
  <c r="N82" i="24"/>
  <c r="N84" i="24" s="1"/>
  <c r="M82" i="24"/>
  <c r="L82" i="24"/>
  <c r="L84" i="24" s="1"/>
  <c r="K82" i="24"/>
  <c r="K84" i="24" s="1"/>
  <c r="J82" i="24"/>
  <c r="J84" i="24" s="1"/>
  <c r="I82" i="24"/>
  <c r="H82" i="24"/>
  <c r="H84" i="24" s="1"/>
  <c r="G82" i="24"/>
  <c r="G84" i="24" s="1"/>
  <c r="F82" i="24"/>
  <c r="F84" i="24" s="1"/>
  <c r="E82" i="24"/>
  <c r="D82" i="24"/>
  <c r="D84" i="24" s="1"/>
  <c r="C82" i="24"/>
  <c r="C84" i="24" s="1"/>
  <c r="O81" i="24"/>
  <c r="B80" i="24"/>
  <c r="O79" i="24"/>
  <c r="L73" i="24"/>
  <c r="N72" i="24"/>
  <c r="M72" i="24"/>
  <c r="L72" i="24"/>
  <c r="K72" i="24"/>
  <c r="J72" i="24"/>
  <c r="I72" i="24"/>
  <c r="H72" i="24"/>
  <c r="H73" i="24" s="1"/>
  <c r="G72" i="24"/>
  <c r="F72" i="24"/>
  <c r="E72" i="24"/>
  <c r="D72" i="24"/>
  <c r="S72" i="24" s="1"/>
  <c r="C72" i="24"/>
  <c r="N71" i="24"/>
  <c r="N73" i="24" s="1"/>
  <c r="M71" i="24"/>
  <c r="M73" i="24" s="1"/>
  <c r="L71" i="24"/>
  <c r="K71" i="24"/>
  <c r="K73" i="24" s="1"/>
  <c r="J71" i="24"/>
  <c r="J73" i="24" s="1"/>
  <c r="I71" i="24"/>
  <c r="I73" i="24" s="1"/>
  <c r="H71" i="24"/>
  <c r="G71" i="24"/>
  <c r="G73" i="24" s="1"/>
  <c r="F71" i="24"/>
  <c r="F73" i="24" s="1"/>
  <c r="E71" i="24"/>
  <c r="R71" i="24" s="1"/>
  <c r="D71" i="24"/>
  <c r="C71" i="24"/>
  <c r="S71" i="24" s="1"/>
  <c r="O70" i="24"/>
  <c r="B69" i="24"/>
  <c r="O68" i="24"/>
  <c r="N61" i="24"/>
  <c r="M61" i="24"/>
  <c r="L61" i="24"/>
  <c r="K61" i="24"/>
  <c r="K62" i="24" s="1"/>
  <c r="J61" i="24"/>
  <c r="I61" i="24"/>
  <c r="H61" i="24"/>
  <c r="G61" i="24"/>
  <c r="G62" i="24" s="1"/>
  <c r="F61" i="24"/>
  <c r="E61" i="24"/>
  <c r="D61" i="24"/>
  <c r="C61" i="24"/>
  <c r="R61" i="24" s="1"/>
  <c r="N60" i="24"/>
  <c r="N62" i="24" s="1"/>
  <c r="M60" i="24"/>
  <c r="M62" i="24" s="1"/>
  <c r="L60" i="24"/>
  <c r="L62" i="24" s="1"/>
  <c r="K60" i="24"/>
  <c r="J60" i="24"/>
  <c r="J62" i="24" s="1"/>
  <c r="I60" i="24"/>
  <c r="I62" i="24" s="1"/>
  <c r="H60" i="24"/>
  <c r="H62" i="24" s="1"/>
  <c r="G60" i="24"/>
  <c r="F60" i="24"/>
  <c r="F62" i="24" s="1"/>
  <c r="E60" i="24"/>
  <c r="E62" i="24" s="1"/>
  <c r="D60" i="24"/>
  <c r="R60" i="24" s="1"/>
  <c r="C60" i="24"/>
  <c r="S60" i="24" s="1"/>
  <c r="O59" i="24"/>
  <c r="B58" i="24"/>
  <c r="O57" i="24"/>
  <c r="N50" i="24"/>
  <c r="N51" i="24" s="1"/>
  <c r="M50" i="24"/>
  <c r="L50" i="24"/>
  <c r="K50" i="24"/>
  <c r="J50" i="24"/>
  <c r="J51" i="24" s="1"/>
  <c r="I50" i="24"/>
  <c r="H50" i="24"/>
  <c r="G50" i="24"/>
  <c r="F50" i="24"/>
  <c r="F51" i="24" s="1"/>
  <c r="E50" i="24"/>
  <c r="D50" i="24"/>
  <c r="C50" i="24"/>
  <c r="Q50" i="24" s="1"/>
  <c r="N49" i="24"/>
  <c r="M49" i="24"/>
  <c r="M51" i="24" s="1"/>
  <c r="L49" i="24"/>
  <c r="L51" i="24" s="1"/>
  <c r="K49" i="24"/>
  <c r="K51" i="24" s="1"/>
  <c r="J49" i="24"/>
  <c r="I49" i="24"/>
  <c r="I51" i="24" s="1"/>
  <c r="H49" i="24"/>
  <c r="H51" i="24" s="1"/>
  <c r="G49" i="24"/>
  <c r="G51" i="24" s="1"/>
  <c r="F49" i="24"/>
  <c r="E49" i="24"/>
  <c r="E51" i="24" s="1"/>
  <c r="D49" i="24"/>
  <c r="D51" i="24" s="1"/>
  <c r="C49" i="24"/>
  <c r="Q49" i="24" s="1"/>
  <c r="O48" i="24"/>
  <c r="B47" i="24"/>
  <c r="O46" i="24"/>
  <c r="N39" i="24"/>
  <c r="M39" i="24"/>
  <c r="M40" i="24" s="1"/>
  <c r="L39" i="24"/>
  <c r="K39" i="24"/>
  <c r="J39" i="24"/>
  <c r="I39" i="24"/>
  <c r="R39" i="24" s="1"/>
  <c r="H39" i="24"/>
  <c r="G39" i="24"/>
  <c r="F39" i="24"/>
  <c r="E39" i="24"/>
  <c r="E40" i="24" s="1"/>
  <c r="D39" i="24"/>
  <c r="C39" i="24"/>
  <c r="Q39" i="24" s="1"/>
  <c r="R38" i="24"/>
  <c r="N38" i="24"/>
  <c r="N40" i="24" s="1"/>
  <c r="M38" i="24"/>
  <c r="L38" i="24"/>
  <c r="L40" i="24" s="1"/>
  <c r="K38" i="24"/>
  <c r="K40" i="24" s="1"/>
  <c r="J38" i="24"/>
  <c r="J40" i="24" s="1"/>
  <c r="I38" i="24"/>
  <c r="H38" i="24"/>
  <c r="H40" i="24" s="1"/>
  <c r="G38" i="24"/>
  <c r="G40" i="24" s="1"/>
  <c r="F38" i="24"/>
  <c r="F40" i="24" s="1"/>
  <c r="E38" i="24"/>
  <c r="D38" i="24"/>
  <c r="D40" i="24" s="1"/>
  <c r="C38" i="24"/>
  <c r="C40" i="24" s="1"/>
  <c r="O37" i="24"/>
  <c r="B36" i="24"/>
  <c r="O35" i="24"/>
  <c r="N27" i="24"/>
  <c r="M27" i="24"/>
  <c r="L27" i="24"/>
  <c r="L28" i="24" s="1"/>
  <c r="K27" i="24"/>
  <c r="J27" i="24"/>
  <c r="I27" i="24"/>
  <c r="H27" i="24"/>
  <c r="H28" i="24" s="1"/>
  <c r="G27" i="24"/>
  <c r="F27" i="24"/>
  <c r="E27" i="24"/>
  <c r="D27" i="24"/>
  <c r="C27" i="24"/>
  <c r="Q26" i="24"/>
  <c r="N26" i="24"/>
  <c r="M26" i="24"/>
  <c r="M28" i="24" s="1"/>
  <c r="L26" i="24"/>
  <c r="K26" i="24"/>
  <c r="K28" i="24" s="1"/>
  <c r="J26" i="24"/>
  <c r="J28" i="24" s="1"/>
  <c r="I26" i="24"/>
  <c r="I28" i="24" s="1"/>
  <c r="H26" i="24"/>
  <c r="G26" i="24"/>
  <c r="G28" i="24" s="1"/>
  <c r="F26" i="24"/>
  <c r="F28" i="24" s="1"/>
  <c r="E26" i="24"/>
  <c r="E28" i="24" s="1"/>
  <c r="D26" i="24"/>
  <c r="C26" i="24"/>
  <c r="C28" i="24" s="1"/>
  <c r="O25" i="24"/>
  <c r="O23" i="24"/>
  <c r="B16" i="24"/>
  <c r="M62" i="25" l="1"/>
  <c r="F62" i="25"/>
  <c r="N62" i="25"/>
  <c r="S60" i="25"/>
  <c r="R60" i="25"/>
  <c r="H62" i="25"/>
  <c r="F51" i="25"/>
  <c r="N51" i="25"/>
  <c r="Q49" i="25"/>
  <c r="J51" i="25"/>
  <c r="L51" i="25"/>
  <c r="F40" i="25"/>
  <c r="N40" i="25"/>
  <c r="J40" i="25"/>
  <c r="L28" i="25"/>
  <c r="E28" i="25"/>
  <c r="M28" i="25"/>
  <c r="L62" i="25"/>
  <c r="J62" i="25"/>
  <c r="I62" i="25"/>
  <c r="G62" i="25"/>
  <c r="R61" i="25"/>
  <c r="S84" i="25"/>
  <c r="S40" i="25"/>
  <c r="R40" i="25"/>
  <c r="Q40" i="25"/>
  <c r="Q61" i="25"/>
  <c r="S83" i="25"/>
  <c r="Q38" i="25"/>
  <c r="Q39" i="25"/>
  <c r="R49" i="25"/>
  <c r="S61" i="25"/>
  <c r="C73" i="25"/>
  <c r="D28" i="25"/>
  <c r="S28" i="25" s="1"/>
  <c r="Q27" i="25"/>
  <c r="S50" i="25"/>
  <c r="O50" i="25" s="1"/>
  <c r="C62" i="25"/>
  <c r="D73" i="25"/>
  <c r="E84" i="25"/>
  <c r="R84" i="25" s="1"/>
  <c r="R39" i="25"/>
  <c r="R26" i="25"/>
  <c r="R27" i="25"/>
  <c r="S39" i="25"/>
  <c r="C51" i="25"/>
  <c r="D62" i="25"/>
  <c r="Q60" i="25"/>
  <c r="S49" i="25"/>
  <c r="S27" i="25"/>
  <c r="E51" i="25"/>
  <c r="Q82" i="25"/>
  <c r="Q72" i="25"/>
  <c r="O71" i="25" s="1"/>
  <c r="R82" i="25"/>
  <c r="O82" i="25" s="1"/>
  <c r="R83" i="25"/>
  <c r="O83" i="25" s="1"/>
  <c r="S82" i="25"/>
  <c r="R27" i="24"/>
  <c r="N28" i="24"/>
  <c r="S84" i="24"/>
  <c r="R84" i="24"/>
  <c r="Q84" i="24"/>
  <c r="D28" i="24"/>
  <c r="Q38" i="24"/>
  <c r="O38" i="24" s="1"/>
  <c r="R49" i="24"/>
  <c r="O49" i="24" s="1"/>
  <c r="R50" i="24"/>
  <c r="O50" i="24" s="1"/>
  <c r="S61" i="24"/>
  <c r="C73" i="24"/>
  <c r="Q27" i="24"/>
  <c r="I40" i="24"/>
  <c r="Q40" i="24" s="1"/>
  <c r="S50" i="24"/>
  <c r="C62" i="24"/>
  <c r="S38" i="24"/>
  <c r="S39" i="24"/>
  <c r="O39" i="24" s="1"/>
  <c r="C51" i="24"/>
  <c r="D62" i="24"/>
  <c r="E73" i="24"/>
  <c r="S27" i="24"/>
  <c r="S49" i="24"/>
  <c r="D73" i="24"/>
  <c r="R26" i="24"/>
  <c r="S26" i="24"/>
  <c r="Q82" i="24"/>
  <c r="Q83" i="24"/>
  <c r="Q71" i="24"/>
  <c r="Q72" i="24"/>
  <c r="O71" i="24" s="1"/>
  <c r="R82" i="24"/>
  <c r="R83" i="24"/>
  <c r="Q60" i="24"/>
  <c r="Q61" i="24"/>
  <c r="O61" i="24" s="1"/>
  <c r="R72" i="24"/>
  <c r="S82" i="24"/>
  <c r="D131" i="23"/>
  <c r="D132" i="23" s="1"/>
  <c r="X132" i="23" s="1"/>
  <c r="AE160" i="23"/>
  <c r="W160" i="23"/>
  <c r="V160" i="23"/>
  <c r="U160" i="23"/>
  <c r="T160" i="23"/>
  <c r="S160" i="23"/>
  <c r="R160" i="23"/>
  <c r="Q160" i="23"/>
  <c r="P160" i="23"/>
  <c r="O160" i="23"/>
  <c r="N160" i="23"/>
  <c r="M160" i="23"/>
  <c r="L160" i="23"/>
  <c r="K160" i="23"/>
  <c r="J160" i="23"/>
  <c r="I160" i="23"/>
  <c r="H160" i="23"/>
  <c r="G160" i="23"/>
  <c r="F160" i="23"/>
  <c r="E160" i="23"/>
  <c r="D160" i="23"/>
  <c r="AA160" i="23" s="1"/>
  <c r="W159" i="23"/>
  <c r="V159" i="23"/>
  <c r="U159" i="23"/>
  <c r="T159" i="23"/>
  <c r="S159" i="23"/>
  <c r="R159" i="23"/>
  <c r="Q159" i="23"/>
  <c r="P159" i="23"/>
  <c r="O159" i="23"/>
  <c r="N159" i="23"/>
  <c r="M159" i="23"/>
  <c r="L159" i="23"/>
  <c r="K159" i="23"/>
  <c r="J159" i="23"/>
  <c r="I159" i="23"/>
  <c r="H159" i="23"/>
  <c r="G159" i="23"/>
  <c r="F159" i="23"/>
  <c r="E159" i="23"/>
  <c r="D159" i="23"/>
  <c r="AA159" i="23" s="1"/>
  <c r="U158" i="23"/>
  <c r="T158" i="23"/>
  <c r="R158" i="23"/>
  <c r="M158" i="23"/>
  <c r="L158" i="23"/>
  <c r="J158" i="23"/>
  <c r="E158" i="23"/>
  <c r="W157" i="23"/>
  <c r="W158" i="23" s="1"/>
  <c r="V157" i="23"/>
  <c r="U157" i="23"/>
  <c r="T157" i="23"/>
  <c r="S157" i="23"/>
  <c r="R157" i="23"/>
  <c r="Q157" i="23"/>
  <c r="P157" i="23"/>
  <c r="O157" i="23"/>
  <c r="O158" i="23" s="1"/>
  <c r="N157" i="23"/>
  <c r="M157" i="23"/>
  <c r="L157" i="23"/>
  <c r="K157" i="23"/>
  <c r="J157" i="23"/>
  <c r="I157" i="23"/>
  <c r="H157" i="23"/>
  <c r="G157" i="23"/>
  <c r="F157" i="23"/>
  <c r="E157" i="23"/>
  <c r="D157" i="23"/>
  <c r="AD157" i="23" s="1"/>
  <c r="W156" i="23"/>
  <c r="V156" i="23"/>
  <c r="V158" i="23" s="1"/>
  <c r="U156" i="23"/>
  <c r="T156" i="23"/>
  <c r="S156" i="23"/>
  <c r="S158" i="23" s="1"/>
  <c r="R156" i="23"/>
  <c r="Q156" i="23"/>
  <c r="Q158" i="23" s="1"/>
  <c r="P156" i="23"/>
  <c r="P158" i="23" s="1"/>
  <c r="O156" i="23"/>
  <c r="N156" i="23"/>
  <c r="N158" i="23" s="1"/>
  <c r="M156" i="23"/>
  <c r="L156" i="23"/>
  <c r="K156" i="23"/>
  <c r="K158" i="23" s="1"/>
  <c r="J156" i="23"/>
  <c r="I156" i="23"/>
  <c r="I158" i="23" s="1"/>
  <c r="H156" i="23"/>
  <c r="H158" i="23" s="1"/>
  <c r="G156" i="23"/>
  <c r="F156" i="23"/>
  <c r="F158" i="23" s="1"/>
  <c r="E156" i="23"/>
  <c r="D156" i="23"/>
  <c r="AC156" i="23" s="1"/>
  <c r="W155" i="23"/>
  <c r="V155" i="23"/>
  <c r="U155" i="23"/>
  <c r="T155" i="23"/>
  <c r="S155" i="23"/>
  <c r="R155" i="23"/>
  <c r="Q155" i="23"/>
  <c r="P155" i="23"/>
  <c r="O155" i="23"/>
  <c r="N155" i="23"/>
  <c r="M155" i="23"/>
  <c r="L155" i="23"/>
  <c r="K155" i="23"/>
  <c r="J155" i="23"/>
  <c r="I155" i="23"/>
  <c r="H155" i="23"/>
  <c r="G155" i="23"/>
  <c r="F155" i="23"/>
  <c r="E155" i="23"/>
  <c r="D155" i="23"/>
  <c r="V153" i="23"/>
  <c r="T153" i="23"/>
  <c r="R153" i="23"/>
  <c r="N153" i="23"/>
  <c r="L153" i="23"/>
  <c r="J153" i="23"/>
  <c r="F153" i="23"/>
  <c r="W152" i="23"/>
  <c r="W153" i="23" s="1"/>
  <c r="V152" i="23"/>
  <c r="U152" i="23"/>
  <c r="U153" i="23" s="1"/>
  <c r="T152" i="23"/>
  <c r="S152" i="23"/>
  <c r="S153" i="23" s="1"/>
  <c r="R152" i="23"/>
  <c r="Q152" i="23"/>
  <c r="Q153" i="23" s="1"/>
  <c r="P152" i="23"/>
  <c r="P153" i="23" s="1"/>
  <c r="O152" i="23"/>
  <c r="O153" i="23" s="1"/>
  <c r="N152" i="23"/>
  <c r="M152" i="23"/>
  <c r="M153" i="23" s="1"/>
  <c r="L152" i="23"/>
  <c r="K152" i="23"/>
  <c r="K153" i="23" s="1"/>
  <c r="J152" i="23"/>
  <c r="I152" i="23"/>
  <c r="I153" i="23" s="1"/>
  <c r="H152" i="23"/>
  <c r="H153" i="23" s="1"/>
  <c r="G152" i="23"/>
  <c r="G153" i="23" s="1"/>
  <c r="F152" i="23"/>
  <c r="E152" i="23"/>
  <c r="E153" i="23" s="1"/>
  <c r="X144" i="23"/>
  <c r="AE139" i="23"/>
  <c r="W139" i="23"/>
  <c r="V139" i="23"/>
  <c r="U139" i="23"/>
  <c r="T139" i="23"/>
  <c r="S139" i="23"/>
  <c r="R139" i="23"/>
  <c r="Q139" i="23"/>
  <c r="P139" i="23"/>
  <c r="O139" i="23"/>
  <c r="N139" i="23"/>
  <c r="M139" i="23"/>
  <c r="L139" i="23"/>
  <c r="K139" i="23"/>
  <c r="J139" i="23"/>
  <c r="I139" i="23"/>
  <c r="H139" i="23"/>
  <c r="G139" i="23"/>
  <c r="F139" i="23"/>
  <c r="E139" i="23"/>
  <c r="AA139" i="23" s="1"/>
  <c r="D139" i="23"/>
  <c r="Z139" i="23" s="1"/>
  <c r="W138" i="23"/>
  <c r="V138" i="23"/>
  <c r="U138" i="23"/>
  <c r="T138" i="23"/>
  <c r="S138" i="23"/>
  <c r="R138" i="23"/>
  <c r="Q138" i="23"/>
  <c r="P138" i="23"/>
  <c r="O138" i="23"/>
  <c r="N138" i="23"/>
  <c r="M138" i="23"/>
  <c r="L138" i="23"/>
  <c r="K138" i="23"/>
  <c r="J138" i="23"/>
  <c r="I138" i="23"/>
  <c r="Y138" i="23" s="1"/>
  <c r="H138" i="23"/>
  <c r="G138" i="23"/>
  <c r="F138" i="23"/>
  <c r="E138" i="23"/>
  <c r="AA138" i="23" s="1"/>
  <c r="D138" i="23"/>
  <c r="Z138" i="23" s="1"/>
  <c r="V137" i="23"/>
  <c r="Q137" i="23"/>
  <c r="P137" i="23"/>
  <c r="N137" i="23"/>
  <c r="I137" i="23"/>
  <c r="H137" i="23"/>
  <c r="F137" i="23"/>
  <c r="W136" i="23"/>
  <c r="V136" i="23"/>
  <c r="U136" i="23"/>
  <c r="T136" i="23"/>
  <c r="S136" i="23"/>
  <c r="S137" i="23" s="1"/>
  <c r="R136" i="23"/>
  <c r="Q136" i="23"/>
  <c r="P136" i="23"/>
  <c r="O136" i="23"/>
  <c r="N136" i="23"/>
  <c r="M136" i="23"/>
  <c r="L136" i="23"/>
  <c r="K136" i="23"/>
  <c r="K137" i="23" s="1"/>
  <c r="J136" i="23"/>
  <c r="I136" i="23"/>
  <c r="H136" i="23"/>
  <c r="G136" i="23"/>
  <c r="F136" i="23"/>
  <c r="E136" i="23"/>
  <c r="AA136" i="23" s="1"/>
  <c r="D136" i="23"/>
  <c r="Z136" i="23" s="1"/>
  <c r="W135" i="23"/>
  <c r="W137" i="23" s="1"/>
  <c r="V135" i="23"/>
  <c r="U135" i="23"/>
  <c r="U137" i="23" s="1"/>
  <c r="T135" i="23"/>
  <c r="T137" i="23" s="1"/>
  <c r="S135" i="23"/>
  <c r="R135" i="23"/>
  <c r="R137" i="23" s="1"/>
  <c r="Q135" i="23"/>
  <c r="P135" i="23"/>
  <c r="O135" i="23"/>
  <c r="O137" i="23" s="1"/>
  <c r="N135" i="23"/>
  <c r="M135" i="23"/>
  <c r="M137" i="23" s="1"/>
  <c r="L135" i="23"/>
  <c r="L137" i="23" s="1"/>
  <c r="K135" i="23"/>
  <c r="J135" i="23"/>
  <c r="J137" i="23" s="1"/>
  <c r="I135" i="23"/>
  <c r="H135" i="23"/>
  <c r="G135" i="23"/>
  <c r="G137" i="23" s="1"/>
  <c r="F135" i="23"/>
  <c r="E135" i="23"/>
  <c r="E137" i="23" s="1"/>
  <c r="D135" i="23"/>
  <c r="AC135" i="23" s="1"/>
  <c r="W134" i="23"/>
  <c r="V134" i="23"/>
  <c r="U134" i="23"/>
  <c r="T134" i="23"/>
  <c r="S134" i="23"/>
  <c r="R134" i="23"/>
  <c r="Q134" i="23"/>
  <c r="P134" i="23"/>
  <c r="O134" i="23"/>
  <c r="N134" i="23"/>
  <c r="M134" i="23"/>
  <c r="L134" i="23"/>
  <c r="K134" i="23"/>
  <c r="J134" i="23"/>
  <c r="I134" i="23"/>
  <c r="H134" i="23"/>
  <c r="G134" i="23"/>
  <c r="F134" i="23"/>
  <c r="E134" i="23"/>
  <c r="D134" i="23"/>
  <c r="V132" i="23"/>
  <c r="R132" i="23"/>
  <c r="P132" i="23"/>
  <c r="N132" i="23"/>
  <c r="J132" i="23"/>
  <c r="H132" i="23"/>
  <c r="F132" i="23"/>
  <c r="W131" i="23"/>
  <c r="W132" i="23" s="1"/>
  <c r="V131" i="23"/>
  <c r="U131" i="23"/>
  <c r="U132" i="23" s="1"/>
  <c r="T131" i="23"/>
  <c r="T132" i="23" s="1"/>
  <c r="S131" i="23"/>
  <c r="S132" i="23" s="1"/>
  <c r="R131" i="23"/>
  <c r="Q131" i="23"/>
  <c r="Q132" i="23" s="1"/>
  <c r="P131" i="23"/>
  <c r="O131" i="23"/>
  <c r="O132" i="23" s="1"/>
  <c r="N131" i="23"/>
  <c r="M131" i="23"/>
  <c r="M132" i="23" s="1"/>
  <c r="L131" i="23"/>
  <c r="L132" i="23" s="1"/>
  <c r="K131" i="23"/>
  <c r="K132" i="23" s="1"/>
  <c r="J131" i="23"/>
  <c r="I131" i="23"/>
  <c r="I132" i="23" s="1"/>
  <c r="H131" i="23"/>
  <c r="G131" i="23"/>
  <c r="G132" i="23" s="1"/>
  <c r="F131" i="23"/>
  <c r="E131" i="23"/>
  <c r="E132" i="23" s="1"/>
  <c r="X123" i="23"/>
  <c r="B116" i="23"/>
  <c r="AE65" i="23"/>
  <c r="AD65" i="23"/>
  <c r="AC65" i="23"/>
  <c r="AC64" i="23"/>
  <c r="W64" i="23"/>
  <c r="V64" i="23"/>
  <c r="U64" i="23"/>
  <c r="T64" i="23"/>
  <c r="S64" i="23"/>
  <c r="R64" i="23"/>
  <c r="Q64" i="23"/>
  <c r="P64" i="23"/>
  <c r="O64" i="23"/>
  <c r="N64" i="23"/>
  <c r="M64" i="23"/>
  <c r="L64" i="23"/>
  <c r="K64" i="23"/>
  <c r="J64" i="23"/>
  <c r="I64" i="23"/>
  <c r="H64" i="23"/>
  <c r="G64" i="23"/>
  <c r="AA64" i="23" s="1"/>
  <c r="F64" i="23"/>
  <c r="E64" i="23"/>
  <c r="D64" i="23"/>
  <c r="Z64" i="23" s="1"/>
  <c r="AB63" i="23"/>
  <c r="W63" i="23"/>
  <c r="V63" i="23"/>
  <c r="U63" i="23"/>
  <c r="T63" i="23"/>
  <c r="S63" i="23"/>
  <c r="R63" i="23"/>
  <c r="Q63" i="23"/>
  <c r="P63" i="23"/>
  <c r="O63" i="23"/>
  <c r="N63" i="23"/>
  <c r="M63" i="23"/>
  <c r="L63" i="23"/>
  <c r="K63" i="23"/>
  <c r="J63" i="23"/>
  <c r="I63" i="23"/>
  <c r="H63" i="23"/>
  <c r="G63" i="23"/>
  <c r="F63" i="23"/>
  <c r="E63" i="23"/>
  <c r="D63" i="23"/>
  <c r="AA63" i="23" s="1"/>
  <c r="AC62" i="23"/>
  <c r="AB62" i="23"/>
  <c r="W62" i="23"/>
  <c r="V62" i="23"/>
  <c r="U62" i="23"/>
  <c r="T62" i="23"/>
  <c r="S62" i="23"/>
  <c r="R62" i="23"/>
  <c r="Q62" i="23"/>
  <c r="P62" i="23"/>
  <c r="O62" i="23"/>
  <c r="N62" i="23"/>
  <c r="M62" i="23"/>
  <c r="L62" i="23"/>
  <c r="K62" i="23"/>
  <c r="J62" i="23"/>
  <c r="I62" i="23"/>
  <c r="Z62" i="23" s="1"/>
  <c r="H62" i="23"/>
  <c r="G62" i="23"/>
  <c r="F62" i="23"/>
  <c r="E62" i="23"/>
  <c r="D62" i="23"/>
  <c r="Y62" i="23" s="1"/>
  <c r="W61" i="23"/>
  <c r="V61" i="23"/>
  <c r="U61" i="23"/>
  <c r="T61" i="23"/>
  <c r="S61" i="23"/>
  <c r="R61" i="23"/>
  <c r="Q61" i="23"/>
  <c r="P61" i="23"/>
  <c r="O61" i="23"/>
  <c r="N61" i="23"/>
  <c r="M61" i="23"/>
  <c r="L61" i="23"/>
  <c r="K61" i="23"/>
  <c r="J61" i="23"/>
  <c r="I61" i="23"/>
  <c r="Y61" i="23" s="1"/>
  <c r="H61" i="23"/>
  <c r="G61" i="23"/>
  <c r="F61" i="23"/>
  <c r="E61" i="23"/>
  <c r="D61" i="23"/>
  <c r="AA61" i="23" s="1"/>
  <c r="AC60" i="23"/>
  <c r="W60" i="23"/>
  <c r="V60" i="23"/>
  <c r="U60" i="23"/>
  <c r="T60" i="23"/>
  <c r="S60" i="23"/>
  <c r="R60" i="23"/>
  <c r="Q60" i="23"/>
  <c r="P60" i="23"/>
  <c r="O60" i="23"/>
  <c r="N60" i="23"/>
  <c r="M60" i="23"/>
  <c r="L60" i="23"/>
  <c r="K60" i="23"/>
  <c r="J60" i="23"/>
  <c r="I60" i="23"/>
  <c r="Z60" i="23" s="1"/>
  <c r="H60" i="23"/>
  <c r="G60" i="23"/>
  <c r="F60" i="23"/>
  <c r="E60" i="23"/>
  <c r="D60" i="23"/>
  <c r="Y60" i="23" s="1"/>
  <c r="AC59" i="23"/>
  <c r="AB59" i="23"/>
  <c r="W59" i="23"/>
  <c r="V59" i="23"/>
  <c r="U59" i="23"/>
  <c r="T59" i="23"/>
  <c r="S59" i="23"/>
  <c r="R59" i="23"/>
  <c r="Q59" i="23"/>
  <c r="P59" i="23"/>
  <c r="O59" i="23"/>
  <c r="N59" i="23"/>
  <c r="M59" i="23"/>
  <c r="L59" i="23"/>
  <c r="K59" i="23"/>
  <c r="AA59" i="23" s="1"/>
  <c r="J59" i="23"/>
  <c r="I59" i="23"/>
  <c r="H59" i="23"/>
  <c r="G59" i="23"/>
  <c r="F59" i="23"/>
  <c r="E59" i="23"/>
  <c r="D59" i="23"/>
  <c r="Z59" i="23" s="1"/>
  <c r="W58" i="23"/>
  <c r="V58" i="23"/>
  <c r="S58" i="23"/>
  <c r="Q58" i="23"/>
  <c r="O58" i="23"/>
  <c r="N58" i="23"/>
  <c r="K58" i="23"/>
  <c r="I58" i="23"/>
  <c r="G58" i="23"/>
  <c r="F58" i="23"/>
  <c r="AC57" i="23"/>
  <c r="W57" i="23"/>
  <c r="V57" i="23"/>
  <c r="U57" i="23"/>
  <c r="U58" i="23" s="1"/>
  <c r="T57" i="23"/>
  <c r="T58" i="23" s="1"/>
  <c r="S57" i="23"/>
  <c r="R57" i="23"/>
  <c r="R58" i="23" s="1"/>
  <c r="Q57" i="23"/>
  <c r="P57" i="23"/>
  <c r="P58" i="23" s="1"/>
  <c r="O57" i="23"/>
  <c r="N57" i="23"/>
  <c r="M57" i="23"/>
  <c r="M58" i="23" s="1"/>
  <c r="L57" i="23"/>
  <c r="L58" i="23" s="1"/>
  <c r="K57" i="23"/>
  <c r="J57" i="23"/>
  <c r="J58" i="23" s="1"/>
  <c r="I57" i="23"/>
  <c r="H57" i="23"/>
  <c r="Z57" i="23" s="1"/>
  <c r="G57" i="23"/>
  <c r="F57" i="23"/>
  <c r="E57" i="23"/>
  <c r="E58" i="23" s="1"/>
  <c r="D57" i="23"/>
  <c r="D58" i="23" s="1"/>
  <c r="AC56" i="23"/>
  <c r="T56" i="23"/>
  <c r="R56" i="23"/>
  <c r="L56" i="23"/>
  <c r="J56" i="23"/>
  <c r="D56" i="23"/>
  <c r="AD55" i="23"/>
  <c r="W55" i="23"/>
  <c r="V55" i="23"/>
  <c r="U55" i="23"/>
  <c r="T55" i="23"/>
  <c r="S55" i="23"/>
  <c r="R55" i="23"/>
  <c r="Q55" i="23"/>
  <c r="P55" i="23"/>
  <c r="O55" i="23"/>
  <c r="N55" i="23"/>
  <c r="M55" i="23"/>
  <c r="L55" i="23"/>
  <c r="K55" i="23"/>
  <c r="J55" i="23"/>
  <c r="I55" i="23"/>
  <c r="H55" i="23"/>
  <c r="G55" i="23"/>
  <c r="F55" i="23"/>
  <c r="E55" i="23"/>
  <c r="AC55" i="23" s="1"/>
  <c r="D55" i="23"/>
  <c r="AB55" i="23" s="1"/>
  <c r="AC54" i="23"/>
  <c r="W54" i="23"/>
  <c r="V54" i="23"/>
  <c r="U54" i="23"/>
  <c r="T54" i="23"/>
  <c r="S54" i="23"/>
  <c r="R54" i="23"/>
  <c r="Q54" i="23"/>
  <c r="P54" i="23"/>
  <c r="O54" i="23"/>
  <c r="N54" i="23"/>
  <c r="M54" i="23"/>
  <c r="L54" i="23"/>
  <c r="K54" i="23"/>
  <c r="J54" i="23"/>
  <c r="I54" i="23"/>
  <c r="H54" i="23"/>
  <c r="G54" i="23"/>
  <c r="F54" i="23"/>
  <c r="AA54" i="23" s="1"/>
  <c r="E54" i="23"/>
  <c r="D54" i="23"/>
  <c r="W53" i="23"/>
  <c r="V53" i="23"/>
  <c r="U53" i="23"/>
  <c r="T53" i="23"/>
  <c r="S53" i="23"/>
  <c r="R53" i="23"/>
  <c r="Q53" i="23"/>
  <c r="P53" i="23"/>
  <c r="O53" i="23"/>
  <c r="N53" i="23"/>
  <c r="M53" i="23"/>
  <c r="L53" i="23"/>
  <c r="K53" i="23"/>
  <c r="J53" i="23"/>
  <c r="I53" i="23"/>
  <c r="H53" i="23"/>
  <c r="AA53" i="23" s="1"/>
  <c r="G53" i="23"/>
  <c r="Y53" i="23" s="1"/>
  <c r="Y48" i="23" s="1"/>
  <c r="F53" i="23"/>
  <c r="E53" i="23"/>
  <c r="X53" i="23" s="1"/>
  <c r="D53" i="23"/>
  <c r="AD52" i="23"/>
  <c r="AC52" i="23"/>
  <c r="AB52" i="23"/>
  <c r="X46" i="23" s="1"/>
  <c r="AA52" i="23"/>
  <c r="W52" i="23"/>
  <c r="V52" i="23"/>
  <c r="U52" i="23"/>
  <c r="T52" i="23"/>
  <c r="S52" i="23"/>
  <c r="R52" i="23"/>
  <c r="Q52" i="23"/>
  <c r="P52" i="23"/>
  <c r="O52" i="23"/>
  <c r="N52" i="23"/>
  <c r="M52" i="23"/>
  <c r="L52" i="23"/>
  <c r="K52" i="23"/>
  <c r="J52" i="23"/>
  <c r="I52" i="23"/>
  <c r="H52" i="23"/>
  <c r="G52" i="23"/>
  <c r="Y52" i="23" s="1"/>
  <c r="Y47" i="23" s="1"/>
  <c r="F52" i="23"/>
  <c r="E52" i="23"/>
  <c r="D52" i="23"/>
  <c r="X52" i="23" s="1"/>
  <c r="W49" i="23"/>
  <c r="W56" i="23" s="1"/>
  <c r="V49" i="23"/>
  <c r="V56" i="23" s="1"/>
  <c r="U49" i="23"/>
  <c r="U56" i="23" s="1"/>
  <c r="T49" i="23"/>
  <c r="S49" i="23"/>
  <c r="S56" i="23" s="1"/>
  <c r="R49" i="23"/>
  <c r="Q49" i="23"/>
  <c r="Q56" i="23" s="1"/>
  <c r="P49" i="23"/>
  <c r="P56" i="23" s="1"/>
  <c r="O49" i="23"/>
  <c r="O56" i="23" s="1"/>
  <c r="N49" i="23"/>
  <c r="N56" i="23" s="1"/>
  <c r="M49" i="23"/>
  <c r="M56" i="23" s="1"/>
  <c r="L49" i="23"/>
  <c r="K49" i="23"/>
  <c r="K56" i="23" s="1"/>
  <c r="J49" i="23"/>
  <c r="I49" i="23"/>
  <c r="I56" i="23" s="1"/>
  <c r="H49" i="23"/>
  <c r="H56" i="23" s="1"/>
  <c r="G49" i="23"/>
  <c r="G56" i="23" s="1"/>
  <c r="F49" i="23"/>
  <c r="F56" i="23" s="1"/>
  <c r="E49" i="23"/>
  <c r="E56" i="23" s="1"/>
  <c r="D49" i="23"/>
  <c r="Y46" i="23"/>
  <c r="AE38" i="23"/>
  <c r="AD38" i="23"/>
  <c r="AC38" i="23"/>
  <c r="AB38" i="23"/>
  <c r="W38" i="23"/>
  <c r="V38" i="23"/>
  <c r="U38" i="23"/>
  <c r="T38" i="23"/>
  <c r="S38" i="23"/>
  <c r="R38" i="23"/>
  <c r="Q38" i="23"/>
  <c r="P38" i="23"/>
  <c r="O38" i="23"/>
  <c r="N38" i="23"/>
  <c r="M38" i="23"/>
  <c r="L38" i="23"/>
  <c r="K38" i="23"/>
  <c r="J38" i="23"/>
  <c r="I38" i="23"/>
  <c r="H38" i="23"/>
  <c r="G38" i="23"/>
  <c r="F38" i="23"/>
  <c r="E38" i="23"/>
  <c r="AA38" i="23" s="1"/>
  <c r="D38" i="23"/>
  <c r="Y37" i="23"/>
  <c r="W37" i="23"/>
  <c r="V37" i="23"/>
  <c r="U37" i="23"/>
  <c r="T37" i="23"/>
  <c r="S37" i="23"/>
  <c r="R37" i="23"/>
  <c r="Q37" i="23"/>
  <c r="P37" i="23"/>
  <c r="O37" i="23"/>
  <c r="N37" i="23"/>
  <c r="M37" i="23"/>
  <c r="L37" i="23"/>
  <c r="K37" i="23"/>
  <c r="J37" i="23"/>
  <c r="I37" i="23"/>
  <c r="H37" i="23"/>
  <c r="G37" i="23"/>
  <c r="F37" i="23"/>
  <c r="AA37" i="23" s="1"/>
  <c r="E37" i="23"/>
  <c r="D37" i="23"/>
  <c r="X37" i="23" s="1"/>
  <c r="AD36" i="23"/>
  <c r="AC36" i="23"/>
  <c r="AB36" i="23"/>
  <c r="Y36" i="23"/>
  <c r="X36" i="23"/>
  <c r="W36" i="23"/>
  <c r="V36" i="23"/>
  <c r="U36" i="23"/>
  <c r="T36" i="23"/>
  <c r="S36" i="23"/>
  <c r="R36" i="23"/>
  <c r="Q36" i="23"/>
  <c r="P36" i="23"/>
  <c r="O36" i="23"/>
  <c r="N36" i="23"/>
  <c r="M36" i="23"/>
  <c r="L36" i="23"/>
  <c r="K36" i="23"/>
  <c r="J36" i="23"/>
  <c r="I36" i="23"/>
  <c r="H36" i="23"/>
  <c r="G36" i="23"/>
  <c r="F36" i="23"/>
  <c r="AA36" i="23" s="1"/>
  <c r="E36" i="23"/>
  <c r="D36" i="23"/>
  <c r="B25" i="23"/>
  <c r="AE160" i="22"/>
  <c r="W160" i="22"/>
  <c r="V160" i="22"/>
  <c r="U160" i="22"/>
  <c r="T160" i="22"/>
  <c r="S160" i="22"/>
  <c r="R160" i="22"/>
  <c r="Q160" i="22"/>
  <c r="P160" i="22"/>
  <c r="O160" i="22"/>
  <c r="N160" i="22"/>
  <c r="M160" i="22"/>
  <c r="L160" i="22"/>
  <c r="K160" i="22"/>
  <c r="J160" i="22"/>
  <c r="I160" i="22"/>
  <c r="H160" i="22"/>
  <c r="G160" i="22"/>
  <c r="F160" i="22"/>
  <c r="E160" i="22"/>
  <c r="D160" i="22"/>
  <c r="W159" i="22"/>
  <c r="V159" i="22"/>
  <c r="U159" i="22"/>
  <c r="T159" i="22"/>
  <c r="S159" i="22"/>
  <c r="R159" i="22"/>
  <c r="Q159" i="22"/>
  <c r="P159" i="22"/>
  <c r="O159" i="22"/>
  <c r="N159" i="22"/>
  <c r="M159" i="22"/>
  <c r="L159" i="22"/>
  <c r="K159" i="22"/>
  <c r="J159" i="22"/>
  <c r="I159" i="22"/>
  <c r="H159" i="22"/>
  <c r="G159" i="22"/>
  <c r="F159" i="22"/>
  <c r="E159" i="22"/>
  <c r="D159" i="22"/>
  <c r="Z159" i="22" s="1"/>
  <c r="V158" i="22"/>
  <c r="T158" i="22"/>
  <c r="S158" i="22"/>
  <c r="N158" i="22"/>
  <c r="K158" i="22"/>
  <c r="F158" i="22"/>
  <c r="W157" i="22"/>
  <c r="V157" i="22"/>
  <c r="U157" i="22"/>
  <c r="T157" i="22"/>
  <c r="S157" i="22"/>
  <c r="R157" i="22"/>
  <c r="Q157" i="22"/>
  <c r="P157" i="22"/>
  <c r="O157" i="22"/>
  <c r="N157" i="22"/>
  <c r="M157" i="22"/>
  <c r="L157" i="22"/>
  <c r="K157" i="22"/>
  <c r="J157" i="22"/>
  <c r="I157" i="22"/>
  <c r="H157" i="22"/>
  <c r="G157" i="22"/>
  <c r="F157" i="22"/>
  <c r="E157" i="22"/>
  <c r="D157" i="22"/>
  <c r="AC157" i="22" s="1"/>
  <c r="W156" i="22"/>
  <c r="W158" i="22" s="1"/>
  <c r="V156" i="22"/>
  <c r="U156" i="22"/>
  <c r="U158" i="22" s="1"/>
  <c r="T156" i="22"/>
  <c r="S156" i="22"/>
  <c r="R156" i="22"/>
  <c r="R158" i="22" s="1"/>
  <c r="Q156" i="22"/>
  <c r="Q158" i="22" s="1"/>
  <c r="P156" i="22"/>
  <c r="P158" i="22" s="1"/>
  <c r="O156" i="22"/>
  <c r="O158" i="22" s="1"/>
  <c r="N156" i="22"/>
  <c r="M156" i="22"/>
  <c r="M158" i="22" s="1"/>
  <c r="L156" i="22"/>
  <c r="K156" i="22"/>
  <c r="J156" i="22"/>
  <c r="J158" i="22" s="1"/>
  <c r="I156" i="22"/>
  <c r="I158" i="22" s="1"/>
  <c r="H156" i="22"/>
  <c r="H158" i="22" s="1"/>
  <c r="G156" i="22"/>
  <c r="G158" i="22" s="1"/>
  <c r="F156" i="22"/>
  <c r="E156" i="22"/>
  <c r="D156" i="22"/>
  <c r="AC156" i="22" s="1"/>
  <c r="W155" i="22"/>
  <c r="V155" i="22"/>
  <c r="U155" i="22"/>
  <c r="T155" i="22"/>
  <c r="S155" i="22"/>
  <c r="R155" i="22"/>
  <c r="Q155" i="22"/>
  <c r="P155" i="22"/>
  <c r="O155" i="22"/>
  <c r="N155" i="22"/>
  <c r="M155" i="22"/>
  <c r="L155" i="22"/>
  <c r="K155" i="22"/>
  <c r="J155" i="22"/>
  <c r="I155" i="22"/>
  <c r="H155" i="22"/>
  <c r="G155" i="22"/>
  <c r="F155" i="22"/>
  <c r="E155" i="22"/>
  <c r="D155" i="22"/>
  <c r="V153" i="22"/>
  <c r="T153" i="22"/>
  <c r="S153" i="22"/>
  <c r="R153" i="22"/>
  <c r="P153" i="22"/>
  <c r="N153" i="22"/>
  <c r="L153" i="22"/>
  <c r="K153" i="22"/>
  <c r="J153" i="22"/>
  <c r="H153" i="22"/>
  <c r="F153" i="22"/>
  <c r="W152" i="22"/>
  <c r="W153" i="22" s="1"/>
  <c r="V152" i="22"/>
  <c r="U152" i="22"/>
  <c r="U153" i="22" s="1"/>
  <c r="T152" i="22"/>
  <c r="S152" i="22"/>
  <c r="R152" i="22"/>
  <c r="Q152" i="22"/>
  <c r="Q153" i="22" s="1"/>
  <c r="P152" i="22"/>
  <c r="O152" i="22"/>
  <c r="O153" i="22" s="1"/>
  <c r="N152" i="22"/>
  <c r="M152" i="22"/>
  <c r="M153" i="22" s="1"/>
  <c r="L152" i="22"/>
  <c r="K152" i="22"/>
  <c r="J152" i="22"/>
  <c r="I152" i="22"/>
  <c r="I153" i="22" s="1"/>
  <c r="H152" i="22"/>
  <c r="G152" i="22"/>
  <c r="G153" i="22" s="1"/>
  <c r="F152" i="22"/>
  <c r="E152" i="22"/>
  <c r="E153" i="22" s="1"/>
  <c r="X144" i="22"/>
  <c r="AE139" i="22"/>
  <c r="W139" i="22"/>
  <c r="V139" i="22"/>
  <c r="U139" i="22"/>
  <c r="T139" i="22"/>
  <c r="S139" i="22"/>
  <c r="R139" i="22"/>
  <c r="Q139" i="22"/>
  <c r="P139" i="22"/>
  <c r="O139" i="22"/>
  <c r="N139" i="22"/>
  <c r="M139" i="22"/>
  <c r="L139" i="22"/>
  <c r="K139" i="22"/>
  <c r="J139" i="22"/>
  <c r="I139" i="22"/>
  <c r="H139" i="22"/>
  <c r="G139" i="22"/>
  <c r="F139" i="22"/>
  <c r="E139" i="22"/>
  <c r="D139" i="22"/>
  <c r="W138" i="22"/>
  <c r="V138" i="22"/>
  <c r="U138" i="22"/>
  <c r="T138" i="22"/>
  <c r="S138" i="22"/>
  <c r="R138" i="22"/>
  <c r="Q138" i="22"/>
  <c r="P138" i="22"/>
  <c r="O138" i="22"/>
  <c r="N138" i="22"/>
  <c r="M138" i="22"/>
  <c r="L138" i="22"/>
  <c r="K138" i="22"/>
  <c r="J138" i="22"/>
  <c r="I138" i="22"/>
  <c r="H138" i="22"/>
  <c r="G138" i="22"/>
  <c r="AA138" i="22" s="1"/>
  <c r="F138" i="22"/>
  <c r="E138" i="22"/>
  <c r="Y138" i="22" s="1"/>
  <c r="D138" i="22"/>
  <c r="W137" i="22"/>
  <c r="R137" i="22"/>
  <c r="O137" i="22"/>
  <c r="J137" i="22"/>
  <c r="G137" i="22"/>
  <c r="W136" i="22"/>
  <c r="V136" i="22"/>
  <c r="U136" i="22"/>
  <c r="T136" i="22"/>
  <c r="S136" i="22"/>
  <c r="R136" i="22"/>
  <c r="Q136" i="22"/>
  <c r="P136" i="22"/>
  <c r="O136" i="22"/>
  <c r="N136" i="22"/>
  <c r="M136" i="22"/>
  <c r="L136" i="22"/>
  <c r="K136" i="22"/>
  <c r="J136" i="22"/>
  <c r="I136" i="22"/>
  <c r="H136" i="22"/>
  <c r="G136" i="22"/>
  <c r="F136" i="22"/>
  <c r="E136" i="22"/>
  <c r="D136" i="22"/>
  <c r="W135" i="22"/>
  <c r="V135" i="22"/>
  <c r="V137" i="22" s="1"/>
  <c r="U135" i="22"/>
  <c r="U137" i="22" s="1"/>
  <c r="T135" i="22"/>
  <c r="T137" i="22" s="1"/>
  <c r="S135" i="22"/>
  <c r="S137" i="22" s="1"/>
  <c r="R135" i="22"/>
  <c r="Q135" i="22"/>
  <c r="Q137" i="22" s="1"/>
  <c r="P135" i="22"/>
  <c r="P137" i="22" s="1"/>
  <c r="O135" i="22"/>
  <c r="N135" i="22"/>
  <c r="N137" i="22" s="1"/>
  <c r="M135" i="22"/>
  <c r="M137" i="22" s="1"/>
  <c r="L135" i="22"/>
  <c r="L137" i="22" s="1"/>
  <c r="K135" i="22"/>
  <c r="K137" i="22" s="1"/>
  <c r="J135" i="22"/>
  <c r="I135" i="22"/>
  <c r="I137" i="22" s="1"/>
  <c r="H135" i="22"/>
  <c r="H137" i="22" s="1"/>
  <c r="G135" i="22"/>
  <c r="F135" i="22"/>
  <c r="F137" i="22" s="1"/>
  <c r="E135" i="22"/>
  <c r="D135" i="22"/>
  <c r="W134" i="22"/>
  <c r="V134" i="22"/>
  <c r="U134" i="22"/>
  <c r="T134" i="22"/>
  <c r="S134" i="22"/>
  <c r="R134" i="22"/>
  <c r="Q134" i="22"/>
  <c r="P134" i="22"/>
  <c r="O134" i="22"/>
  <c r="N134" i="22"/>
  <c r="M134" i="22"/>
  <c r="L134" i="22"/>
  <c r="K134" i="22"/>
  <c r="J134" i="22"/>
  <c r="I134" i="22"/>
  <c r="H134" i="22"/>
  <c r="G134" i="22"/>
  <c r="F134" i="22"/>
  <c r="E134" i="22"/>
  <c r="D134" i="22"/>
  <c r="W132" i="22"/>
  <c r="V132" i="22"/>
  <c r="T132" i="22"/>
  <c r="R132" i="22"/>
  <c r="P132" i="22"/>
  <c r="O132" i="22"/>
  <c r="N132" i="22"/>
  <c r="L132" i="22"/>
  <c r="J132" i="22"/>
  <c r="H132" i="22"/>
  <c r="G132" i="22"/>
  <c r="F132" i="22"/>
  <c r="D132" i="22"/>
  <c r="X132" i="22" s="1"/>
  <c r="W131" i="22"/>
  <c r="V131" i="22"/>
  <c r="U131" i="22"/>
  <c r="U132" i="22" s="1"/>
  <c r="T131" i="22"/>
  <c r="S131" i="22"/>
  <c r="S132" i="22" s="1"/>
  <c r="R131" i="22"/>
  <c r="Q131" i="22"/>
  <c r="Q132" i="22" s="1"/>
  <c r="P131" i="22"/>
  <c r="O131" i="22"/>
  <c r="N131" i="22"/>
  <c r="M131" i="22"/>
  <c r="M132" i="22" s="1"/>
  <c r="L131" i="22"/>
  <c r="K131" i="22"/>
  <c r="K132" i="22" s="1"/>
  <c r="J131" i="22"/>
  <c r="I131" i="22"/>
  <c r="I132" i="22" s="1"/>
  <c r="H131" i="22"/>
  <c r="G131" i="22"/>
  <c r="F131" i="22"/>
  <c r="E131" i="22"/>
  <c r="E132" i="22" s="1"/>
  <c r="D131" i="22"/>
  <c r="X131" i="22" s="1"/>
  <c r="X123" i="22"/>
  <c r="B116" i="22"/>
  <c r="AE65" i="22"/>
  <c r="AD65" i="22"/>
  <c r="AC65" i="22"/>
  <c r="AC64" i="22"/>
  <c r="W64" i="22"/>
  <c r="V64" i="22"/>
  <c r="U64" i="22"/>
  <c r="T64" i="22"/>
  <c r="S64" i="22"/>
  <c r="R64" i="22"/>
  <c r="Q64" i="22"/>
  <c r="P64" i="22"/>
  <c r="O64" i="22"/>
  <c r="N64" i="22"/>
  <c r="M64" i="22"/>
  <c r="L64" i="22"/>
  <c r="K64" i="22"/>
  <c r="J64" i="22"/>
  <c r="I64" i="22"/>
  <c r="H64" i="22"/>
  <c r="G64" i="22"/>
  <c r="F64" i="22"/>
  <c r="E64" i="22"/>
  <c r="D64" i="22"/>
  <c r="AA64" i="22" s="1"/>
  <c r="AB63" i="22"/>
  <c r="W63" i="22"/>
  <c r="V63" i="22"/>
  <c r="U63" i="22"/>
  <c r="T63" i="22"/>
  <c r="S63" i="22"/>
  <c r="R63" i="22"/>
  <c r="Q63" i="22"/>
  <c r="P63" i="22"/>
  <c r="O63" i="22"/>
  <c r="N63" i="22"/>
  <c r="M63" i="22"/>
  <c r="L63" i="22"/>
  <c r="K63" i="22"/>
  <c r="J63" i="22"/>
  <c r="I63" i="22"/>
  <c r="H63" i="22"/>
  <c r="G63" i="22"/>
  <c r="F63" i="22"/>
  <c r="E63" i="22"/>
  <c r="D63" i="22"/>
  <c r="AA63" i="22" s="1"/>
  <c r="AC62" i="22"/>
  <c r="AB62" i="22"/>
  <c r="W62" i="22"/>
  <c r="V62" i="22"/>
  <c r="U62" i="22"/>
  <c r="T62" i="22"/>
  <c r="S62" i="22"/>
  <c r="R62" i="22"/>
  <c r="Q62" i="22"/>
  <c r="P62" i="22"/>
  <c r="O62" i="22"/>
  <c r="N62" i="22"/>
  <c r="M62" i="22"/>
  <c r="L62" i="22"/>
  <c r="K62" i="22"/>
  <c r="J62" i="22"/>
  <c r="I62" i="22"/>
  <c r="H62" i="22"/>
  <c r="G62" i="22"/>
  <c r="F62" i="22"/>
  <c r="E62" i="22"/>
  <c r="D62" i="22"/>
  <c r="Y62" i="22" s="1"/>
  <c r="W61" i="22"/>
  <c r="V61" i="22"/>
  <c r="U61" i="22"/>
  <c r="T61" i="22"/>
  <c r="S61" i="22"/>
  <c r="R61" i="22"/>
  <c r="Q61" i="22"/>
  <c r="P61" i="22"/>
  <c r="O61" i="22"/>
  <c r="N61" i="22"/>
  <c r="M61" i="22"/>
  <c r="L61" i="22"/>
  <c r="K61" i="22"/>
  <c r="J61" i="22"/>
  <c r="I61" i="22"/>
  <c r="H61" i="22"/>
  <c r="G61" i="22"/>
  <c r="F61" i="22"/>
  <c r="E61" i="22"/>
  <c r="D61" i="22"/>
  <c r="AA61" i="22" s="1"/>
  <c r="AC60" i="22"/>
  <c r="W60" i="22"/>
  <c r="V60" i="22"/>
  <c r="U60" i="22"/>
  <c r="T60" i="22"/>
  <c r="S60" i="22"/>
  <c r="R60" i="22"/>
  <c r="Q60" i="22"/>
  <c r="P60" i="22"/>
  <c r="O60" i="22"/>
  <c r="N60" i="22"/>
  <c r="M60" i="22"/>
  <c r="L60" i="22"/>
  <c r="K60" i="22"/>
  <c r="J60" i="22"/>
  <c r="I60" i="22"/>
  <c r="H60" i="22"/>
  <c r="G60" i="22"/>
  <c r="F60" i="22"/>
  <c r="E60" i="22"/>
  <c r="D60" i="22"/>
  <c r="Y60" i="22" s="1"/>
  <c r="AC59" i="22"/>
  <c r="AB59" i="22"/>
  <c r="X59" i="22" s="1"/>
  <c r="W59" i="22"/>
  <c r="V59" i="22"/>
  <c r="U59" i="22"/>
  <c r="T59" i="22"/>
  <c r="S59" i="22"/>
  <c r="R59" i="22"/>
  <c r="Q59" i="22"/>
  <c r="P59" i="22"/>
  <c r="O59" i="22"/>
  <c r="N59" i="22"/>
  <c r="M59" i="22"/>
  <c r="L59" i="22"/>
  <c r="K59" i="22"/>
  <c r="J59" i="22"/>
  <c r="I59" i="22"/>
  <c r="Y59" i="22" s="1"/>
  <c r="H59" i="22"/>
  <c r="G59" i="22"/>
  <c r="F59" i="22"/>
  <c r="E59" i="22"/>
  <c r="D59" i="22"/>
  <c r="Z59" i="22" s="1"/>
  <c r="W58" i="22"/>
  <c r="U58" i="22"/>
  <c r="Q58" i="22"/>
  <c r="P58" i="22"/>
  <c r="O58" i="22"/>
  <c r="M58" i="22"/>
  <c r="I58" i="22"/>
  <c r="H58" i="22"/>
  <c r="G58" i="22"/>
  <c r="E58" i="22"/>
  <c r="AC57" i="22"/>
  <c r="W57" i="22"/>
  <c r="V57" i="22"/>
  <c r="V58" i="22" s="1"/>
  <c r="U57" i="22"/>
  <c r="T57" i="22"/>
  <c r="T58" i="22" s="1"/>
  <c r="S57" i="22"/>
  <c r="S58" i="22" s="1"/>
  <c r="R57" i="22"/>
  <c r="R58" i="22" s="1"/>
  <c r="Q57" i="22"/>
  <c r="P57" i="22"/>
  <c r="O57" i="22"/>
  <c r="N57" i="22"/>
  <c r="N58" i="22" s="1"/>
  <c r="M57" i="22"/>
  <c r="L57" i="22"/>
  <c r="L58" i="22" s="1"/>
  <c r="K57" i="22"/>
  <c r="K58" i="22" s="1"/>
  <c r="J57" i="22"/>
  <c r="J58" i="22" s="1"/>
  <c r="I57" i="22"/>
  <c r="H57" i="22"/>
  <c r="G57" i="22"/>
  <c r="F57" i="22"/>
  <c r="F58" i="22" s="1"/>
  <c r="E57" i="22"/>
  <c r="D57" i="22"/>
  <c r="D58" i="22" s="1"/>
  <c r="AC56" i="22"/>
  <c r="T56" i="22"/>
  <c r="S56" i="22"/>
  <c r="L56" i="22"/>
  <c r="K56" i="22"/>
  <c r="D56" i="22"/>
  <c r="AD55" i="22"/>
  <c r="W55" i="22"/>
  <c r="V55" i="22"/>
  <c r="U55" i="22"/>
  <c r="T55" i="22"/>
  <c r="S55" i="22"/>
  <c r="R55" i="22"/>
  <c r="Q55" i="22"/>
  <c r="P55" i="22"/>
  <c r="O55" i="22"/>
  <c r="N55" i="22"/>
  <c r="M55" i="22"/>
  <c r="L55" i="22"/>
  <c r="K55" i="22"/>
  <c r="J55" i="22"/>
  <c r="I55" i="22"/>
  <c r="H55" i="22"/>
  <c r="G55" i="22"/>
  <c r="AA55" i="22" s="1"/>
  <c r="F55" i="22"/>
  <c r="Z55" i="22" s="1"/>
  <c r="E55" i="22"/>
  <c r="AC55" i="22" s="1"/>
  <c r="D55" i="22"/>
  <c r="AB55" i="22" s="1"/>
  <c r="AC54" i="22"/>
  <c r="W54" i="22"/>
  <c r="V54" i="22"/>
  <c r="U54" i="22"/>
  <c r="T54" i="22"/>
  <c r="S54" i="22"/>
  <c r="R54" i="22"/>
  <c r="Q54" i="22"/>
  <c r="P54" i="22"/>
  <c r="O54" i="22"/>
  <c r="N54" i="22"/>
  <c r="M54" i="22"/>
  <c r="L54" i="22"/>
  <c r="K54" i="22"/>
  <c r="J54" i="22"/>
  <c r="I54" i="22"/>
  <c r="H54" i="22"/>
  <c r="G54" i="22"/>
  <c r="F54" i="22"/>
  <c r="E54" i="22"/>
  <c r="D54" i="22"/>
  <c r="AA54" i="22" s="1"/>
  <c r="X53" i="22"/>
  <c r="W53" i="22"/>
  <c r="V53" i="22"/>
  <c r="U53" i="22"/>
  <c r="T53" i="22"/>
  <c r="S53" i="22"/>
  <c r="R53" i="22"/>
  <c r="Q53" i="22"/>
  <c r="P53" i="22"/>
  <c r="O53" i="22"/>
  <c r="N53" i="22"/>
  <c r="M53" i="22"/>
  <c r="L53" i="22"/>
  <c r="K53" i="22"/>
  <c r="J53" i="22"/>
  <c r="I53" i="22"/>
  <c r="H53" i="22"/>
  <c r="AA53" i="22" s="1"/>
  <c r="G53" i="22"/>
  <c r="Y53" i="22" s="1"/>
  <c r="F53" i="22"/>
  <c r="E53" i="22"/>
  <c r="D53" i="22"/>
  <c r="AD52" i="22"/>
  <c r="AC52" i="22"/>
  <c r="Y46" i="22" s="1"/>
  <c r="AB52" i="22"/>
  <c r="AA52" i="22"/>
  <c r="Y52" i="22"/>
  <c r="Y47" i="22" s="1"/>
  <c r="W52" i="22"/>
  <c r="V52" i="22"/>
  <c r="U52" i="22"/>
  <c r="T52" i="22"/>
  <c r="S52" i="22"/>
  <c r="R52" i="22"/>
  <c r="Q52" i="22"/>
  <c r="P52" i="22"/>
  <c r="O52" i="22"/>
  <c r="N52" i="22"/>
  <c r="M52" i="22"/>
  <c r="L52" i="22"/>
  <c r="K52" i="22"/>
  <c r="J52" i="22"/>
  <c r="I52" i="22"/>
  <c r="H52" i="22"/>
  <c r="G52" i="22"/>
  <c r="F52" i="22"/>
  <c r="E52" i="22"/>
  <c r="D52" i="22"/>
  <c r="X52" i="22" s="1"/>
  <c r="W49" i="22"/>
  <c r="W56" i="22" s="1"/>
  <c r="V49" i="22"/>
  <c r="V56" i="22" s="1"/>
  <c r="U49" i="22"/>
  <c r="U56" i="22" s="1"/>
  <c r="T49" i="22"/>
  <c r="S49" i="22"/>
  <c r="R49" i="22"/>
  <c r="R56" i="22" s="1"/>
  <c r="Q49" i="22"/>
  <c r="Q56" i="22" s="1"/>
  <c r="P49" i="22"/>
  <c r="P56" i="22" s="1"/>
  <c r="O49" i="22"/>
  <c r="O56" i="22" s="1"/>
  <c r="N49" i="22"/>
  <c r="N56" i="22" s="1"/>
  <c r="M49" i="22"/>
  <c r="M56" i="22" s="1"/>
  <c r="L49" i="22"/>
  <c r="K49" i="22"/>
  <c r="J49" i="22"/>
  <c r="J56" i="22" s="1"/>
  <c r="I49" i="22"/>
  <c r="I56" i="22" s="1"/>
  <c r="H49" i="22"/>
  <c r="H56" i="22" s="1"/>
  <c r="G49" i="22"/>
  <c r="G56" i="22" s="1"/>
  <c r="F49" i="22"/>
  <c r="F56" i="22" s="1"/>
  <c r="E49" i="22"/>
  <c r="E56" i="22" s="1"/>
  <c r="D49" i="22"/>
  <c r="X46" i="22"/>
  <c r="AE38" i="22"/>
  <c r="AD38" i="22"/>
  <c r="AC38" i="22"/>
  <c r="AB38" i="22"/>
  <c r="W38" i="22"/>
  <c r="V38" i="22"/>
  <c r="U38" i="22"/>
  <c r="T38" i="22"/>
  <c r="S38" i="22"/>
  <c r="R38" i="22"/>
  <c r="Q38" i="22"/>
  <c r="P38" i="22"/>
  <c r="O38" i="22"/>
  <c r="N38" i="22"/>
  <c r="M38" i="22"/>
  <c r="L38" i="22"/>
  <c r="K38" i="22"/>
  <c r="J38" i="22"/>
  <c r="I38" i="22"/>
  <c r="H38" i="22"/>
  <c r="G38" i="22"/>
  <c r="F38" i="22"/>
  <c r="E38" i="22"/>
  <c r="D38" i="22"/>
  <c r="Y37" i="22"/>
  <c r="X37" i="22"/>
  <c r="W37" i="22"/>
  <c r="V37" i="22"/>
  <c r="U37" i="22"/>
  <c r="T37" i="22"/>
  <c r="S37" i="22"/>
  <c r="R37" i="22"/>
  <c r="Q37" i="22"/>
  <c r="P37" i="22"/>
  <c r="O37" i="22"/>
  <c r="N37" i="22"/>
  <c r="M37" i="22"/>
  <c r="L37" i="22"/>
  <c r="K37" i="22"/>
  <c r="J37" i="22"/>
  <c r="I37" i="22"/>
  <c r="H37" i="22"/>
  <c r="G37" i="22"/>
  <c r="F37" i="22"/>
  <c r="AA37" i="22" s="1"/>
  <c r="E37" i="22"/>
  <c r="D37" i="22"/>
  <c r="AD36" i="22"/>
  <c r="AC36" i="22"/>
  <c r="AB36" i="22"/>
  <c r="AA36" i="22"/>
  <c r="Y36" i="22"/>
  <c r="X36" i="22"/>
  <c r="W36" i="22"/>
  <c r="V36" i="22"/>
  <c r="U36" i="22"/>
  <c r="T36" i="22"/>
  <c r="S36" i="22"/>
  <c r="R36" i="22"/>
  <c r="Q36" i="22"/>
  <c r="P36" i="22"/>
  <c r="O36" i="22"/>
  <c r="N36" i="22"/>
  <c r="M36" i="22"/>
  <c r="L36" i="22"/>
  <c r="K36" i="22"/>
  <c r="J36" i="22"/>
  <c r="I36" i="22"/>
  <c r="H36" i="22"/>
  <c r="G36" i="22"/>
  <c r="F36" i="22"/>
  <c r="E36" i="22"/>
  <c r="D36" i="22"/>
  <c r="B25" i="22"/>
  <c r="AD36" i="2"/>
  <c r="AC36" i="2"/>
  <c r="AB36" i="2"/>
  <c r="AD52" i="2"/>
  <c r="AC52" i="2"/>
  <c r="AB52" i="2"/>
  <c r="AA159" i="22" l="1"/>
  <c r="Y159" i="22"/>
  <c r="L158" i="22"/>
  <c r="E137" i="22"/>
  <c r="AA136" i="22"/>
  <c r="Z136" i="22"/>
  <c r="Y139" i="22"/>
  <c r="AB135" i="22"/>
  <c r="AA139" i="22"/>
  <c r="AC135" i="22"/>
  <c r="Z160" i="22"/>
  <c r="X160" i="22" s="1"/>
  <c r="X159" i="22"/>
  <c r="O49" i="25"/>
  <c r="O38" i="25"/>
  <c r="O26" i="25"/>
  <c r="O60" i="25"/>
  <c r="O61" i="25"/>
  <c r="O84" i="25"/>
  <c r="P84" i="25" s="1"/>
  <c r="P81" i="25" s="1"/>
  <c r="P82" i="25" s="1"/>
  <c r="P79" i="25" s="1"/>
  <c r="O72" i="25"/>
  <c r="Q84" i="25"/>
  <c r="S51" i="25"/>
  <c r="R51" i="25"/>
  <c r="Q51" i="25"/>
  <c r="O40" i="25"/>
  <c r="P40" i="25" s="1"/>
  <c r="P37" i="25" s="1"/>
  <c r="P38" i="25" s="1"/>
  <c r="Q62" i="25"/>
  <c r="S62" i="25"/>
  <c r="R62" i="25"/>
  <c r="O27" i="25"/>
  <c r="Q28" i="25"/>
  <c r="R73" i="25"/>
  <c r="S73" i="25"/>
  <c r="Q73" i="25"/>
  <c r="R28" i="25"/>
  <c r="O39" i="25"/>
  <c r="S28" i="24"/>
  <c r="Z38" i="22"/>
  <c r="X38" i="22" s="1"/>
  <c r="X33" i="22"/>
  <c r="O27" i="24"/>
  <c r="Q28" i="24"/>
  <c r="R28" i="24"/>
  <c r="O26" i="24"/>
  <c r="O60" i="24"/>
  <c r="R40" i="24"/>
  <c r="O83" i="24"/>
  <c r="Q62" i="24"/>
  <c r="S62" i="24"/>
  <c r="R62" i="24"/>
  <c r="O62" i="24" s="1"/>
  <c r="P62" i="24" s="1"/>
  <c r="P59" i="24" s="1"/>
  <c r="P60" i="24" s="1"/>
  <c r="P57" i="24" s="1"/>
  <c r="S40" i="24"/>
  <c r="O82" i="24"/>
  <c r="O84" i="24"/>
  <c r="P84" i="24" s="1"/>
  <c r="P81" i="24" s="1"/>
  <c r="P82" i="24" s="1"/>
  <c r="P79" i="24" s="1"/>
  <c r="R73" i="24"/>
  <c r="Q73" i="24"/>
  <c r="S73" i="24"/>
  <c r="O72" i="24"/>
  <c r="S51" i="24"/>
  <c r="Q51" i="24"/>
  <c r="R51" i="24"/>
  <c r="AB157" i="23"/>
  <c r="D158" i="23"/>
  <c r="Y156" i="23"/>
  <c r="Y159" i="23"/>
  <c r="Y139" i="23"/>
  <c r="X139" i="23" s="1"/>
  <c r="Y160" i="23"/>
  <c r="U65" i="23"/>
  <c r="X47" i="23"/>
  <c r="X59" i="23"/>
  <c r="X34" i="23"/>
  <c r="R65" i="23"/>
  <c r="AA65" i="23" s="1"/>
  <c r="Y34" i="23"/>
  <c r="X48" i="23"/>
  <c r="X56" i="23"/>
  <c r="Z56" i="23"/>
  <c r="X61" i="23"/>
  <c r="X138" i="23"/>
  <c r="Y56" i="23"/>
  <c r="X33" i="23"/>
  <c r="AD135" i="23"/>
  <c r="AB136" i="23"/>
  <c r="Z156" i="23"/>
  <c r="Y33" i="23"/>
  <c r="AA56" i="23"/>
  <c r="Y57" i="23"/>
  <c r="X57" i="23" s="1"/>
  <c r="H58" i="23"/>
  <c r="AA60" i="23"/>
  <c r="Z61" i="23"/>
  <c r="AA62" i="23"/>
  <c r="Y63" i="23"/>
  <c r="X63" i="23" s="1"/>
  <c r="X64" i="23"/>
  <c r="AC136" i="23"/>
  <c r="AA156" i="23"/>
  <c r="Y157" i="23"/>
  <c r="AB56" i="23"/>
  <c r="Z63" i="23"/>
  <c r="Y64" i="23"/>
  <c r="AD136" i="23"/>
  <c r="AB156" i="23"/>
  <c r="Z157" i="23"/>
  <c r="G158" i="23"/>
  <c r="Y54" i="23"/>
  <c r="X54" i="23" s="1"/>
  <c r="AA57" i="23"/>
  <c r="Y135" i="23"/>
  <c r="D137" i="23"/>
  <c r="AA157" i="23"/>
  <c r="Y38" i="23"/>
  <c r="Z54" i="23"/>
  <c r="Y55" i="23"/>
  <c r="X55" i="23" s="1"/>
  <c r="Z135" i="23"/>
  <c r="AD156" i="23"/>
  <c r="Y35" i="23"/>
  <c r="Z38" i="23"/>
  <c r="Z55" i="23"/>
  <c r="X131" i="23"/>
  <c r="AA135" i="23"/>
  <c r="Y136" i="23"/>
  <c r="AC157" i="23"/>
  <c r="Z158" i="23"/>
  <c r="Z159" i="23"/>
  <c r="X159" i="23" s="1"/>
  <c r="Z160" i="23"/>
  <c r="X160" i="23" s="1"/>
  <c r="X35" i="23"/>
  <c r="AA55" i="23"/>
  <c r="Y59" i="23"/>
  <c r="AB135" i="23"/>
  <c r="Y156" i="22"/>
  <c r="D158" i="22"/>
  <c r="AA160" i="22"/>
  <c r="AB157" i="22"/>
  <c r="Y160" i="22"/>
  <c r="X34" i="22"/>
  <c r="X63" i="22"/>
  <c r="X54" i="22"/>
  <c r="X48" i="22"/>
  <c r="Y48" i="22"/>
  <c r="U65" i="22"/>
  <c r="X47" i="22"/>
  <c r="Y56" i="22"/>
  <c r="X56" i="22" s="1"/>
  <c r="X35" i="22"/>
  <c r="R65" i="22"/>
  <c r="Z65" i="22" s="1"/>
  <c r="AD157" i="22"/>
  <c r="Z56" i="22"/>
  <c r="AA59" i="22"/>
  <c r="Z60" i="22"/>
  <c r="Y61" i="22"/>
  <c r="X61" i="22" s="1"/>
  <c r="Z62" i="22"/>
  <c r="AD135" i="22"/>
  <c r="AB136" i="22"/>
  <c r="Z156" i="22"/>
  <c r="E158" i="22"/>
  <c r="Y35" i="22"/>
  <c r="AA38" i="22"/>
  <c r="Y33" i="22"/>
  <c r="AA56" i="22"/>
  <c r="Y57" i="22"/>
  <c r="X57" i="22" s="1"/>
  <c r="AA60" i="22"/>
  <c r="Z61" i="22"/>
  <c r="AA62" i="22"/>
  <c r="Y63" i="22"/>
  <c r="AC136" i="22"/>
  <c r="Z138" i="22"/>
  <c r="X138" i="22" s="1"/>
  <c r="Z139" i="22"/>
  <c r="X139" i="22" s="1"/>
  <c r="AA156" i="22"/>
  <c r="Y157" i="22"/>
  <c r="AB56" i="22"/>
  <c r="Z57" i="22"/>
  <c r="Z63" i="22"/>
  <c r="Y64" i="22"/>
  <c r="AD136" i="22"/>
  <c r="AB156" i="22"/>
  <c r="Z157" i="22"/>
  <c r="Y34" i="22"/>
  <c r="Y54" i="22"/>
  <c r="AA57" i="22"/>
  <c r="Z64" i="22"/>
  <c r="X64" i="22" s="1"/>
  <c r="Y135" i="22"/>
  <c r="D137" i="22"/>
  <c r="AA157" i="22"/>
  <c r="Y38" i="22"/>
  <c r="Z54" i="22"/>
  <c r="Y55" i="22"/>
  <c r="X55" i="22" s="1"/>
  <c r="Z135" i="22"/>
  <c r="AD156" i="22"/>
  <c r="AA135" i="22"/>
  <c r="Y136" i="22"/>
  <c r="O62" i="25" l="1"/>
  <c r="P62" i="25" s="1"/>
  <c r="P59" i="25" s="1"/>
  <c r="P60" i="25" s="1"/>
  <c r="P57" i="25" s="1"/>
  <c r="O28" i="25"/>
  <c r="P28" i="25" s="1"/>
  <c r="P25" i="25" s="1"/>
  <c r="P26" i="25" s="1"/>
  <c r="O73" i="25"/>
  <c r="P73" i="25" s="1"/>
  <c r="P70" i="25" s="1"/>
  <c r="P71" i="25" s="1"/>
  <c r="P68" i="25" s="1"/>
  <c r="O51" i="25"/>
  <c r="P51" i="25" s="1"/>
  <c r="P48" i="25" s="1"/>
  <c r="P49" i="25" s="1"/>
  <c r="P46" i="25" s="1"/>
  <c r="O28" i="24"/>
  <c r="P28" i="24" s="1"/>
  <c r="P25" i="24" s="1"/>
  <c r="P26" i="24" s="1"/>
  <c r="O73" i="24"/>
  <c r="P73" i="24" s="1"/>
  <c r="P70" i="24" s="1"/>
  <c r="P71" i="24" s="1"/>
  <c r="P68" i="24" s="1"/>
  <c r="O40" i="24"/>
  <c r="P40" i="24" s="1"/>
  <c r="P37" i="24" s="1"/>
  <c r="P38" i="24" s="1"/>
  <c r="P35" i="24" s="1"/>
  <c r="O51" i="24"/>
  <c r="P51" i="24" s="1"/>
  <c r="P48" i="24" s="1"/>
  <c r="P49" i="24" s="1"/>
  <c r="AA158" i="23"/>
  <c r="Z65" i="23"/>
  <c r="X38" i="23"/>
  <c r="H27" i="23" s="1"/>
  <c r="X65" i="23"/>
  <c r="AA137" i="23"/>
  <c r="Z137" i="23"/>
  <c r="X137" i="23" s="1"/>
  <c r="Y137" i="23"/>
  <c r="Y158" i="23"/>
  <c r="X158" i="23" s="1"/>
  <c r="AA65" i="22"/>
  <c r="X65" i="22" s="1"/>
  <c r="AA137" i="22"/>
  <c r="Z137" i="22"/>
  <c r="Y137" i="22"/>
  <c r="Y158" i="22"/>
  <c r="AA158" i="22"/>
  <c r="H27" i="22"/>
  <c r="Z158" i="22"/>
  <c r="X158" i="22" s="1"/>
  <c r="X137" i="22" l="1"/>
  <c r="H118" i="22" s="1"/>
  <c r="G18" i="25"/>
  <c r="P23" i="24"/>
  <c r="G18" i="24"/>
  <c r="H42" i="20" l="1"/>
  <c r="BL40" i="20"/>
  <c r="BL35" i="20" s="1"/>
  <c r="BL39" i="20" s="1"/>
  <c r="BK40" i="20"/>
  <c r="BK35" i="20" s="1"/>
  <c r="BK39" i="20" s="1"/>
  <c r="BJ40" i="20"/>
  <c r="BI40" i="20"/>
  <c r="BH40" i="20"/>
  <c r="BG40" i="20"/>
  <c r="BF40" i="20"/>
  <c r="BE40" i="20"/>
  <c r="BD40" i="20"/>
  <c r="BD35" i="20" s="1"/>
  <c r="BD39" i="20" s="1"/>
  <c r="BC40" i="20"/>
  <c r="BC35" i="20" s="1"/>
  <c r="BC39" i="20" s="1"/>
  <c r="BB40" i="20"/>
  <c r="BA40" i="20"/>
  <c r="AZ40" i="20"/>
  <c r="AY40" i="20"/>
  <c r="AX40" i="20"/>
  <c r="AW40" i="20"/>
  <c r="AV40" i="20"/>
  <c r="AV35" i="20" s="1"/>
  <c r="AV39" i="20" s="1"/>
  <c r="AU40" i="20"/>
  <c r="AU35" i="20" s="1"/>
  <c r="AU39" i="20" s="1"/>
  <c r="AT40" i="20"/>
  <c r="AS40" i="20"/>
  <c r="AR40" i="20"/>
  <c r="AQ40" i="20"/>
  <c r="AP40" i="20"/>
  <c r="AO40" i="20"/>
  <c r="AN40" i="20"/>
  <c r="AN35" i="20" s="1"/>
  <c r="AN39" i="20" s="1"/>
  <c r="AM40" i="20"/>
  <c r="AM35" i="20" s="1"/>
  <c r="AM39" i="20" s="1"/>
  <c r="AL40" i="20"/>
  <c r="AK40" i="20"/>
  <c r="AJ40" i="20"/>
  <c r="AI40" i="20"/>
  <c r="AH40" i="20"/>
  <c r="AG40" i="20"/>
  <c r="AF40" i="20"/>
  <c r="AF35" i="20" s="1"/>
  <c r="AF39" i="20" s="1"/>
  <c r="AE40" i="20"/>
  <c r="AE35" i="20" s="1"/>
  <c r="AE39" i="20" s="1"/>
  <c r="AD40" i="20"/>
  <c r="AC40" i="20"/>
  <c r="AB40" i="20"/>
  <c r="AA40" i="20"/>
  <c r="Z40" i="20"/>
  <c r="Y40" i="20"/>
  <c r="X40" i="20"/>
  <c r="X35" i="20" s="1"/>
  <c r="X39" i="20" s="1"/>
  <c r="W40" i="20"/>
  <c r="W35" i="20" s="1"/>
  <c r="W39" i="20" s="1"/>
  <c r="V40" i="20"/>
  <c r="U40" i="20"/>
  <c r="T40" i="20"/>
  <c r="S40" i="20"/>
  <c r="R40" i="20"/>
  <c r="Q40" i="20"/>
  <c r="P40" i="20"/>
  <c r="P35" i="20" s="1"/>
  <c r="P39" i="20" s="1"/>
  <c r="O40" i="20"/>
  <c r="O35" i="20" s="1"/>
  <c r="O39" i="20" s="1"/>
  <c r="N40" i="20"/>
  <c r="M40" i="20"/>
  <c r="L40" i="20"/>
  <c r="K40" i="20"/>
  <c r="J40" i="20"/>
  <c r="I40" i="20"/>
  <c r="BL37" i="20"/>
  <c r="BK37" i="20"/>
  <c r="BJ37" i="20"/>
  <c r="BI37" i="20"/>
  <c r="BH37" i="20"/>
  <c r="BG37" i="20"/>
  <c r="BF37" i="20"/>
  <c r="BE37" i="20"/>
  <c r="BD37" i="20"/>
  <c r="BC37" i="20"/>
  <c r="BB37"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H40" i="20" s="1"/>
  <c r="G37" i="20"/>
  <c r="G40" i="20" s="1"/>
  <c r="F37" i="20"/>
  <c r="F40" i="20" s="1"/>
  <c r="E37" i="20"/>
  <c r="E40" i="20" s="1"/>
  <c r="BL36" i="20"/>
  <c r="BK36" i="20"/>
  <c r="BJ36" i="20"/>
  <c r="BI36" i="20"/>
  <c r="BH36" i="20"/>
  <c r="BG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BJ35" i="20"/>
  <c r="BJ39" i="20" s="1"/>
  <c r="BI35" i="20"/>
  <c r="BI39" i="20" s="1"/>
  <c r="BH35" i="20"/>
  <c r="BH39" i="20" s="1"/>
  <c r="BG35" i="20"/>
  <c r="BG39" i="20" s="1"/>
  <c r="BF35" i="20"/>
  <c r="BF39" i="20" s="1"/>
  <c r="BE35" i="20"/>
  <c r="BE39" i="20" s="1"/>
  <c r="BB35" i="20"/>
  <c r="BB39" i="20" s="1"/>
  <c r="BA35" i="20"/>
  <c r="BA39" i="20" s="1"/>
  <c r="AZ35" i="20"/>
  <c r="AZ39" i="20" s="1"/>
  <c r="AY35" i="20"/>
  <c r="AY39" i="20" s="1"/>
  <c r="AX35" i="20"/>
  <c r="AX39" i="20" s="1"/>
  <c r="AW35" i="20"/>
  <c r="AW39" i="20" s="1"/>
  <c r="AT35" i="20"/>
  <c r="AT39" i="20" s="1"/>
  <c r="AS35" i="20"/>
  <c r="AS39" i="20" s="1"/>
  <c r="AR35" i="20"/>
  <c r="AR39" i="20" s="1"/>
  <c r="AQ35" i="20"/>
  <c r="AQ39" i="20" s="1"/>
  <c r="AP35" i="20"/>
  <c r="AP39" i="20" s="1"/>
  <c r="AO35" i="20"/>
  <c r="AO39" i="20" s="1"/>
  <c r="AL35" i="20"/>
  <c r="AL39" i="20" s="1"/>
  <c r="AK35" i="20"/>
  <c r="AK39" i="20" s="1"/>
  <c r="AJ35" i="20"/>
  <c r="AJ39" i="20" s="1"/>
  <c r="AI35" i="20"/>
  <c r="AI39" i="20" s="1"/>
  <c r="AH35" i="20"/>
  <c r="AH39" i="20" s="1"/>
  <c r="AG35" i="20"/>
  <c r="AG39" i="20" s="1"/>
  <c r="AD35" i="20"/>
  <c r="AD39" i="20" s="1"/>
  <c r="AC35" i="20"/>
  <c r="AC39" i="20" s="1"/>
  <c r="AB35" i="20"/>
  <c r="AB39" i="20" s="1"/>
  <c r="AA35" i="20"/>
  <c r="AA39" i="20" s="1"/>
  <c r="Z35" i="20"/>
  <c r="Z39" i="20" s="1"/>
  <c r="Y35" i="20"/>
  <c r="Y39" i="20" s="1"/>
  <c r="V35" i="20"/>
  <c r="V39" i="20" s="1"/>
  <c r="U35" i="20"/>
  <c r="U39" i="20" s="1"/>
  <c r="T35" i="20"/>
  <c r="T39" i="20" s="1"/>
  <c r="S35" i="20"/>
  <c r="S39" i="20" s="1"/>
  <c r="R35" i="20"/>
  <c r="R39" i="20" s="1"/>
  <c r="Q35" i="20"/>
  <c r="Q39" i="20" s="1"/>
  <c r="N35" i="20"/>
  <c r="N39" i="20" s="1"/>
  <c r="M35" i="20"/>
  <c r="M39" i="20" s="1"/>
  <c r="L35" i="20"/>
  <c r="L39" i="20" s="1"/>
  <c r="K35" i="20"/>
  <c r="K39" i="20" s="1"/>
  <c r="J35" i="20"/>
  <c r="J39" i="20" s="1"/>
  <c r="I35" i="20"/>
  <c r="I39" i="20" s="1"/>
  <c r="BL34" i="20"/>
  <c r="BL38" i="20" s="1"/>
  <c r="BL41" i="20" s="1"/>
  <c r="BK34" i="20"/>
  <c r="BK38" i="20" s="1"/>
  <c r="BK41" i="20" s="1"/>
  <c r="BJ34" i="20"/>
  <c r="BJ38" i="20" s="1"/>
  <c r="BJ41" i="20" s="1"/>
  <c r="BI34" i="20"/>
  <c r="BI38" i="20" s="1"/>
  <c r="BI41" i="20" s="1"/>
  <c r="BH34" i="20"/>
  <c r="BH38" i="20" s="1"/>
  <c r="BH41" i="20" s="1"/>
  <c r="BG34" i="20"/>
  <c r="BG38" i="20" s="1"/>
  <c r="BF34" i="20"/>
  <c r="BF38" i="20" s="1"/>
  <c r="BF41" i="20" s="1"/>
  <c r="BE34" i="20"/>
  <c r="BE38" i="20" s="1"/>
  <c r="BE41" i="20" s="1"/>
  <c r="BD34" i="20"/>
  <c r="BD38" i="20" s="1"/>
  <c r="BC34" i="20"/>
  <c r="BC38" i="20" s="1"/>
  <c r="BC41" i="20" s="1"/>
  <c r="BB34" i="20"/>
  <c r="BB38" i="20" s="1"/>
  <c r="BA34" i="20"/>
  <c r="BA38" i="20" s="1"/>
  <c r="BA41" i="20" s="1"/>
  <c r="AZ34" i="20"/>
  <c r="AZ38" i="20" s="1"/>
  <c r="AZ41" i="20" s="1"/>
  <c r="AY34" i="20"/>
  <c r="AY38" i="20" s="1"/>
  <c r="AX34" i="20"/>
  <c r="AX38" i="20" s="1"/>
  <c r="AW34" i="20"/>
  <c r="AW38" i="20" s="1"/>
  <c r="AV34" i="20"/>
  <c r="AV38" i="20" s="1"/>
  <c r="AV41" i="20" s="1"/>
  <c r="AU34" i="20"/>
  <c r="AU38" i="20" s="1"/>
  <c r="AU41" i="20" s="1"/>
  <c r="AT34" i="20"/>
  <c r="AT38" i="20" s="1"/>
  <c r="AT41" i="20" s="1"/>
  <c r="AS34" i="20"/>
  <c r="AS38" i="20" s="1"/>
  <c r="AS41" i="20" s="1"/>
  <c r="AR34" i="20"/>
  <c r="AR38" i="20" s="1"/>
  <c r="AR41" i="20" s="1"/>
  <c r="AQ34" i="20"/>
  <c r="AQ38" i="20" s="1"/>
  <c r="AQ41" i="20" s="1"/>
  <c r="AP34" i="20"/>
  <c r="AP38" i="20" s="1"/>
  <c r="AP41" i="20" s="1"/>
  <c r="AO34" i="20"/>
  <c r="AO38" i="20" s="1"/>
  <c r="AO41" i="20" s="1"/>
  <c r="AN34" i="20"/>
  <c r="AN38" i="20" s="1"/>
  <c r="AN41" i="20" s="1"/>
  <c r="AM34" i="20"/>
  <c r="AM38" i="20" s="1"/>
  <c r="AM41" i="20" s="1"/>
  <c r="AL34" i="20"/>
  <c r="AL38" i="20" s="1"/>
  <c r="AK34" i="20"/>
  <c r="AK38" i="20" s="1"/>
  <c r="AJ34" i="20"/>
  <c r="AJ38" i="20" s="1"/>
  <c r="AJ41" i="20" s="1"/>
  <c r="AI34" i="20"/>
  <c r="AI38" i="20" s="1"/>
  <c r="AH34" i="20"/>
  <c r="AH38" i="20" s="1"/>
  <c r="AG34" i="20"/>
  <c r="AG38" i="20" s="1"/>
  <c r="AG41" i="20" s="1"/>
  <c r="AF34" i="20"/>
  <c r="AF38" i="20" s="1"/>
  <c r="AF41" i="20" s="1"/>
  <c r="AE34" i="20"/>
  <c r="AE38" i="20" s="1"/>
  <c r="AE41" i="20" s="1"/>
  <c r="AD34" i="20"/>
  <c r="AD38" i="20" s="1"/>
  <c r="AD41" i="20" s="1"/>
  <c r="AC34" i="20"/>
  <c r="AC38" i="20" s="1"/>
  <c r="AC41" i="20" s="1"/>
  <c r="AB34" i="20"/>
  <c r="AB38" i="20" s="1"/>
  <c r="AB41" i="20" s="1"/>
  <c r="AA34" i="20"/>
  <c r="AA38" i="20" s="1"/>
  <c r="Z34" i="20"/>
  <c r="Z38" i="20" s="1"/>
  <c r="Z41" i="20" s="1"/>
  <c r="Y34" i="20"/>
  <c r="Y38" i="20" s="1"/>
  <c r="Y41" i="20" s="1"/>
  <c r="X34" i="20"/>
  <c r="X38" i="20" s="1"/>
  <c r="W34" i="20"/>
  <c r="W38" i="20" s="1"/>
  <c r="W41" i="20" s="1"/>
  <c r="V34" i="20"/>
  <c r="V38" i="20" s="1"/>
  <c r="U34" i="20"/>
  <c r="U38" i="20" s="1"/>
  <c r="U41" i="20" s="1"/>
  <c r="T34" i="20"/>
  <c r="T38" i="20" s="1"/>
  <c r="T41" i="20" s="1"/>
  <c r="S34" i="20"/>
  <c r="S38" i="20" s="1"/>
  <c r="R34" i="20"/>
  <c r="R38" i="20" s="1"/>
  <c r="Q34" i="20"/>
  <c r="Q38" i="20" s="1"/>
  <c r="P34" i="20"/>
  <c r="P38" i="20" s="1"/>
  <c r="O34" i="20"/>
  <c r="O38" i="20" s="1"/>
  <c r="O41" i="20" s="1"/>
  <c r="N34" i="20"/>
  <c r="N38" i="20" s="1"/>
  <c r="N41" i="20" s="1"/>
  <c r="M34" i="20"/>
  <c r="M38" i="20" s="1"/>
  <c r="M41" i="20" s="1"/>
  <c r="L34" i="20"/>
  <c r="L38" i="20" s="1"/>
  <c r="L41" i="20" s="1"/>
  <c r="K34" i="20"/>
  <c r="K38" i="20" s="1"/>
  <c r="K41" i="20" s="1"/>
  <c r="J34" i="20"/>
  <c r="J38" i="20" s="1"/>
  <c r="J41" i="20" s="1"/>
  <c r="I34" i="20"/>
  <c r="I38" i="20" s="1"/>
  <c r="I41" i="20" s="1"/>
  <c r="BJ33" i="20"/>
  <c r="BI33" i="20"/>
  <c r="BH33" i="20"/>
  <c r="BG33" i="20"/>
  <c r="BF33" i="20"/>
  <c r="BE33" i="20"/>
  <c r="BB33" i="20"/>
  <c r="BA33" i="20"/>
  <c r="AZ33" i="20"/>
  <c r="AY33" i="20"/>
  <c r="AX33" i="20"/>
  <c r="AW33" i="20"/>
  <c r="AT33" i="20"/>
  <c r="AS33" i="20"/>
  <c r="AR33" i="20"/>
  <c r="AQ33" i="20"/>
  <c r="AP33" i="20"/>
  <c r="AO33" i="20"/>
  <c r="AL33" i="20"/>
  <c r="AK33" i="20"/>
  <c r="AJ33" i="20"/>
  <c r="AI33" i="20"/>
  <c r="AH33" i="20"/>
  <c r="AG33" i="20"/>
  <c r="AD33" i="20"/>
  <c r="AC33" i="20"/>
  <c r="AB33" i="20"/>
  <c r="AA33" i="20"/>
  <c r="Z33" i="20"/>
  <c r="Y33" i="20"/>
  <c r="V33" i="20"/>
  <c r="U33" i="20"/>
  <c r="T33" i="20"/>
  <c r="S33" i="20"/>
  <c r="R33" i="20"/>
  <c r="Q33" i="20"/>
  <c r="N33" i="20"/>
  <c r="M33" i="20"/>
  <c r="L33" i="20"/>
  <c r="K33" i="20"/>
  <c r="J33" i="20"/>
  <c r="I33" i="20"/>
  <c r="BL32" i="20"/>
  <c r="BK32" i="20"/>
  <c r="BJ32" i="20"/>
  <c r="BI32" i="20"/>
  <c r="BH32" i="20"/>
  <c r="BG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42" i="19"/>
  <c r="BL40" i="19"/>
  <c r="BK40" i="19"/>
  <c r="BK35" i="19" s="1"/>
  <c r="BK39" i="19" s="1"/>
  <c r="BJ40" i="19"/>
  <c r="BI40" i="19"/>
  <c r="BH40" i="19"/>
  <c r="BG40" i="19"/>
  <c r="BF40" i="19"/>
  <c r="BE40" i="19"/>
  <c r="BD40" i="19"/>
  <c r="BC40" i="19"/>
  <c r="BC35" i="19" s="1"/>
  <c r="BC39" i="19" s="1"/>
  <c r="BB40" i="19"/>
  <c r="BA40" i="19"/>
  <c r="AZ40" i="19"/>
  <c r="AY40" i="19"/>
  <c r="AX40" i="19"/>
  <c r="AW40" i="19"/>
  <c r="AV40" i="19"/>
  <c r="AU40" i="19"/>
  <c r="AU35" i="19" s="1"/>
  <c r="AU39" i="19" s="1"/>
  <c r="AT40" i="19"/>
  <c r="AS40" i="19"/>
  <c r="AR40" i="19"/>
  <c r="AQ40" i="19"/>
  <c r="AP40" i="19"/>
  <c r="AO40" i="19"/>
  <c r="AN40" i="19"/>
  <c r="AM40" i="19"/>
  <c r="AM35" i="19" s="1"/>
  <c r="AM39" i="19" s="1"/>
  <c r="AL40" i="19"/>
  <c r="AK40" i="19"/>
  <c r="AJ40" i="19"/>
  <c r="AI40" i="19"/>
  <c r="AH40" i="19"/>
  <c r="AG40" i="19"/>
  <c r="AF40" i="19"/>
  <c r="AE40" i="19"/>
  <c r="AE35" i="19" s="1"/>
  <c r="AE39" i="19" s="1"/>
  <c r="AD40" i="19"/>
  <c r="AC40" i="19"/>
  <c r="AB40" i="19"/>
  <c r="AA40" i="19"/>
  <c r="Z40" i="19"/>
  <c r="Y40" i="19"/>
  <c r="X40" i="19"/>
  <c r="W40" i="19"/>
  <c r="W35" i="19" s="1"/>
  <c r="W39" i="19" s="1"/>
  <c r="V40" i="19"/>
  <c r="U40" i="19"/>
  <c r="T40" i="19"/>
  <c r="S40" i="19"/>
  <c r="R40" i="19"/>
  <c r="Q40" i="19"/>
  <c r="P40" i="19"/>
  <c r="O40" i="19"/>
  <c r="O35" i="19" s="1"/>
  <c r="O39" i="19" s="1"/>
  <c r="N40" i="19"/>
  <c r="M40" i="19"/>
  <c r="L40" i="19"/>
  <c r="K40" i="19"/>
  <c r="J40" i="19"/>
  <c r="I40"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H40" i="19" s="1"/>
  <c r="G37" i="19"/>
  <c r="G40" i="19" s="1"/>
  <c r="F37" i="19"/>
  <c r="F40" i="19" s="1"/>
  <c r="E37" i="19"/>
  <c r="E40" i="19" s="1"/>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BL35" i="19"/>
  <c r="BL39" i="19" s="1"/>
  <c r="BJ35" i="19"/>
  <c r="BJ39" i="19" s="1"/>
  <c r="BI35" i="19"/>
  <c r="BI39" i="19" s="1"/>
  <c r="BH35" i="19"/>
  <c r="BH39" i="19" s="1"/>
  <c r="BG35" i="19"/>
  <c r="BG39" i="19" s="1"/>
  <c r="BF35" i="19"/>
  <c r="BF39" i="19" s="1"/>
  <c r="BE35" i="19"/>
  <c r="BE39" i="19" s="1"/>
  <c r="BD35" i="19"/>
  <c r="BD39" i="19" s="1"/>
  <c r="BB35" i="19"/>
  <c r="BB39" i="19" s="1"/>
  <c r="BA35" i="19"/>
  <c r="BA39" i="19" s="1"/>
  <c r="AZ35" i="19"/>
  <c r="AZ39" i="19" s="1"/>
  <c r="AY35" i="19"/>
  <c r="AY39" i="19" s="1"/>
  <c r="AX35" i="19"/>
  <c r="AX39" i="19" s="1"/>
  <c r="AW35" i="19"/>
  <c r="AW39" i="19" s="1"/>
  <c r="AV35" i="19"/>
  <c r="AV39" i="19" s="1"/>
  <c r="AT35" i="19"/>
  <c r="AT39" i="19" s="1"/>
  <c r="AS35" i="19"/>
  <c r="AS39" i="19" s="1"/>
  <c r="AR35" i="19"/>
  <c r="AR39" i="19" s="1"/>
  <c r="AQ35" i="19"/>
  <c r="AQ39" i="19" s="1"/>
  <c r="AP35" i="19"/>
  <c r="AP39" i="19" s="1"/>
  <c r="AO35" i="19"/>
  <c r="AO39" i="19" s="1"/>
  <c r="AN35" i="19"/>
  <c r="AN39" i="19" s="1"/>
  <c r="AL35" i="19"/>
  <c r="AL39" i="19" s="1"/>
  <c r="AK35" i="19"/>
  <c r="AK39" i="19" s="1"/>
  <c r="AJ35" i="19"/>
  <c r="AJ39" i="19" s="1"/>
  <c r="AI35" i="19"/>
  <c r="AI39" i="19" s="1"/>
  <c r="AH35" i="19"/>
  <c r="AH39" i="19" s="1"/>
  <c r="AG35" i="19"/>
  <c r="AG39" i="19" s="1"/>
  <c r="AF35" i="19"/>
  <c r="AF39" i="19" s="1"/>
  <c r="AD35" i="19"/>
  <c r="AD39" i="19" s="1"/>
  <c r="AC35" i="19"/>
  <c r="AC39" i="19" s="1"/>
  <c r="AB35" i="19"/>
  <c r="AB39" i="19" s="1"/>
  <c r="AA35" i="19"/>
  <c r="AA39" i="19" s="1"/>
  <c r="Z35" i="19"/>
  <c r="Z39" i="19" s="1"/>
  <c r="Y35" i="19"/>
  <c r="Y39" i="19" s="1"/>
  <c r="X35" i="19"/>
  <c r="X39" i="19" s="1"/>
  <c r="V35" i="19"/>
  <c r="V39" i="19" s="1"/>
  <c r="U35" i="19"/>
  <c r="U39" i="19" s="1"/>
  <c r="T35" i="19"/>
  <c r="T39" i="19" s="1"/>
  <c r="S35" i="19"/>
  <c r="S39" i="19" s="1"/>
  <c r="R35" i="19"/>
  <c r="R39" i="19" s="1"/>
  <c r="Q35" i="19"/>
  <c r="Q39" i="19" s="1"/>
  <c r="P35" i="19"/>
  <c r="P39" i="19" s="1"/>
  <c r="N35" i="19"/>
  <c r="N39" i="19" s="1"/>
  <c r="M35" i="19"/>
  <c r="M39" i="19" s="1"/>
  <c r="L35" i="19"/>
  <c r="L39" i="19" s="1"/>
  <c r="K35" i="19"/>
  <c r="K39" i="19" s="1"/>
  <c r="J35" i="19"/>
  <c r="J39" i="19" s="1"/>
  <c r="I35" i="19"/>
  <c r="I39" i="19" s="1"/>
  <c r="BL34" i="19"/>
  <c r="BL38" i="19" s="1"/>
  <c r="BL41" i="19" s="1"/>
  <c r="BK34" i="19"/>
  <c r="BK38" i="19" s="1"/>
  <c r="BK41" i="19" s="1"/>
  <c r="BJ34" i="19"/>
  <c r="BJ38" i="19" s="1"/>
  <c r="BI34" i="19"/>
  <c r="BI38" i="19" s="1"/>
  <c r="BI41" i="19" s="1"/>
  <c r="BH34" i="19"/>
  <c r="BH38" i="19" s="1"/>
  <c r="BG34" i="19"/>
  <c r="BG38" i="19" s="1"/>
  <c r="BF34" i="19"/>
  <c r="BF38" i="19" s="1"/>
  <c r="BF41" i="19" s="1"/>
  <c r="BE34" i="19"/>
  <c r="BE38" i="19" s="1"/>
  <c r="BE41" i="19" s="1"/>
  <c r="BD34" i="19"/>
  <c r="BD38" i="19" s="1"/>
  <c r="BD41" i="19" s="1"/>
  <c r="BC34" i="19"/>
  <c r="BC38" i="19" s="1"/>
  <c r="BC41" i="19" s="1"/>
  <c r="BB34" i="19"/>
  <c r="BB38" i="19" s="1"/>
  <c r="BA34" i="19"/>
  <c r="BA38" i="19" s="1"/>
  <c r="AZ34" i="19"/>
  <c r="AZ38" i="19" s="1"/>
  <c r="AY34" i="19"/>
  <c r="AY38" i="19" s="1"/>
  <c r="AY41" i="19" s="1"/>
  <c r="AX34" i="19"/>
  <c r="AX38" i="19" s="1"/>
  <c r="AW34" i="19"/>
  <c r="AW38" i="19" s="1"/>
  <c r="AW41" i="19" s="1"/>
  <c r="AV34" i="19"/>
  <c r="AV38" i="19" s="1"/>
  <c r="AV41" i="19" s="1"/>
  <c r="AU34" i="19"/>
  <c r="AU38" i="19" s="1"/>
  <c r="AU41" i="19" s="1"/>
  <c r="AT34" i="19"/>
  <c r="AT38" i="19" s="1"/>
  <c r="AS34" i="19"/>
  <c r="AS38" i="19" s="1"/>
  <c r="AS41" i="19" s="1"/>
  <c r="AR34" i="19"/>
  <c r="AR38" i="19" s="1"/>
  <c r="AQ34" i="19"/>
  <c r="AQ38" i="19" s="1"/>
  <c r="AP34" i="19"/>
  <c r="AP38" i="19" s="1"/>
  <c r="AP41" i="19" s="1"/>
  <c r="AO34" i="19"/>
  <c r="AO38" i="19" s="1"/>
  <c r="AN34" i="19"/>
  <c r="AN38" i="19" s="1"/>
  <c r="AN41" i="19" s="1"/>
  <c r="AM34" i="19"/>
  <c r="AM38" i="19" s="1"/>
  <c r="AM41" i="19" s="1"/>
  <c r="AL34" i="19"/>
  <c r="AL38" i="19" s="1"/>
  <c r="AL41" i="19" s="1"/>
  <c r="AK34" i="19"/>
  <c r="AK38" i="19" s="1"/>
  <c r="AK41" i="19" s="1"/>
  <c r="AJ34" i="19"/>
  <c r="AJ38" i="19" s="1"/>
  <c r="AI34" i="19"/>
  <c r="AI38" i="19" s="1"/>
  <c r="AH34" i="19"/>
  <c r="AH38" i="19" s="1"/>
  <c r="AH41" i="19" s="1"/>
  <c r="AG34" i="19"/>
  <c r="AG38" i="19" s="1"/>
  <c r="AG41" i="19" s="1"/>
  <c r="AF34" i="19"/>
  <c r="AF38" i="19" s="1"/>
  <c r="AF41" i="19" s="1"/>
  <c r="AE34" i="19"/>
  <c r="AE38" i="19" s="1"/>
  <c r="AE41" i="19" s="1"/>
  <c r="AD34" i="19"/>
  <c r="AD38" i="19" s="1"/>
  <c r="AD41" i="19" s="1"/>
  <c r="AC34" i="19"/>
  <c r="AC38" i="19" s="1"/>
  <c r="AC41" i="19" s="1"/>
  <c r="AB34" i="19"/>
  <c r="AB38" i="19" s="1"/>
  <c r="AA34" i="19"/>
  <c r="AA38" i="19" s="1"/>
  <c r="Z34" i="19"/>
  <c r="Z38" i="19" s="1"/>
  <c r="Y34" i="19"/>
  <c r="Y38" i="19" s="1"/>
  <c r="Y41" i="19" s="1"/>
  <c r="X34" i="19"/>
  <c r="X38" i="19" s="1"/>
  <c r="X41" i="19" s="1"/>
  <c r="W34" i="19"/>
  <c r="W38" i="19" s="1"/>
  <c r="W41" i="19" s="1"/>
  <c r="V34" i="19"/>
  <c r="V38" i="19" s="1"/>
  <c r="U34" i="19"/>
  <c r="U38" i="19" s="1"/>
  <c r="U41" i="19" s="1"/>
  <c r="T34" i="19"/>
  <c r="T38" i="19" s="1"/>
  <c r="S34" i="19"/>
  <c r="S38" i="19" s="1"/>
  <c r="R34" i="19"/>
  <c r="R38" i="19" s="1"/>
  <c r="R41" i="19" s="1"/>
  <c r="Q34" i="19"/>
  <c r="Q38" i="19" s="1"/>
  <c r="P34" i="19"/>
  <c r="P38" i="19" s="1"/>
  <c r="P41" i="19" s="1"/>
  <c r="O34" i="19"/>
  <c r="O38" i="19" s="1"/>
  <c r="O41" i="19" s="1"/>
  <c r="N34" i="19"/>
  <c r="N38" i="19" s="1"/>
  <c r="N41" i="19" s="1"/>
  <c r="M34" i="19"/>
  <c r="M38" i="19" s="1"/>
  <c r="M41" i="19" s="1"/>
  <c r="L34" i="19"/>
  <c r="L38" i="19" s="1"/>
  <c r="L41" i="19" s="1"/>
  <c r="K34" i="19"/>
  <c r="K38" i="19" s="1"/>
  <c r="K41" i="19" s="1"/>
  <c r="J34" i="19"/>
  <c r="J38" i="19" s="1"/>
  <c r="J41" i="19" s="1"/>
  <c r="I34" i="19"/>
  <c r="I38" i="19" s="1"/>
  <c r="I41" i="19" s="1"/>
  <c r="BL33" i="19"/>
  <c r="BJ33" i="19"/>
  <c r="BI33" i="19"/>
  <c r="BH33" i="19"/>
  <c r="BG33" i="19"/>
  <c r="BF33" i="19"/>
  <c r="BE33" i="19"/>
  <c r="BD33" i="19"/>
  <c r="BB33" i="19"/>
  <c r="BA33" i="19"/>
  <c r="AZ33" i="19"/>
  <c r="AY33" i="19"/>
  <c r="AX33" i="19"/>
  <c r="AW33" i="19"/>
  <c r="AV33" i="19"/>
  <c r="AT33" i="19"/>
  <c r="AS33" i="19"/>
  <c r="AR33" i="19"/>
  <c r="AQ33" i="19"/>
  <c r="AP33" i="19"/>
  <c r="AO33" i="19"/>
  <c r="AN33" i="19"/>
  <c r="AL33" i="19"/>
  <c r="AK33" i="19"/>
  <c r="AJ33" i="19"/>
  <c r="AI33" i="19"/>
  <c r="AH33" i="19"/>
  <c r="AG33" i="19"/>
  <c r="AF33" i="19"/>
  <c r="AD33" i="19"/>
  <c r="AC33" i="19"/>
  <c r="AB33" i="19"/>
  <c r="AA33" i="19"/>
  <c r="Z33" i="19"/>
  <c r="Y33" i="19"/>
  <c r="X33" i="19"/>
  <c r="V33" i="19"/>
  <c r="U33" i="19"/>
  <c r="T33" i="19"/>
  <c r="S33" i="19"/>
  <c r="R33" i="19"/>
  <c r="Q33" i="19"/>
  <c r="P33" i="19"/>
  <c r="N33" i="19"/>
  <c r="M33" i="19"/>
  <c r="L33" i="19"/>
  <c r="K33" i="19"/>
  <c r="J33" i="19"/>
  <c r="I33"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G32" i="20" l="1"/>
  <c r="G34" i="20"/>
  <c r="G38" i="20" s="1"/>
  <c r="H32" i="20"/>
  <c r="H34" i="20"/>
  <c r="H38" i="20" s="1"/>
  <c r="AK41" i="20"/>
  <c r="V41" i="20"/>
  <c r="AL41" i="20"/>
  <c r="BB41" i="20"/>
  <c r="BD41" i="20"/>
  <c r="F34" i="20"/>
  <c r="F38" i="20" s="1"/>
  <c r="F32" i="20"/>
  <c r="F35" i="20"/>
  <c r="F39" i="20" s="1"/>
  <c r="F33" i="20"/>
  <c r="AW41" i="20"/>
  <c r="R41" i="20"/>
  <c r="AH41" i="20"/>
  <c r="AX41" i="20"/>
  <c r="E33" i="20"/>
  <c r="F42" i="20"/>
  <c r="I42" i="20" s="1"/>
  <c r="G42" i="20"/>
  <c r="E42" i="20"/>
  <c r="E34" i="20"/>
  <c r="E38" i="20" s="1"/>
  <c r="E32" i="20"/>
  <c r="P41" i="20"/>
  <c r="X41" i="20"/>
  <c r="Q41" i="20"/>
  <c r="S41" i="20"/>
  <c r="AA41" i="20"/>
  <c r="AI41" i="20"/>
  <c r="AY41" i="20"/>
  <c r="BG41" i="20"/>
  <c r="G33" i="20"/>
  <c r="G35" i="20" s="1"/>
  <c r="G39" i="20" s="1"/>
  <c r="O33" i="20"/>
  <c r="W33" i="20"/>
  <c r="AE33" i="20"/>
  <c r="AM33" i="20"/>
  <c r="AU33" i="20"/>
  <c r="BC33" i="20"/>
  <c r="BK33" i="20"/>
  <c r="H33" i="20"/>
  <c r="H35" i="20" s="1"/>
  <c r="H39" i="20" s="1"/>
  <c r="H41" i="20" s="1"/>
  <c r="P33" i="20"/>
  <c r="X33" i="20"/>
  <c r="AF33" i="20"/>
  <c r="AN33" i="20"/>
  <c r="AV33" i="20"/>
  <c r="BD33" i="20"/>
  <c r="BL33" i="20"/>
  <c r="G34" i="19"/>
  <c r="G38" i="19" s="1"/>
  <c r="G32" i="19"/>
  <c r="S41" i="19"/>
  <c r="AI41" i="19"/>
  <c r="T41" i="19"/>
  <c r="AB41" i="19"/>
  <c r="AJ41" i="19"/>
  <c r="AR41" i="19"/>
  <c r="AZ41" i="19"/>
  <c r="BH41" i="19"/>
  <c r="BA41" i="19"/>
  <c r="V41" i="19"/>
  <c r="AT41" i="19"/>
  <c r="BB41" i="19"/>
  <c r="BJ41" i="19"/>
  <c r="F42" i="19"/>
  <c r="E42" i="19"/>
  <c r="E34" i="19"/>
  <c r="E38" i="19" s="1"/>
  <c r="E32" i="19"/>
  <c r="G42" i="19"/>
  <c r="E33" i="19"/>
  <c r="E35" i="19" s="1"/>
  <c r="E39" i="19" s="1"/>
  <c r="F34" i="19"/>
  <c r="F38" i="19" s="1"/>
  <c r="F32" i="19"/>
  <c r="F33" i="19"/>
  <c r="F35" i="19" s="1"/>
  <c r="F39" i="19" s="1"/>
  <c r="Q41" i="19"/>
  <c r="AO41" i="19"/>
  <c r="H34" i="19"/>
  <c r="H38" i="19" s="1"/>
  <c r="H32" i="19"/>
  <c r="H33" i="19"/>
  <c r="H35" i="19" s="1"/>
  <c r="H39" i="19" s="1"/>
  <c r="Z41" i="19"/>
  <c r="AX41" i="19"/>
  <c r="AA41" i="19"/>
  <c r="AQ41" i="19"/>
  <c r="BG41" i="19"/>
  <c r="G33" i="19"/>
  <c r="G35" i="19" s="1"/>
  <c r="G39" i="19" s="1"/>
  <c r="G41" i="19" s="1"/>
  <c r="O33" i="19"/>
  <c r="W33" i="19"/>
  <c r="AE33" i="19"/>
  <c r="AM33" i="19"/>
  <c r="AU33" i="19"/>
  <c r="BC33" i="19"/>
  <c r="BK33" i="19"/>
  <c r="E160" i="2"/>
  <c r="F160" i="2"/>
  <c r="G160" i="2"/>
  <c r="H160" i="2"/>
  <c r="I160" i="2"/>
  <c r="J160" i="2"/>
  <c r="K160" i="2"/>
  <c r="L160" i="2"/>
  <c r="M160" i="2"/>
  <c r="N160" i="2"/>
  <c r="O160" i="2"/>
  <c r="P160" i="2"/>
  <c r="Q160" i="2"/>
  <c r="R160" i="2"/>
  <c r="S160" i="2"/>
  <c r="T160" i="2"/>
  <c r="U160" i="2"/>
  <c r="V160" i="2"/>
  <c r="W160" i="2"/>
  <c r="E155" i="2"/>
  <c r="F155" i="2"/>
  <c r="G155" i="2"/>
  <c r="H155" i="2"/>
  <c r="I155" i="2"/>
  <c r="J155" i="2"/>
  <c r="K155" i="2"/>
  <c r="L155" i="2"/>
  <c r="M155" i="2"/>
  <c r="N155" i="2"/>
  <c r="O155" i="2"/>
  <c r="P155" i="2"/>
  <c r="Q155" i="2"/>
  <c r="R155" i="2"/>
  <c r="S155" i="2"/>
  <c r="T155" i="2"/>
  <c r="U155" i="2"/>
  <c r="V155" i="2"/>
  <c r="W155" i="2"/>
  <c r="D155" i="2"/>
  <c r="D134" i="2"/>
  <c r="D160" i="2"/>
  <c r="E134" i="2"/>
  <c r="F134" i="2"/>
  <c r="G134" i="2"/>
  <c r="H134" i="2"/>
  <c r="I134" i="2"/>
  <c r="J134" i="2"/>
  <c r="K134" i="2"/>
  <c r="L134" i="2"/>
  <c r="M134" i="2"/>
  <c r="N134" i="2"/>
  <c r="O134" i="2"/>
  <c r="P134" i="2"/>
  <c r="Q134" i="2"/>
  <c r="R134" i="2"/>
  <c r="S134" i="2"/>
  <c r="T134" i="2"/>
  <c r="U134" i="2"/>
  <c r="V134" i="2"/>
  <c r="W134" i="2"/>
  <c r="E139" i="2"/>
  <c r="F139" i="2"/>
  <c r="G139" i="2"/>
  <c r="H139" i="2"/>
  <c r="I139" i="2"/>
  <c r="J139" i="2"/>
  <c r="K139" i="2"/>
  <c r="L139" i="2"/>
  <c r="M139" i="2"/>
  <c r="N139" i="2"/>
  <c r="O139" i="2"/>
  <c r="P139" i="2"/>
  <c r="Q139" i="2"/>
  <c r="R139" i="2"/>
  <c r="S139" i="2"/>
  <c r="T139" i="2"/>
  <c r="U139" i="2"/>
  <c r="V139" i="2"/>
  <c r="W139" i="2"/>
  <c r="D139" i="2"/>
  <c r="D138" i="2"/>
  <c r="E35" i="20" l="1"/>
  <c r="E39" i="20" s="1"/>
  <c r="E41" i="20" s="1"/>
  <c r="I21" i="20" s="1"/>
  <c r="G41" i="20"/>
  <c r="F41" i="20"/>
  <c r="I42" i="19"/>
  <c r="I21" i="19" s="1"/>
  <c r="F41" i="19"/>
  <c r="H41" i="19"/>
  <c r="E41" i="19"/>
  <c r="AE38" i="2"/>
  <c r="AE65" i="2" l="1"/>
  <c r="Y36" i="2"/>
  <c r="D36" i="2" l="1"/>
  <c r="E36" i="2"/>
  <c r="F36" i="2"/>
  <c r="AA36" i="2" s="1"/>
  <c r="G36" i="2"/>
  <c r="H36" i="2"/>
  <c r="I36" i="2"/>
  <c r="J36" i="2"/>
  <c r="K36" i="2"/>
  <c r="L36" i="2"/>
  <c r="M36" i="2"/>
  <c r="N36" i="2"/>
  <c r="O36" i="2"/>
  <c r="P36" i="2"/>
  <c r="Q36" i="2"/>
  <c r="R36" i="2"/>
  <c r="S36" i="2"/>
  <c r="T36" i="2"/>
  <c r="U36" i="2"/>
  <c r="V36" i="2"/>
  <c r="W36" i="2"/>
  <c r="AC38" i="2"/>
  <c r="E54" i="2"/>
  <c r="F54" i="2"/>
  <c r="G54" i="2"/>
  <c r="H54" i="2"/>
  <c r="I54" i="2"/>
  <c r="J54" i="2"/>
  <c r="K54" i="2"/>
  <c r="L54" i="2"/>
  <c r="M54" i="2"/>
  <c r="N54" i="2"/>
  <c r="O54" i="2"/>
  <c r="P54" i="2"/>
  <c r="Q54" i="2"/>
  <c r="R54" i="2"/>
  <c r="S54" i="2"/>
  <c r="T54" i="2"/>
  <c r="U54" i="2"/>
  <c r="V54" i="2"/>
  <c r="W54" i="2"/>
  <c r="D54" i="2"/>
  <c r="G55" i="2"/>
  <c r="B80" i="4" l="1"/>
  <c r="B69" i="4"/>
  <c r="B58" i="4"/>
  <c r="B47" i="4"/>
  <c r="E59" i="2" l="1"/>
  <c r="F59" i="2"/>
  <c r="G59" i="2"/>
  <c r="H59" i="2"/>
  <c r="I59" i="2"/>
  <c r="J59" i="2"/>
  <c r="K59" i="2"/>
  <c r="L59" i="2"/>
  <c r="M59" i="2"/>
  <c r="N59" i="2"/>
  <c r="O59" i="2"/>
  <c r="P59" i="2"/>
  <c r="Q59" i="2"/>
  <c r="R59" i="2"/>
  <c r="S59" i="2"/>
  <c r="T59" i="2"/>
  <c r="U59" i="2"/>
  <c r="V59" i="2"/>
  <c r="W59" i="2"/>
  <c r="D59" i="2"/>
  <c r="E60" i="2"/>
  <c r="F60" i="2"/>
  <c r="G60" i="2"/>
  <c r="H60" i="2"/>
  <c r="I60" i="2"/>
  <c r="J60" i="2"/>
  <c r="K60" i="2"/>
  <c r="L60" i="2"/>
  <c r="M60" i="2"/>
  <c r="N60" i="2"/>
  <c r="O60" i="2"/>
  <c r="P60" i="2"/>
  <c r="Q60" i="2"/>
  <c r="R60" i="2"/>
  <c r="S60" i="2"/>
  <c r="T60" i="2"/>
  <c r="U60" i="2"/>
  <c r="V60" i="2"/>
  <c r="W60" i="2"/>
  <c r="E61" i="2"/>
  <c r="F61" i="2"/>
  <c r="G61" i="2"/>
  <c r="H61" i="2"/>
  <c r="I61" i="2"/>
  <c r="J61" i="2"/>
  <c r="K61" i="2"/>
  <c r="L61" i="2"/>
  <c r="M61" i="2"/>
  <c r="N61" i="2"/>
  <c r="O61" i="2"/>
  <c r="P61" i="2"/>
  <c r="Q61" i="2"/>
  <c r="R61" i="2"/>
  <c r="S61" i="2"/>
  <c r="T61" i="2"/>
  <c r="U61" i="2"/>
  <c r="V61" i="2"/>
  <c r="W61" i="2"/>
  <c r="E62" i="2"/>
  <c r="F62" i="2"/>
  <c r="G62" i="2"/>
  <c r="H62" i="2"/>
  <c r="I62" i="2"/>
  <c r="J62" i="2"/>
  <c r="K62" i="2"/>
  <c r="L62" i="2"/>
  <c r="M62" i="2"/>
  <c r="N62" i="2"/>
  <c r="O62" i="2"/>
  <c r="P62" i="2"/>
  <c r="Q62" i="2"/>
  <c r="R62" i="2"/>
  <c r="S62" i="2"/>
  <c r="T62" i="2"/>
  <c r="U62" i="2"/>
  <c r="V62" i="2"/>
  <c r="W62" i="2"/>
  <c r="E63" i="2"/>
  <c r="F63" i="2"/>
  <c r="G63" i="2"/>
  <c r="H63" i="2"/>
  <c r="I63" i="2"/>
  <c r="J63" i="2"/>
  <c r="K63" i="2"/>
  <c r="L63" i="2"/>
  <c r="M63" i="2"/>
  <c r="N63" i="2"/>
  <c r="O63" i="2"/>
  <c r="P63" i="2"/>
  <c r="Q63" i="2"/>
  <c r="R63" i="2"/>
  <c r="S63" i="2"/>
  <c r="T63" i="2"/>
  <c r="U63" i="2"/>
  <c r="V63" i="2"/>
  <c r="W63" i="2"/>
  <c r="D63" i="2"/>
  <c r="D62" i="2"/>
  <c r="D61" i="2"/>
  <c r="D60" i="2"/>
  <c r="AA62" i="2" l="1"/>
  <c r="D55" i="2"/>
  <c r="E55" i="2"/>
  <c r="F55" i="2"/>
  <c r="H55" i="2"/>
  <c r="I55" i="2"/>
  <c r="J55" i="2"/>
  <c r="K55" i="2"/>
  <c r="L55" i="2"/>
  <c r="M55" i="2"/>
  <c r="N55" i="2"/>
  <c r="O55" i="2"/>
  <c r="P55" i="2"/>
  <c r="Q55" i="2"/>
  <c r="R55" i="2"/>
  <c r="S55" i="2"/>
  <c r="T55" i="2"/>
  <c r="U55" i="2"/>
  <c r="V55" i="2"/>
  <c r="W55" i="2"/>
  <c r="O25" i="4" l="1"/>
  <c r="O23" i="4"/>
  <c r="K50" i="5" l="1"/>
  <c r="K39" i="5"/>
  <c r="K28" i="5"/>
  <c r="P46" i="24"/>
  <c r="K17" i="5"/>
  <c r="K3" i="5"/>
  <c r="J3" i="5"/>
  <c r="AD65" i="2"/>
  <c r="AC65" i="2"/>
  <c r="AD38" i="2"/>
  <c r="Y46" i="2" l="1"/>
  <c r="X46" i="2"/>
  <c r="X33" i="2"/>
  <c r="Y33" i="2"/>
  <c r="Y34" i="2"/>
  <c r="T64" i="2"/>
  <c r="AB38" i="2" l="1"/>
  <c r="D57" i="2"/>
  <c r="D58" i="2" s="1"/>
  <c r="V64" i="2"/>
  <c r="D64" i="2"/>
  <c r="W64" i="2" l="1"/>
  <c r="E64" i="2"/>
  <c r="F64" i="2"/>
  <c r="G64" i="2"/>
  <c r="H64" i="2"/>
  <c r="I64" i="2"/>
  <c r="J64" i="2"/>
  <c r="K64" i="2"/>
  <c r="L64" i="2"/>
  <c r="M64" i="2"/>
  <c r="N64" i="2"/>
  <c r="O64" i="2"/>
  <c r="P64" i="2"/>
  <c r="Q64" i="2"/>
  <c r="R64" i="2"/>
  <c r="S64" i="2"/>
  <c r="U64" i="2"/>
  <c r="E52" i="2"/>
  <c r="F52" i="2"/>
  <c r="G52" i="2"/>
  <c r="H52" i="2"/>
  <c r="I52" i="2"/>
  <c r="J52" i="2"/>
  <c r="K52" i="2"/>
  <c r="L52" i="2"/>
  <c r="M52" i="2"/>
  <c r="N52" i="2"/>
  <c r="O52" i="2"/>
  <c r="P52" i="2"/>
  <c r="Q52" i="2"/>
  <c r="R52" i="2"/>
  <c r="S52" i="2"/>
  <c r="T52" i="2"/>
  <c r="U52" i="2"/>
  <c r="V52" i="2"/>
  <c r="W52" i="2"/>
  <c r="E53" i="2"/>
  <c r="Y53" i="2" s="1"/>
  <c r="F53" i="2"/>
  <c r="G53" i="2"/>
  <c r="X53" i="2" s="1"/>
  <c r="H53" i="2"/>
  <c r="I53" i="2"/>
  <c r="J53" i="2"/>
  <c r="K53" i="2"/>
  <c r="L53" i="2"/>
  <c r="M53" i="2"/>
  <c r="N53" i="2"/>
  <c r="O53" i="2"/>
  <c r="P53" i="2"/>
  <c r="Q53" i="2"/>
  <c r="R53" i="2"/>
  <c r="S53" i="2"/>
  <c r="T53" i="2"/>
  <c r="U53" i="2"/>
  <c r="V53" i="2"/>
  <c r="W53" i="2"/>
  <c r="D53" i="2"/>
  <c r="AA53" i="2" s="1"/>
  <c r="D52" i="2"/>
  <c r="X52" i="2" l="1"/>
  <c r="Y52" i="2"/>
  <c r="X48" i="2"/>
  <c r="Y48" i="2"/>
  <c r="AA52" i="2"/>
  <c r="E38" i="2"/>
  <c r="F38" i="2"/>
  <c r="G38" i="2"/>
  <c r="H38" i="2"/>
  <c r="I38" i="2"/>
  <c r="J38" i="2"/>
  <c r="K38" i="2"/>
  <c r="L38" i="2"/>
  <c r="M38" i="2"/>
  <c r="N38" i="2"/>
  <c r="O38" i="2"/>
  <c r="P38" i="2"/>
  <c r="Q38" i="2"/>
  <c r="R38" i="2"/>
  <c r="S38" i="2"/>
  <c r="T38" i="2"/>
  <c r="U38" i="2"/>
  <c r="V38" i="2"/>
  <c r="W38" i="2"/>
  <c r="D38" i="2"/>
  <c r="E37" i="2"/>
  <c r="Y37" i="2" s="1"/>
  <c r="F37" i="2"/>
  <c r="G37" i="2"/>
  <c r="H37" i="2"/>
  <c r="I37" i="2"/>
  <c r="J37" i="2"/>
  <c r="K37" i="2"/>
  <c r="L37" i="2"/>
  <c r="M37" i="2"/>
  <c r="N37" i="2"/>
  <c r="O37" i="2"/>
  <c r="P37" i="2"/>
  <c r="Q37" i="2"/>
  <c r="R37" i="2"/>
  <c r="S37" i="2"/>
  <c r="T37" i="2"/>
  <c r="U37" i="2"/>
  <c r="V37" i="2"/>
  <c r="W37" i="2"/>
  <c r="D37" i="2"/>
  <c r="X37" i="2" l="1"/>
  <c r="AA37" i="2"/>
  <c r="Y35" i="2" s="1"/>
  <c r="U65" i="2"/>
  <c r="Y47" i="2"/>
  <c r="X47" i="2"/>
  <c r="X36" i="2"/>
  <c r="Y38" i="2"/>
  <c r="I40" i="10"/>
  <c r="J40" i="10"/>
  <c r="M40" i="10"/>
  <c r="N40" i="10"/>
  <c r="O40" i="10"/>
  <c r="Q40" i="10"/>
  <c r="R40" i="10"/>
  <c r="U40" i="10"/>
  <c r="V40" i="10"/>
  <c r="Y40" i="10"/>
  <c r="Z40" i="10"/>
  <c r="AC40" i="10"/>
  <c r="AD40" i="10"/>
  <c r="AG40" i="10"/>
  <c r="AH40" i="10"/>
  <c r="AK40" i="10"/>
  <c r="AL40" i="10"/>
  <c r="AO40" i="10"/>
  <c r="AP40" i="10"/>
  <c r="AS40" i="10"/>
  <c r="AT40" i="10"/>
  <c r="AW40" i="10"/>
  <c r="AX40" i="10"/>
  <c r="BA40" i="10"/>
  <c r="BB40" i="10"/>
  <c r="BC40" i="10"/>
  <c r="BE40" i="10"/>
  <c r="BF40" i="10"/>
  <c r="BI40" i="10"/>
  <c r="BJ40" i="10"/>
  <c r="F37" i="10"/>
  <c r="F40" i="10" s="1"/>
  <c r="G37" i="10"/>
  <c r="G40" i="10" s="1"/>
  <c r="H37" i="10"/>
  <c r="H40" i="10" s="1"/>
  <c r="I37" i="10"/>
  <c r="J37" i="10"/>
  <c r="K37" i="10"/>
  <c r="K40" i="10" s="1"/>
  <c r="L37" i="10"/>
  <c r="L40" i="10" s="1"/>
  <c r="M37" i="10"/>
  <c r="N37" i="10"/>
  <c r="O37" i="10"/>
  <c r="P37" i="10"/>
  <c r="P40" i="10" s="1"/>
  <c r="Q37" i="10"/>
  <c r="R37" i="10"/>
  <c r="S37" i="10"/>
  <c r="S40" i="10" s="1"/>
  <c r="T37" i="10"/>
  <c r="T40" i="10" s="1"/>
  <c r="U37" i="10"/>
  <c r="V37" i="10"/>
  <c r="W37" i="10"/>
  <c r="W40" i="10" s="1"/>
  <c r="X37" i="10"/>
  <c r="X40" i="10" s="1"/>
  <c r="Y37" i="10"/>
  <c r="Z37" i="10"/>
  <c r="AA37" i="10"/>
  <c r="AA40" i="10" s="1"/>
  <c r="AB37" i="10"/>
  <c r="AB40" i="10" s="1"/>
  <c r="AC37" i="10"/>
  <c r="AD37" i="10"/>
  <c r="AE37" i="10"/>
  <c r="AE40" i="10" s="1"/>
  <c r="AF37" i="10"/>
  <c r="AF40" i="10" s="1"/>
  <c r="AG37" i="10"/>
  <c r="AH37" i="10"/>
  <c r="AI37" i="10"/>
  <c r="AI40" i="10" s="1"/>
  <c r="AJ37" i="10"/>
  <c r="AJ40" i="10" s="1"/>
  <c r="AK37" i="10"/>
  <c r="AL37" i="10"/>
  <c r="AM37" i="10"/>
  <c r="AM40" i="10" s="1"/>
  <c r="AN37" i="10"/>
  <c r="AN40" i="10" s="1"/>
  <c r="AO37" i="10"/>
  <c r="AP37" i="10"/>
  <c r="AQ37" i="10"/>
  <c r="AQ40" i="10" s="1"/>
  <c r="AR37" i="10"/>
  <c r="AR40" i="10" s="1"/>
  <c r="AS37" i="10"/>
  <c r="AT37" i="10"/>
  <c r="AU37" i="10"/>
  <c r="AU40" i="10" s="1"/>
  <c r="AV37" i="10"/>
  <c r="AV40" i="10" s="1"/>
  <c r="AW37" i="10"/>
  <c r="AX37" i="10"/>
  <c r="AY37" i="10"/>
  <c r="AY40" i="10" s="1"/>
  <c r="AZ37" i="10"/>
  <c r="AZ40" i="10" s="1"/>
  <c r="BA37" i="10"/>
  <c r="BB37" i="10"/>
  <c r="BC37" i="10"/>
  <c r="BD37" i="10"/>
  <c r="BD40" i="10" s="1"/>
  <c r="BE37" i="10"/>
  <c r="BF37" i="10"/>
  <c r="BG37" i="10"/>
  <c r="BG40" i="10" s="1"/>
  <c r="BH37" i="10"/>
  <c r="BH40" i="10" s="1"/>
  <c r="BI37" i="10"/>
  <c r="BJ37" i="10"/>
  <c r="BK37" i="10"/>
  <c r="BK40" i="10" s="1"/>
  <c r="BL37" i="10"/>
  <c r="BL40" i="10" s="1"/>
  <c r="E37" i="10"/>
  <c r="E40" i="10" s="1"/>
  <c r="X35" i="2" l="1"/>
  <c r="X34" i="2"/>
  <c r="R65" i="2"/>
  <c r="Z65" i="2" s="1"/>
  <c r="G42" i="10"/>
  <c r="F42" i="10"/>
  <c r="G32" i="10"/>
  <c r="H42" i="10"/>
  <c r="I32" i="10"/>
  <c r="J32" i="10"/>
  <c r="L32" i="10"/>
  <c r="N32" i="10"/>
  <c r="O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AW32" i="10"/>
  <c r="AX32" i="10"/>
  <c r="AY32" i="10"/>
  <c r="AZ32" i="10"/>
  <c r="BA32" i="10"/>
  <c r="BB32" i="10"/>
  <c r="BC32" i="10"/>
  <c r="BD32" i="10"/>
  <c r="BE32" i="10"/>
  <c r="BF32" i="10"/>
  <c r="BG32" i="10"/>
  <c r="BH32" i="10"/>
  <c r="BI32" i="10"/>
  <c r="BJ32" i="10"/>
  <c r="BL32" i="10"/>
  <c r="I33" i="10"/>
  <c r="J33" i="10"/>
  <c r="L33" i="10"/>
  <c r="N33" i="10"/>
  <c r="O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L33" i="10"/>
  <c r="I34" i="10"/>
  <c r="I38" i="10" s="1"/>
  <c r="J34" i="10"/>
  <c r="J38" i="10" s="1"/>
  <c r="L34" i="10"/>
  <c r="L38" i="10" s="1"/>
  <c r="N34" i="10"/>
  <c r="N38" i="10" s="1"/>
  <c r="O34" i="10"/>
  <c r="O38" i="10" s="1"/>
  <c r="Q34" i="10"/>
  <c r="Q38" i="10" s="1"/>
  <c r="R34" i="10"/>
  <c r="R38" i="10" s="1"/>
  <c r="S34" i="10"/>
  <c r="S38" i="10" s="1"/>
  <c r="T34" i="10"/>
  <c r="T38" i="10" s="1"/>
  <c r="U34" i="10"/>
  <c r="U38" i="10" s="1"/>
  <c r="V34" i="10"/>
  <c r="V38" i="10" s="1"/>
  <c r="W34" i="10"/>
  <c r="W38" i="10" s="1"/>
  <c r="X34" i="10"/>
  <c r="X38" i="10" s="1"/>
  <c r="Y34" i="10"/>
  <c r="Y38" i="10" s="1"/>
  <c r="Z34" i="10"/>
  <c r="Z38" i="10" s="1"/>
  <c r="AA34" i="10"/>
  <c r="AA38" i="10" s="1"/>
  <c r="AB34" i="10"/>
  <c r="AB38" i="10" s="1"/>
  <c r="AC34" i="10"/>
  <c r="AC38" i="10" s="1"/>
  <c r="AD34" i="10"/>
  <c r="AD38" i="10" s="1"/>
  <c r="AE34" i="10"/>
  <c r="AE38" i="10" s="1"/>
  <c r="AF34" i="10"/>
  <c r="AF38" i="10" s="1"/>
  <c r="AG34" i="10"/>
  <c r="AG38" i="10" s="1"/>
  <c r="AH34" i="10"/>
  <c r="AH38" i="10" s="1"/>
  <c r="AI34" i="10"/>
  <c r="AI38" i="10" s="1"/>
  <c r="AJ34" i="10"/>
  <c r="AJ38" i="10" s="1"/>
  <c r="AK34" i="10"/>
  <c r="AK38" i="10" s="1"/>
  <c r="AL34" i="10"/>
  <c r="AL38" i="10" s="1"/>
  <c r="AM34" i="10"/>
  <c r="AM38" i="10" s="1"/>
  <c r="AN34" i="10"/>
  <c r="AN38" i="10" s="1"/>
  <c r="AO34" i="10"/>
  <c r="AO38" i="10" s="1"/>
  <c r="AP34" i="10"/>
  <c r="AP38" i="10" s="1"/>
  <c r="AQ34" i="10"/>
  <c r="AQ38" i="10" s="1"/>
  <c r="AR34" i="10"/>
  <c r="AR38" i="10" s="1"/>
  <c r="AS34" i="10"/>
  <c r="AS38" i="10" s="1"/>
  <c r="AT34" i="10"/>
  <c r="AT38" i="10" s="1"/>
  <c r="AU34" i="10"/>
  <c r="AU38" i="10" s="1"/>
  <c r="AV34" i="10"/>
  <c r="AV38" i="10" s="1"/>
  <c r="AW34" i="10"/>
  <c r="AW38" i="10" s="1"/>
  <c r="AX34" i="10"/>
  <c r="AX38" i="10" s="1"/>
  <c r="AY34" i="10"/>
  <c r="AY38" i="10" s="1"/>
  <c r="AZ34" i="10"/>
  <c r="AZ38" i="10" s="1"/>
  <c r="BA34" i="10"/>
  <c r="BA38" i="10" s="1"/>
  <c r="BB34" i="10"/>
  <c r="BB38" i="10" s="1"/>
  <c r="BC34" i="10"/>
  <c r="BC38" i="10" s="1"/>
  <c r="BD34" i="10"/>
  <c r="BD38" i="10" s="1"/>
  <c r="BE34" i="10"/>
  <c r="BE38" i="10" s="1"/>
  <c r="BF34" i="10"/>
  <c r="BF38" i="10" s="1"/>
  <c r="BG34" i="10"/>
  <c r="BG38" i="10" s="1"/>
  <c r="BH34" i="10"/>
  <c r="BH38" i="10" s="1"/>
  <c r="BI34" i="10"/>
  <c r="BI38" i="10" s="1"/>
  <c r="BJ34" i="10"/>
  <c r="BJ38" i="10" s="1"/>
  <c r="BL34" i="10"/>
  <c r="BL38" i="10" s="1"/>
  <c r="I35" i="10"/>
  <c r="I39" i="10" s="1"/>
  <c r="J35" i="10"/>
  <c r="J39" i="10" s="1"/>
  <c r="L35" i="10"/>
  <c r="L39" i="10" s="1"/>
  <c r="N35" i="10"/>
  <c r="N39" i="10" s="1"/>
  <c r="O35" i="10"/>
  <c r="O39" i="10" s="1"/>
  <c r="Q35" i="10"/>
  <c r="Q39" i="10" s="1"/>
  <c r="R35" i="10"/>
  <c r="R39" i="10" s="1"/>
  <c r="S35" i="10"/>
  <c r="S39" i="10" s="1"/>
  <c r="T35" i="10"/>
  <c r="T39" i="10" s="1"/>
  <c r="U35" i="10"/>
  <c r="U39" i="10" s="1"/>
  <c r="V35" i="10"/>
  <c r="V39" i="10" s="1"/>
  <c r="W35" i="10"/>
  <c r="W39" i="10" s="1"/>
  <c r="X35" i="10"/>
  <c r="X39" i="10" s="1"/>
  <c r="Y35" i="10"/>
  <c r="Y39" i="10" s="1"/>
  <c r="Z35" i="10"/>
  <c r="Z39" i="10" s="1"/>
  <c r="AA35" i="10"/>
  <c r="AA39" i="10" s="1"/>
  <c r="AB35" i="10"/>
  <c r="AB39" i="10" s="1"/>
  <c r="AC35" i="10"/>
  <c r="AC39" i="10" s="1"/>
  <c r="AD35" i="10"/>
  <c r="AD39" i="10" s="1"/>
  <c r="AE35" i="10"/>
  <c r="AE39" i="10" s="1"/>
  <c r="AF35" i="10"/>
  <c r="AF39" i="10" s="1"/>
  <c r="AG35" i="10"/>
  <c r="AG39" i="10" s="1"/>
  <c r="AH35" i="10"/>
  <c r="AH39" i="10" s="1"/>
  <c r="AI35" i="10"/>
  <c r="AI39" i="10" s="1"/>
  <c r="AJ35" i="10"/>
  <c r="AJ39" i="10" s="1"/>
  <c r="AK35" i="10"/>
  <c r="AK39" i="10" s="1"/>
  <c r="AL35" i="10"/>
  <c r="AL39" i="10" s="1"/>
  <c r="AM35" i="10"/>
  <c r="AM39" i="10" s="1"/>
  <c r="AN35" i="10"/>
  <c r="AN39" i="10" s="1"/>
  <c r="AO35" i="10"/>
  <c r="AO39" i="10" s="1"/>
  <c r="AP35" i="10"/>
  <c r="AP39" i="10" s="1"/>
  <c r="AQ35" i="10"/>
  <c r="AQ39" i="10" s="1"/>
  <c r="AR35" i="10"/>
  <c r="AR39" i="10" s="1"/>
  <c r="AS35" i="10"/>
  <c r="AS39" i="10" s="1"/>
  <c r="AT35" i="10"/>
  <c r="AT39" i="10" s="1"/>
  <c r="AU35" i="10"/>
  <c r="AU39" i="10" s="1"/>
  <c r="AV35" i="10"/>
  <c r="AV39" i="10" s="1"/>
  <c r="AW35" i="10"/>
  <c r="AW39" i="10" s="1"/>
  <c r="AX35" i="10"/>
  <c r="AX39" i="10" s="1"/>
  <c r="AY35" i="10"/>
  <c r="AY39" i="10" s="1"/>
  <c r="AZ35" i="10"/>
  <c r="AZ39" i="10" s="1"/>
  <c r="BA35" i="10"/>
  <c r="BA39" i="10" s="1"/>
  <c r="BB35" i="10"/>
  <c r="BB39" i="10" s="1"/>
  <c r="BC35" i="10"/>
  <c r="BC39" i="10" s="1"/>
  <c r="BD35" i="10"/>
  <c r="BD39" i="10" s="1"/>
  <c r="BE35" i="10"/>
  <c r="BE39" i="10" s="1"/>
  <c r="BF35" i="10"/>
  <c r="BF39" i="10" s="1"/>
  <c r="BG35" i="10"/>
  <c r="BG39" i="10" s="1"/>
  <c r="BH35" i="10"/>
  <c r="BH39" i="10" s="1"/>
  <c r="BI35" i="10"/>
  <c r="BI39" i="10" s="1"/>
  <c r="BJ35" i="10"/>
  <c r="BJ39" i="10" s="1"/>
  <c r="BL35" i="10"/>
  <c r="BL39" i="10" s="1"/>
  <c r="J36" i="10"/>
  <c r="E36" i="10"/>
  <c r="K33" i="10"/>
  <c r="AA65" i="2" l="1"/>
  <c r="X65" i="2" s="1"/>
  <c r="BG41" i="10"/>
  <c r="AY41" i="10"/>
  <c r="AQ41" i="10"/>
  <c r="AI41" i="10"/>
  <c r="AA41" i="10"/>
  <c r="S41" i="10"/>
  <c r="AP41" i="10"/>
  <c r="BD41" i="10"/>
  <c r="AV41" i="10"/>
  <c r="AN41" i="10"/>
  <c r="AF41" i="10"/>
  <c r="X41" i="10"/>
  <c r="BE41" i="10"/>
  <c r="AX41" i="10"/>
  <c r="AM41" i="10"/>
  <c r="AE41" i="10"/>
  <c r="W41" i="10"/>
  <c r="O41" i="10"/>
  <c r="AW41" i="10"/>
  <c r="R41" i="10"/>
  <c r="BB41" i="10"/>
  <c r="AT41" i="10"/>
  <c r="AL41" i="10"/>
  <c r="AD41" i="10"/>
  <c r="V41" i="10"/>
  <c r="N41" i="10"/>
  <c r="AO41" i="10"/>
  <c r="BF41" i="10"/>
  <c r="AH41" i="10"/>
  <c r="BC41" i="10"/>
  <c r="BJ41" i="10"/>
  <c r="BI41" i="10"/>
  <c r="BA41" i="10"/>
  <c r="AS41" i="10"/>
  <c r="AK41" i="10"/>
  <c r="AC41" i="10"/>
  <c r="U41" i="10"/>
  <c r="AG41" i="10"/>
  <c r="I41" i="10"/>
  <c r="BL41" i="10"/>
  <c r="AU41" i="10"/>
  <c r="BH41" i="10"/>
  <c r="AZ41" i="10"/>
  <c r="AR41" i="10"/>
  <c r="AJ41" i="10"/>
  <c r="AB41" i="10"/>
  <c r="T41" i="10"/>
  <c r="L41" i="10"/>
  <c r="Y41" i="10"/>
  <c r="Z41" i="10"/>
  <c r="J41" i="10"/>
  <c r="Q41" i="10"/>
  <c r="G34" i="10"/>
  <c r="G38" i="10" s="1"/>
  <c r="G33" i="10"/>
  <c r="G35" i="10" s="1"/>
  <c r="G39" i="10" s="1"/>
  <c r="K32" i="10"/>
  <c r="K35" i="10"/>
  <c r="K39" i="10" s="1"/>
  <c r="K34" i="10"/>
  <c r="K38" i="10" s="1"/>
  <c r="B12" i="17"/>
  <c r="B16" i="4"/>
  <c r="B25" i="2"/>
  <c r="AD55" i="2"/>
  <c r="AC64" i="2"/>
  <c r="Q57" i="2"/>
  <c r="Q58" i="2" s="1"/>
  <c r="K41" i="10" l="1"/>
  <c r="G41" i="10"/>
  <c r="AB55" i="2"/>
  <c r="AC55" i="2"/>
  <c r="Y55" i="2"/>
  <c r="X55" i="2" s="1"/>
  <c r="Z55" i="2"/>
  <c r="AA55" i="2"/>
  <c r="O46" i="4" l="1"/>
  <c r="J19" i="5" l="1"/>
  <c r="K19" i="5"/>
  <c r="J20" i="5"/>
  <c r="J21" i="5"/>
  <c r="N83" i="4"/>
  <c r="M83" i="4"/>
  <c r="L83" i="4"/>
  <c r="K83" i="4"/>
  <c r="J83" i="4"/>
  <c r="I83" i="4"/>
  <c r="H83" i="4"/>
  <c r="G83" i="4"/>
  <c r="F83" i="4"/>
  <c r="E83" i="4"/>
  <c r="D83" i="4"/>
  <c r="C83" i="4"/>
  <c r="N82" i="4"/>
  <c r="M82" i="4"/>
  <c r="L82" i="4"/>
  <c r="K82" i="4"/>
  <c r="J82" i="4"/>
  <c r="I82" i="4"/>
  <c r="H82" i="4"/>
  <c r="G82" i="4"/>
  <c r="F82" i="4"/>
  <c r="E82" i="4"/>
  <c r="D82" i="4"/>
  <c r="C82" i="4"/>
  <c r="N72" i="4"/>
  <c r="M72" i="4"/>
  <c r="L72" i="4"/>
  <c r="K72" i="4"/>
  <c r="J72" i="4"/>
  <c r="I72" i="4"/>
  <c r="H72" i="4"/>
  <c r="G72" i="4"/>
  <c r="F72" i="4"/>
  <c r="E72" i="4"/>
  <c r="D72" i="4"/>
  <c r="C72" i="4"/>
  <c r="N71" i="4"/>
  <c r="M71" i="4"/>
  <c r="L71" i="4"/>
  <c r="K71" i="4"/>
  <c r="J71" i="4"/>
  <c r="I71" i="4"/>
  <c r="H71" i="4"/>
  <c r="G71" i="4"/>
  <c r="F71" i="4"/>
  <c r="E71" i="4"/>
  <c r="D71" i="4"/>
  <c r="C71" i="4"/>
  <c r="N61" i="4"/>
  <c r="M61" i="4"/>
  <c r="L61" i="4"/>
  <c r="K61" i="4"/>
  <c r="J61" i="4"/>
  <c r="I61" i="4"/>
  <c r="H61" i="4"/>
  <c r="G61" i="4"/>
  <c r="F61" i="4"/>
  <c r="E61" i="4"/>
  <c r="D61" i="4"/>
  <c r="C61" i="4"/>
  <c r="N60" i="4"/>
  <c r="M60" i="4"/>
  <c r="L60" i="4"/>
  <c r="K60" i="4"/>
  <c r="J60" i="4"/>
  <c r="I60" i="4"/>
  <c r="H60" i="4"/>
  <c r="G60" i="4"/>
  <c r="F60" i="4"/>
  <c r="E60" i="4"/>
  <c r="D60" i="4"/>
  <c r="C60" i="4"/>
  <c r="N50" i="4"/>
  <c r="M50" i="4"/>
  <c r="L50" i="4"/>
  <c r="K50" i="4"/>
  <c r="J50" i="4"/>
  <c r="I50" i="4"/>
  <c r="H50" i="4"/>
  <c r="G50" i="4"/>
  <c r="F50" i="4"/>
  <c r="E50" i="4"/>
  <c r="D50" i="4"/>
  <c r="C50" i="4"/>
  <c r="N49" i="4"/>
  <c r="M49" i="4"/>
  <c r="L49" i="4"/>
  <c r="K49" i="4"/>
  <c r="J49" i="4"/>
  <c r="I49" i="4"/>
  <c r="H49" i="4"/>
  <c r="G49" i="4"/>
  <c r="F49" i="4"/>
  <c r="E49" i="4"/>
  <c r="D49" i="4"/>
  <c r="C49" i="4"/>
  <c r="C38" i="4"/>
  <c r="N39" i="4"/>
  <c r="M39" i="4"/>
  <c r="L39" i="4"/>
  <c r="K39" i="4"/>
  <c r="J39" i="4"/>
  <c r="I39" i="4"/>
  <c r="H39" i="4"/>
  <c r="G39" i="4"/>
  <c r="F39" i="4"/>
  <c r="E39" i="4"/>
  <c r="D39" i="4"/>
  <c r="C39" i="4"/>
  <c r="N38" i="4"/>
  <c r="M38" i="4"/>
  <c r="L38" i="4"/>
  <c r="K38" i="4"/>
  <c r="J38" i="4"/>
  <c r="I38" i="4"/>
  <c r="H38" i="4"/>
  <c r="G38" i="4"/>
  <c r="F38" i="4"/>
  <c r="E38" i="4"/>
  <c r="D38" i="4"/>
  <c r="F62" i="4" l="1"/>
  <c r="N62" i="4"/>
  <c r="N73" i="4"/>
  <c r="F84" i="4"/>
  <c r="N84" i="4"/>
  <c r="F73" i="4"/>
  <c r="D73" i="4"/>
  <c r="E73" i="4"/>
  <c r="M73" i="4"/>
  <c r="K84" i="4"/>
  <c r="D84" i="4"/>
  <c r="F51" i="4"/>
  <c r="I62" i="4"/>
  <c r="I51" i="4"/>
  <c r="J40" i="4"/>
  <c r="D40" i="4"/>
  <c r="L84" i="4"/>
  <c r="L73" i="4"/>
  <c r="J84" i="4"/>
  <c r="G62" i="4"/>
  <c r="L40" i="4"/>
  <c r="C51" i="4"/>
  <c r="K51" i="4"/>
  <c r="S61" i="4"/>
  <c r="K73" i="4"/>
  <c r="G84" i="4"/>
  <c r="H51" i="4"/>
  <c r="D51" i="4"/>
  <c r="L51" i="4"/>
  <c r="H62" i="4"/>
  <c r="H73" i="4"/>
  <c r="E62" i="4"/>
  <c r="I73" i="4"/>
  <c r="J51" i="4"/>
  <c r="J62" i="4"/>
  <c r="S50" i="4"/>
  <c r="H84" i="4"/>
  <c r="M62" i="4"/>
  <c r="R83" i="4"/>
  <c r="G51" i="4"/>
  <c r="C62" i="4"/>
  <c r="K62" i="4"/>
  <c r="J73" i="4"/>
  <c r="I84" i="4"/>
  <c r="S72" i="4"/>
  <c r="F40" i="4"/>
  <c r="N40" i="4"/>
  <c r="E51" i="4"/>
  <c r="M51" i="4"/>
  <c r="D62" i="4"/>
  <c r="L62" i="4"/>
  <c r="S71" i="4"/>
  <c r="E84" i="4"/>
  <c r="M84" i="4"/>
  <c r="N51" i="4"/>
  <c r="G73" i="4"/>
  <c r="R82" i="4"/>
  <c r="S83" i="4"/>
  <c r="C84" i="4"/>
  <c r="S82" i="4"/>
  <c r="Q82" i="4"/>
  <c r="Q83" i="4"/>
  <c r="C73" i="4"/>
  <c r="Q71" i="4"/>
  <c r="Q72" i="4"/>
  <c r="R71" i="4"/>
  <c r="R72" i="4"/>
  <c r="Q60" i="4"/>
  <c r="Q61" i="4"/>
  <c r="R60" i="4"/>
  <c r="R61" i="4"/>
  <c r="S60" i="4"/>
  <c r="Q49" i="4"/>
  <c r="Q50" i="4"/>
  <c r="R49" i="4"/>
  <c r="R50" i="4"/>
  <c r="S49" i="4"/>
  <c r="K40" i="4"/>
  <c r="Q38" i="4"/>
  <c r="R39" i="4"/>
  <c r="R38" i="4"/>
  <c r="G40" i="4"/>
  <c r="I40" i="4"/>
  <c r="S38" i="4"/>
  <c r="E40" i="4"/>
  <c r="M40" i="4"/>
  <c r="Q39" i="4"/>
  <c r="S39" i="4"/>
  <c r="C40" i="4"/>
  <c r="H40" i="4"/>
  <c r="C27" i="4"/>
  <c r="M26" i="4"/>
  <c r="D27" i="4"/>
  <c r="E27" i="4"/>
  <c r="F27" i="4"/>
  <c r="G27" i="4"/>
  <c r="H27" i="4"/>
  <c r="I27" i="4"/>
  <c r="J27" i="4"/>
  <c r="K27" i="4"/>
  <c r="L27" i="4"/>
  <c r="M27" i="4"/>
  <c r="N27" i="4"/>
  <c r="D26" i="4"/>
  <c r="E26" i="4"/>
  <c r="F26" i="4"/>
  <c r="G26" i="4"/>
  <c r="H26" i="4"/>
  <c r="I26" i="4"/>
  <c r="J26" i="4"/>
  <c r="K26" i="4"/>
  <c r="L26" i="4"/>
  <c r="N26" i="4"/>
  <c r="C26" i="4"/>
  <c r="O138" i="2"/>
  <c r="O136" i="2"/>
  <c r="O135" i="2"/>
  <c r="D159" i="2"/>
  <c r="E159" i="2"/>
  <c r="F159" i="2"/>
  <c r="G159" i="2"/>
  <c r="H159" i="2"/>
  <c r="I159" i="2"/>
  <c r="J159" i="2"/>
  <c r="K159" i="2"/>
  <c r="L159" i="2"/>
  <c r="M159" i="2"/>
  <c r="N159" i="2"/>
  <c r="P159" i="2"/>
  <c r="Q159" i="2"/>
  <c r="R159" i="2"/>
  <c r="S159" i="2"/>
  <c r="T159" i="2"/>
  <c r="U159" i="2"/>
  <c r="V159" i="2"/>
  <c r="W159" i="2"/>
  <c r="O159" i="2"/>
  <c r="E138" i="2"/>
  <c r="F138" i="2"/>
  <c r="G138" i="2"/>
  <c r="H138" i="2"/>
  <c r="I138" i="2"/>
  <c r="J138" i="2"/>
  <c r="K138" i="2"/>
  <c r="L138" i="2"/>
  <c r="M138" i="2"/>
  <c r="N138" i="2"/>
  <c r="P138" i="2"/>
  <c r="Q138" i="2"/>
  <c r="R138" i="2"/>
  <c r="S138" i="2"/>
  <c r="T138" i="2"/>
  <c r="U138" i="2"/>
  <c r="V138" i="2"/>
  <c r="W138" i="2"/>
  <c r="AE160" i="2"/>
  <c r="B116" i="2"/>
  <c r="Y159" i="2" l="1"/>
  <c r="Z138" i="2"/>
  <c r="I28" i="4"/>
  <c r="O61" i="4"/>
  <c r="O50" i="4"/>
  <c r="F28" i="4"/>
  <c r="L28" i="4"/>
  <c r="D28" i="4"/>
  <c r="G28" i="4"/>
  <c r="O49" i="4"/>
  <c r="O71" i="4"/>
  <c r="S51" i="4"/>
  <c r="S62" i="4"/>
  <c r="O60" i="4"/>
  <c r="H28" i="4"/>
  <c r="M28" i="4"/>
  <c r="O72" i="4"/>
  <c r="C28" i="4"/>
  <c r="K28" i="4"/>
  <c r="Q51" i="4"/>
  <c r="Q62" i="4"/>
  <c r="O83" i="4"/>
  <c r="J28" i="4"/>
  <c r="R51" i="4"/>
  <c r="R62" i="4"/>
  <c r="O82" i="4"/>
  <c r="Q84" i="4"/>
  <c r="S84" i="4"/>
  <c r="R84" i="4"/>
  <c r="R73" i="4"/>
  <c r="Q73" i="4"/>
  <c r="S73" i="4"/>
  <c r="O39" i="4"/>
  <c r="Q26" i="4"/>
  <c r="R26" i="4"/>
  <c r="E28" i="4"/>
  <c r="O38" i="4"/>
  <c r="Q40" i="4"/>
  <c r="R40" i="4"/>
  <c r="S40" i="4"/>
  <c r="N28" i="4"/>
  <c r="Q27" i="4"/>
  <c r="R27" i="4"/>
  <c r="S26" i="4"/>
  <c r="S27" i="4"/>
  <c r="AA159" i="2"/>
  <c r="Z159" i="2"/>
  <c r="X159" i="2" s="1"/>
  <c r="AA138" i="2"/>
  <c r="Y138" i="2"/>
  <c r="O137" i="2"/>
  <c r="O84" i="4" l="1"/>
  <c r="P84" i="4" s="1"/>
  <c r="O51" i="4"/>
  <c r="P51" i="4" s="1"/>
  <c r="O73" i="4"/>
  <c r="P73" i="4" s="1"/>
  <c r="O62" i="4"/>
  <c r="P62" i="4" s="1"/>
  <c r="O26" i="4"/>
  <c r="O40" i="4"/>
  <c r="P40" i="4" s="1"/>
  <c r="S28" i="4"/>
  <c r="R28" i="4"/>
  <c r="Q28" i="4"/>
  <c r="O27" i="4"/>
  <c r="AE139" i="2"/>
  <c r="X138" i="2" s="1"/>
  <c r="O28" i="4" l="1"/>
  <c r="P28" i="4" s="1"/>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P35" i="10" l="1"/>
  <c r="P39" i="10" s="1"/>
  <c r="P32" i="10"/>
  <c r="P34" i="10"/>
  <c r="P38" i="10" s="1"/>
  <c r="P33" i="10"/>
  <c r="M33" i="10"/>
  <c r="M32" i="10"/>
  <c r="M34" i="10"/>
  <c r="M38" i="10" s="1"/>
  <c r="BK34" i="10"/>
  <c r="BK38" i="10" s="1"/>
  <c r="BK33" i="10"/>
  <c r="BK32" i="10"/>
  <c r="H32" i="10"/>
  <c r="H33" i="10"/>
  <c r="H35" i="10" s="1"/>
  <c r="H39" i="10" s="1"/>
  <c r="H34" i="10"/>
  <c r="H38" i="10" s="1"/>
  <c r="E34" i="10"/>
  <c r="E38" i="10" s="1"/>
  <c r="E33" i="10"/>
  <c r="E32" i="10"/>
  <c r="F33" i="10"/>
  <c r="E42" i="10"/>
  <c r="I42" i="10" s="1"/>
  <c r="F32" i="10"/>
  <c r="F34" i="10"/>
  <c r="F38" i="10" s="1"/>
  <c r="E35" i="10" l="1"/>
  <c r="E39" i="10" s="1"/>
  <c r="E41" i="10" s="1"/>
  <c r="BK35" i="10"/>
  <c r="BK39" i="10" s="1"/>
  <c r="BK41" i="10" s="1"/>
  <c r="P41" i="10"/>
  <c r="M35" i="10"/>
  <c r="M39" i="10" s="1"/>
  <c r="M41" i="10" s="1"/>
  <c r="H41" i="10"/>
  <c r="F35" i="10"/>
  <c r="F39" i="10" s="1"/>
  <c r="F41" i="10" s="1"/>
  <c r="I21" i="10" l="1"/>
  <c r="O81" i="4"/>
  <c r="O79" i="4"/>
  <c r="O70" i="4"/>
  <c r="O68" i="4"/>
  <c r="O59" i="4"/>
  <c r="O57" i="4"/>
  <c r="O48" i="4"/>
  <c r="O37" i="4"/>
  <c r="P25" i="4"/>
  <c r="O35" i="4"/>
  <c r="K36" i="10"/>
  <c r="L36" i="10"/>
  <c r="M36" i="10"/>
  <c r="N36" i="10"/>
  <c r="O36" i="10"/>
  <c r="P36" i="10"/>
  <c r="Q36" i="10"/>
  <c r="R36" i="10"/>
  <c r="S36" i="10"/>
  <c r="T36" i="10"/>
  <c r="U36" i="10"/>
  <c r="V36" i="10"/>
  <c r="W36" i="10"/>
  <c r="K51" i="5" l="1"/>
  <c r="P37" i="4"/>
  <c r="P38" i="4" s="1"/>
  <c r="L7" i="5"/>
  <c r="J10" i="5"/>
  <c r="J7" i="5"/>
  <c r="J9" i="5"/>
  <c r="P81" i="4"/>
  <c r="J52" i="5"/>
  <c r="P70" i="4"/>
  <c r="P59" i="4"/>
  <c r="P48" i="4"/>
  <c r="P49" i="4" s="1"/>
  <c r="P46" i="4" s="1"/>
  <c r="P26" i="4"/>
  <c r="W75" i="5"/>
  <c r="V75" i="5"/>
  <c r="W74" i="5"/>
  <c r="V74" i="5"/>
  <c r="W73" i="5"/>
  <c r="V73" i="5"/>
  <c r="W72" i="5"/>
  <c r="V72" i="5"/>
  <c r="W71" i="5"/>
  <c r="V71" i="5"/>
  <c r="W70" i="5"/>
  <c r="V70" i="5"/>
  <c r="W69" i="5"/>
  <c r="V69" i="5"/>
  <c r="W68" i="5"/>
  <c r="V68" i="5"/>
  <c r="W67" i="5"/>
  <c r="V67" i="5"/>
  <c r="W66" i="5"/>
  <c r="V66" i="5"/>
  <c r="W56" i="5"/>
  <c r="V56" i="5"/>
  <c r="W50" i="5"/>
  <c r="V50" i="5"/>
  <c r="W49" i="5"/>
  <c r="V49" i="5"/>
  <c r="W48" i="5"/>
  <c r="V48" i="5"/>
  <c r="W47" i="5"/>
  <c r="V47" i="5"/>
  <c r="W46" i="5"/>
  <c r="V46" i="5"/>
  <c r="W45" i="5"/>
  <c r="V45" i="5"/>
  <c r="W44" i="5"/>
  <c r="V44" i="5"/>
  <c r="W43" i="5"/>
  <c r="V43" i="5"/>
  <c r="W42" i="5"/>
  <c r="V42" i="5"/>
  <c r="W41" i="5"/>
  <c r="V41" i="5"/>
  <c r="O50" i="5"/>
  <c r="O49" i="5"/>
  <c r="O48" i="5"/>
  <c r="O47" i="5"/>
  <c r="O46" i="5"/>
  <c r="O45" i="5"/>
  <c r="O44" i="5"/>
  <c r="O43" i="5"/>
  <c r="O42" i="5"/>
  <c r="O41" i="5"/>
  <c r="O75" i="5"/>
  <c r="O74" i="5"/>
  <c r="O73" i="5"/>
  <c r="O72" i="5"/>
  <c r="O71" i="5"/>
  <c r="O70" i="5"/>
  <c r="O69" i="5"/>
  <c r="O68" i="5"/>
  <c r="O67" i="5"/>
  <c r="O66" i="5"/>
  <c r="O65" i="5"/>
  <c r="P82" i="4" l="1"/>
  <c r="P79" i="4" s="1"/>
  <c r="P35" i="4"/>
  <c r="P23" i="4"/>
  <c r="P60" i="4"/>
  <c r="P57" i="4" s="1"/>
  <c r="P71" i="4"/>
  <c r="P68" i="4" s="1"/>
  <c r="X47" i="5"/>
  <c r="P66" i="5"/>
  <c r="P65" i="5"/>
  <c r="AC75" i="5"/>
  <c r="AB75" i="5"/>
  <c r="Z75" i="5"/>
  <c r="Y75" i="5"/>
  <c r="T75" i="5"/>
  <c r="S75" i="5"/>
  <c r="Q75" i="5"/>
  <c r="P75" i="5"/>
  <c r="AC50" i="5"/>
  <c r="AB50" i="5"/>
  <c r="Z50" i="5"/>
  <c r="Y50" i="5"/>
  <c r="T50" i="5"/>
  <c r="S50" i="5"/>
  <c r="Q50" i="5"/>
  <c r="P50" i="5"/>
  <c r="AC49" i="5"/>
  <c r="AB49" i="5"/>
  <c r="Z49" i="5"/>
  <c r="Y49" i="5"/>
  <c r="T49" i="5"/>
  <c r="S49" i="5"/>
  <c r="Q49" i="5"/>
  <c r="P49" i="5"/>
  <c r="AC74" i="5"/>
  <c r="AB74" i="5"/>
  <c r="Z74" i="5"/>
  <c r="Y74" i="5"/>
  <c r="T74" i="5"/>
  <c r="S74" i="5"/>
  <c r="Q74" i="5"/>
  <c r="P74" i="5"/>
  <c r="AC73" i="5"/>
  <c r="AB73" i="5"/>
  <c r="Z73" i="5"/>
  <c r="Y73" i="5"/>
  <c r="T73" i="5"/>
  <c r="S73" i="5"/>
  <c r="Q73" i="5"/>
  <c r="P73" i="5"/>
  <c r="AC48" i="5"/>
  <c r="AB48" i="5"/>
  <c r="Z48" i="5"/>
  <c r="Y48" i="5"/>
  <c r="T48" i="5"/>
  <c r="S48" i="5"/>
  <c r="Q48" i="5"/>
  <c r="P48" i="5"/>
  <c r="AC47" i="5"/>
  <c r="AB47" i="5"/>
  <c r="Z47" i="5"/>
  <c r="Y47" i="5"/>
  <c r="T47" i="5"/>
  <c r="S47" i="5"/>
  <c r="Q47" i="5"/>
  <c r="P47" i="5"/>
  <c r="AC72" i="5"/>
  <c r="AB72" i="5"/>
  <c r="Z72" i="5"/>
  <c r="Y72" i="5"/>
  <c r="T72" i="5"/>
  <c r="S72" i="5"/>
  <c r="Q72" i="5"/>
  <c r="P72" i="5"/>
  <c r="AC71" i="5"/>
  <c r="AB71" i="5"/>
  <c r="Z71" i="5"/>
  <c r="Y71" i="5"/>
  <c r="T71" i="5"/>
  <c r="S71" i="5"/>
  <c r="Q71" i="5"/>
  <c r="P71" i="5"/>
  <c r="AC46" i="5"/>
  <c r="AB46" i="5"/>
  <c r="Z46" i="5"/>
  <c r="Y46" i="5"/>
  <c r="T46" i="5"/>
  <c r="S46" i="5"/>
  <c r="Q46" i="5"/>
  <c r="P46" i="5"/>
  <c r="AC45" i="5"/>
  <c r="AB45" i="5"/>
  <c r="Z45" i="5"/>
  <c r="Y45" i="5"/>
  <c r="T45" i="5"/>
  <c r="S45" i="5"/>
  <c r="Q45" i="5"/>
  <c r="P45" i="5"/>
  <c r="AC70" i="5"/>
  <c r="AB70" i="5"/>
  <c r="Z70" i="5"/>
  <c r="Y70" i="5"/>
  <c r="T70" i="5"/>
  <c r="S70" i="5"/>
  <c r="Q70" i="5"/>
  <c r="P70" i="5"/>
  <c r="AC69" i="5"/>
  <c r="AB69" i="5"/>
  <c r="Z69" i="5"/>
  <c r="Y69" i="5"/>
  <c r="T69" i="5"/>
  <c r="S69" i="5"/>
  <c r="Q69" i="5"/>
  <c r="P69" i="5"/>
  <c r="AC44" i="5"/>
  <c r="AB44" i="5"/>
  <c r="Z44" i="5"/>
  <c r="Y44" i="5"/>
  <c r="T44" i="5"/>
  <c r="S44" i="5"/>
  <c r="Q44" i="5"/>
  <c r="P44" i="5"/>
  <c r="AC43" i="5"/>
  <c r="AB43" i="5"/>
  <c r="Z43" i="5"/>
  <c r="Y43" i="5"/>
  <c r="T43" i="5"/>
  <c r="S43" i="5"/>
  <c r="Q43" i="5"/>
  <c r="P43" i="5"/>
  <c r="AC68" i="5"/>
  <c r="AB68" i="5"/>
  <c r="Z68" i="5"/>
  <c r="Y68" i="5"/>
  <c r="T68" i="5"/>
  <c r="S68" i="5"/>
  <c r="Q68" i="5"/>
  <c r="P68" i="5"/>
  <c r="AC67" i="5"/>
  <c r="AB67" i="5"/>
  <c r="Z67" i="5"/>
  <c r="Y67" i="5"/>
  <c r="T67" i="5"/>
  <c r="S67" i="5"/>
  <c r="Q67" i="5"/>
  <c r="P67" i="5"/>
  <c r="AC42" i="5"/>
  <c r="AB42" i="5"/>
  <c r="Z42" i="5"/>
  <c r="Y42" i="5"/>
  <c r="T42" i="5"/>
  <c r="S42" i="5"/>
  <c r="Q42" i="5"/>
  <c r="P42" i="5"/>
  <c r="AC41" i="5"/>
  <c r="AB41" i="5"/>
  <c r="Z41" i="5"/>
  <c r="Y41" i="5"/>
  <c r="T41" i="5"/>
  <c r="S41" i="5"/>
  <c r="Q41" i="5"/>
  <c r="P41" i="5"/>
  <c r="AC66" i="5"/>
  <c r="AB66" i="5"/>
  <c r="Z66" i="5"/>
  <c r="Y66" i="5"/>
  <c r="T66" i="5"/>
  <c r="S66" i="5"/>
  <c r="Q66" i="5"/>
  <c r="X144" i="2"/>
  <c r="W156" i="2"/>
  <c r="N156" i="2"/>
  <c r="O156" i="2"/>
  <c r="P156" i="2"/>
  <c r="Q156" i="2"/>
  <c r="R156" i="2"/>
  <c r="S156" i="2"/>
  <c r="T156" i="2"/>
  <c r="U156" i="2"/>
  <c r="V156" i="2"/>
  <c r="N157" i="2"/>
  <c r="O157" i="2"/>
  <c r="P157" i="2"/>
  <c r="Q157" i="2"/>
  <c r="R157" i="2"/>
  <c r="S157" i="2"/>
  <c r="T157" i="2"/>
  <c r="U157" i="2"/>
  <c r="V157" i="2"/>
  <c r="W157" i="2"/>
  <c r="X123" i="2"/>
  <c r="N135" i="2"/>
  <c r="P135" i="2"/>
  <c r="Q135" i="2"/>
  <c r="R135" i="2"/>
  <c r="S135" i="2"/>
  <c r="T135" i="2"/>
  <c r="U135" i="2"/>
  <c r="V135" i="2"/>
  <c r="W135" i="2"/>
  <c r="W137" i="2" s="1"/>
  <c r="N136" i="2"/>
  <c r="P136" i="2"/>
  <c r="Q136" i="2"/>
  <c r="R136" i="2"/>
  <c r="S136" i="2"/>
  <c r="T136" i="2"/>
  <c r="U136" i="2"/>
  <c r="V136" i="2"/>
  <c r="W136" i="2"/>
  <c r="AC62" i="2"/>
  <c r="AC60" i="2"/>
  <c r="AC59" i="2"/>
  <c r="AC57" i="2"/>
  <c r="AC56" i="2"/>
  <c r="AC54" i="2"/>
  <c r="AB63" i="2"/>
  <c r="AB62" i="2"/>
  <c r="AB59" i="2"/>
  <c r="N49" i="2"/>
  <c r="N56" i="2" s="1"/>
  <c r="O49" i="2"/>
  <c r="O56" i="2" s="1"/>
  <c r="P49" i="2"/>
  <c r="P56" i="2" s="1"/>
  <c r="Q49" i="2"/>
  <c r="Q56" i="2" s="1"/>
  <c r="R49" i="2"/>
  <c r="R56" i="2" s="1"/>
  <c r="S49" i="2"/>
  <c r="S56" i="2" s="1"/>
  <c r="T49" i="2"/>
  <c r="T56" i="2" s="1"/>
  <c r="U49" i="2"/>
  <c r="U56" i="2" s="1"/>
  <c r="V49" i="2"/>
  <c r="V56" i="2" s="1"/>
  <c r="W49" i="2"/>
  <c r="W56" i="2" s="1"/>
  <c r="N57" i="2"/>
  <c r="N58" i="2" s="1"/>
  <c r="O57" i="2"/>
  <c r="O58" i="2" s="1"/>
  <c r="P57" i="2"/>
  <c r="P58" i="2" s="1"/>
  <c r="R57" i="2"/>
  <c r="R58" i="2" s="1"/>
  <c r="S57" i="2"/>
  <c r="S58" i="2" s="1"/>
  <c r="T57" i="2"/>
  <c r="T58" i="2" s="1"/>
  <c r="U57" i="2"/>
  <c r="U58" i="2" s="1"/>
  <c r="V57" i="2"/>
  <c r="V58" i="2" s="1"/>
  <c r="W57" i="2"/>
  <c r="W58" i="2" s="1"/>
  <c r="F36" i="10"/>
  <c r="G36" i="10"/>
  <c r="H36" i="10"/>
  <c r="I36" i="10"/>
  <c r="AA73" i="5" l="1"/>
  <c r="Q158" i="2"/>
  <c r="R74" i="5"/>
  <c r="R158" i="2"/>
  <c r="U72" i="5"/>
  <c r="X75" i="5"/>
  <c r="U75" i="5"/>
  <c r="AD68" i="5"/>
  <c r="AA42" i="5"/>
  <c r="AD43" i="5"/>
  <c r="AD45" i="5"/>
  <c r="V137" i="2"/>
  <c r="P137" i="2"/>
  <c r="T158" i="2"/>
  <c r="P158" i="2"/>
  <c r="U158" i="2"/>
  <c r="V158" i="2"/>
  <c r="N158" i="2"/>
  <c r="AA74" i="5"/>
  <c r="Q137" i="2"/>
  <c r="AD44" i="5"/>
  <c r="AD46" i="5"/>
  <c r="N137" i="2"/>
  <c r="U137" i="2"/>
  <c r="X46" i="5"/>
  <c r="S137" i="2"/>
  <c r="X73" i="5"/>
  <c r="R73" i="5"/>
  <c r="AA66" i="5"/>
  <c r="U67" i="5"/>
  <c r="AD70" i="5"/>
  <c r="X48" i="5"/>
  <c r="R41" i="5"/>
  <c r="R45" i="5"/>
  <c r="AD49" i="5"/>
  <c r="R50" i="5"/>
  <c r="X49" i="5"/>
  <c r="AA75" i="5"/>
  <c r="R75" i="5"/>
  <c r="X50" i="5"/>
  <c r="U50" i="5"/>
  <c r="AA49" i="5"/>
  <c r="AD73" i="5"/>
  <c r="AD48" i="5"/>
  <c r="AA48" i="5"/>
  <c r="U48" i="5"/>
  <c r="AD47" i="5"/>
  <c r="AA47" i="5"/>
  <c r="R47" i="5"/>
  <c r="AD72" i="5"/>
  <c r="R72" i="5"/>
  <c r="U71" i="5"/>
  <c r="AA46" i="5"/>
  <c r="AA45" i="5"/>
  <c r="X45" i="5"/>
  <c r="U45" i="5"/>
  <c r="AA70" i="5"/>
  <c r="X70" i="5"/>
  <c r="U70" i="5"/>
  <c r="X69" i="5"/>
  <c r="R44" i="5"/>
  <c r="AA43" i="5"/>
  <c r="X43" i="5"/>
  <c r="U43" i="5"/>
  <c r="R43" i="5"/>
  <c r="AD67" i="5"/>
  <c r="R67" i="5"/>
  <c r="U42" i="5"/>
  <c r="R42" i="5"/>
  <c r="AD41" i="5"/>
  <c r="X41" i="5"/>
  <c r="X66" i="5"/>
  <c r="U66" i="5"/>
  <c r="R66" i="5"/>
  <c r="X72" i="5"/>
  <c r="AD71" i="5"/>
  <c r="R71" i="5"/>
  <c r="X74" i="5"/>
  <c r="X71" i="5"/>
  <c r="X68" i="5"/>
  <c r="AA67" i="5"/>
  <c r="AD66" i="5"/>
  <c r="AD69" i="5"/>
  <c r="R69" i="5"/>
  <c r="U68" i="5"/>
  <c r="X67" i="5"/>
  <c r="S158" i="2"/>
  <c r="AD75" i="5"/>
  <c r="AA72" i="5"/>
  <c r="R70" i="5"/>
  <c r="R68" i="5"/>
  <c r="U73" i="5"/>
  <c r="U69" i="5"/>
  <c r="AA68" i="5"/>
  <c r="O158" i="2"/>
  <c r="U74" i="5"/>
  <c r="AD74" i="5"/>
  <c r="AA71" i="5"/>
  <c r="AA69" i="5"/>
  <c r="W158" i="2"/>
  <c r="T137" i="2"/>
  <c r="R46" i="5"/>
  <c r="AA50" i="5"/>
  <c r="U49" i="5"/>
  <c r="R48" i="5"/>
  <c r="U47" i="5"/>
  <c r="AA44" i="5"/>
  <c r="X42" i="5"/>
  <c r="U41" i="5"/>
  <c r="X44" i="5"/>
  <c r="R49" i="5"/>
  <c r="U44" i="5"/>
  <c r="AA41" i="5"/>
  <c r="AD50" i="5"/>
  <c r="U46" i="5"/>
  <c r="AD42" i="5"/>
  <c r="R137" i="2"/>
  <c r="D135" i="2"/>
  <c r="D156" i="2"/>
  <c r="E156" i="2"/>
  <c r="F156" i="2"/>
  <c r="G156" i="2"/>
  <c r="H156" i="2"/>
  <c r="I156" i="2"/>
  <c r="K156" i="2"/>
  <c r="L156" i="2"/>
  <c r="M156" i="2"/>
  <c r="J156" i="2"/>
  <c r="E136" i="2"/>
  <c r="F136" i="2"/>
  <c r="G136" i="2"/>
  <c r="H136" i="2"/>
  <c r="I136" i="2"/>
  <c r="J136" i="2"/>
  <c r="K136" i="2"/>
  <c r="L136" i="2"/>
  <c r="M136" i="2"/>
  <c r="D136" i="2"/>
  <c r="E135" i="2"/>
  <c r="F135" i="2"/>
  <c r="G135" i="2"/>
  <c r="H135" i="2"/>
  <c r="I135" i="2"/>
  <c r="J135" i="2"/>
  <c r="K135" i="2"/>
  <c r="L135" i="2"/>
  <c r="M135" i="2"/>
  <c r="E157" i="2"/>
  <c r="F157" i="2"/>
  <c r="G157" i="2"/>
  <c r="H157" i="2"/>
  <c r="I157" i="2"/>
  <c r="J157" i="2"/>
  <c r="K157" i="2"/>
  <c r="L157" i="2"/>
  <c r="M157" i="2"/>
  <c r="D157" i="2"/>
  <c r="AB31" i="5"/>
  <c r="V32" i="5"/>
  <c r="S31" i="5"/>
  <c r="P31" i="5"/>
  <c r="O31" i="5"/>
  <c r="P32" i="5"/>
  <c r="AA156" i="2" l="1"/>
  <c r="AB157" i="2"/>
  <c r="AD156" i="2"/>
  <c r="AC136" i="2"/>
  <c r="Y136" i="2"/>
  <c r="Z136" i="2"/>
  <c r="AA136" i="2"/>
  <c r="AB136" i="2"/>
  <c r="AD136" i="2"/>
  <c r="AC157" i="2"/>
  <c r="Y157" i="2"/>
  <c r="AC156" i="2"/>
  <c r="AD157" i="2"/>
  <c r="Y156" i="2"/>
  <c r="Z157" i="2"/>
  <c r="Y135" i="2"/>
  <c r="AB135" i="2"/>
  <c r="Z135" i="2"/>
  <c r="AC135" i="2"/>
  <c r="AD135" i="2"/>
  <c r="AA135" i="2"/>
  <c r="AB156" i="2"/>
  <c r="AA157" i="2"/>
  <c r="AA139" i="2"/>
  <c r="Z156" i="2"/>
  <c r="Z139" i="2"/>
  <c r="Y139" i="2"/>
  <c r="Z160" i="2"/>
  <c r="Y160" i="2"/>
  <c r="AA160" i="2"/>
  <c r="G137" i="2"/>
  <c r="U152" i="2"/>
  <c r="R131" i="2"/>
  <c r="R132" i="2" s="1"/>
  <c r="W152" i="2"/>
  <c r="V152" i="2"/>
  <c r="T152" i="2"/>
  <c r="S152" i="2"/>
  <c r="R152" i="2"/>
  <c r="P152" i="2"/>
  <c r="O152" i="2"/>
  <c r="N152" i="2"/>
  <c r="S131" i="2"/>
  <c r="S132" i="2" s="1"/>
  <c r="T131" i="2"/>
  <c r="T132" i="2" s="1"/>
  <c r="O131" i="2"/>
  <c r="O132" i="2" s="1"/>
  <c r="Q152" i="2"/>
  <c r="P131" i="2"/>
  <c r="P132" i="2" s="1"/>
  <c r="N131" i="2"/>
  <c r="N132" i="2" s="1"/>
  <c r="Q131" i="2"/>
  <c r="Q132" i="2" s="1"/>
  <c r="U131" i="2"/>
  <c r="U132" i="2" s="1"/>
  <c r="W131" i="2"/>
  <c r="W132" i="2" s="1"/>
  <c r="V131" i="2"/>
  <c r="V132" i="2" s="1"/>
  <c r="AA64" i="2"/>
  <c r="Z64" i="2"/>
  <c r="Y64" i="2"/>
  <c r="AA59" i="2"/>
  <c r="Z59" i="2"/>
  <c r="Y59" i="2"/>
  <c r="X59" i="2" s="1"/>
  <c r="K137" i="2"/>
  <c r="J137" i="2"/>
  <c r="F158" i="2"/>
  <c r="I137" i="2"/>
  <c r="M137" i="2"/>
  <c r="E137" i="2"/>
  <c r="H158" i="2"/>
  <c r="J158" i="2"/>
  <c r="E158" i="2"/>
  <c r="H137" i="2"/>
  <c r="D137" i="2"/>
  <c r="I158" i="2"/>
  <c r="G158" i="2"/>
  <c r="M158" i="2"/>
  <c r="F137" i="2"/>
  <c r="L137" i="2"/>
  <c r="D158" i="2"/>
  <c r="K158" i="2"/>
  <c r="L158" i="2"/>
  <c r="X64" i="2" l="1"/>
  <c r="X139" i="2"/>
  <c r="X160" i="2"/>
  <c r="Y158" i="2"/>
  <c r="Z158" i="2"/>
  <c r="X158" i="2" s="1"/>
  <c r="AA158" i="2"/>
  <c r="Y137" i="2"/>
  <c r="AA137" i="2"/>
  <c r="Z137" i="2"/>
  <c r="X137" i="2" l="1"/>
  <c r="Z38" i="2"/>
  <c r="X38" i="2" s="1"/>
  <c r="AA38" i="2"/>
  <c r="P40" i="5"/>
  <c r="P39" i="5"/>
  <c r="P38" i="5"/>
  <c r="P37" i="5"/>
  <c r="P36" i="5"/>
  <c r="P35" i="5"/>
  <c r="P33" i="5"/>
  <c r="AC65" i="5"/>
  <c r="AB65" i="5"/>
  <c r="Z65" i="5"/>
  <c r="Y65" i="5"/>
  <c r="W65" i="5"/>
  <c r="V65" i="5"/>
  <c r="T65" i="5"/>
  <c r="S65" i="5"/>
  <c r="Q65" i="5"/>
  <c r="AC64" i="5"/>
  <c r="AB64" i="5"/>
  <c r="Z64" i="5"/>
  <c r="Y64" i="5"/>
  <c r="W64" i="5"/>
  <c r="V64" i="5"/>
  <c r="T64" i="5"/>
  <c r="S64" i="5"/>
  <c r="Q64" i="5"/>
  <c r="P64" i="5"/>
  <c r="AC63" i="5"/>
  <c r="AB63" i="5"/>
  <c r="Z63" i="5"/>
  <c r="Y63" i="5"/>
  <c r="W63" i="5"/>
  <c r="V63" i="5"/>
  <c r="T63" i="5"/>
  <c r="S63" i="5"/>
  <c r="Q63" i="5"/>
  <c r="P63" i="5"/>
  <c r="AC62" i="5"/>
  <c r="AB62" i="5"/>
  <c r="Z62" i="5"/>
  <c r="Y62" i="5"/>
  <c r="W62" i="5"/>
  <c r="V62" i="5"/>
  <c r="T62" i="5"/>
  <c r="S62" i="5"/>
  <c r="Q62" i="5"/>
  <c r="P62" i="5"/>
  <c r="AC61" i="5"/>
  <c r="AB61" i="5"/>
  <c r="Z61" i="5"/>
  <c r="Y61" i="5"/>
  <c r="W61" i="5"/>
  <c r="V61" i="5"/>
  <c r="T61" i="5"/>
  <c r="S61" i="5"/>
  <c r="Q61" i="5"/>
  <c r="P61" i="5"/>
  <c r="AC60" i="5"/>
  <c r="AB60" i="5"/>
  <c r="Z60" i="5"/>
  <c r="Y60" i="5"/>
  <c r="W60" i="5"/>
  <c r="V60" i="5"/>
  <c r="T60" i="5"/>
  <c r="S60" i="5"/>
  <c r="Q60" i="5"/>
  <c r="P60" i="5"/>
  <c r="AC59" i="5"/>
  <c r="AB59" i="5"/>
  <c r="Z59" i="5"/>
  <c r="Y59" i="5"/>
  <c r="W59" i="5"/>
  <c r="V59" i="5"/>
  <c r="T59" i="5"/>
  <c r="S59" i="5"/>
  <c r="Q59" i="5"/>
  <c r="P59" i="5"/>
  <c r="AC58" i="5"/>
  <c r="AB58" i="5"/>
  <c r="Z58" i="5"/>
  <c r="Y58" i="5"/>
  <c r="W58" i="5"/>
  <c r="V58" i="5"/>
  <c r="T58" i="5"/>
  <c r="S58" i="5"/>
  <c r="Q58" i="5"/>
  <c r="P58" i="5"/>
  <c r="AC57" i="5"/>
  <c r="AB57" i="5"/>
  <c r="Z57" i="5"/>
  <c r="Y57" i="5"/>
  <c r="W57" i="5"/>
  <c r="V57" i="5"/>
  <c r="T57" i="5"/>
  <c r="S57" i="5"/>
  <c r="Q57" i="5"/>
  <c r="P57" i="5"/>
  <c r="AC56" i="5"/>
  <c r="AB56" i="5"/>
  <c r="Z56" i="5"/>
  <c r="Y56" i="5"/>
  <c r="T56" i="5"/>
  <c r="S56" i="5"/>
  <c r="Q56" i="5"/>
  <c r="P56" i="5"/>
  <c r="AC40" i="5"/>
  <c r="AB40" i="5"/>
  <c r="Z40" i="5"/>
  <c r="Y40" i="5"/>
  <c r="W40" i="5"/>
  <c r="V40" i="5"/>
  <c r="T40" i="5"/>
  <c r="S40" i="5"/>
  <c r="Q40" i="5"/>
  <c r="AC39" i="5"/>
  <c r="AB39" i="5"/>
  <c r="Z39" i="5"/>
  <c r="Y39" i="5"/>
  <c r="W39" i="5"/>
  <c r="V39" i="5"/>
  <c r="T39" i="5"/>
  <c r="S39" i="5"/>
  <c r="Q39" i="5"/>
  <c r="AC38" i="5"/>
  <c r="AB38" i="5"/>
  <c r="Z38" i="5"/>
  <c r="Y38" i="5"/>
  <c r="W38" i="5"/>
  <c r="V38" i="5"/>
  <c r="T38" i="5"/>
  <c r="S38" i="5"/>
  <c r="Q38" i="5"/>
  <c r="AC37" i="5"/>
  <c r="AB37" i="5"/>
  <c r="Z37" i="5"/>
  <c r="Y37" i="5"/>
  <c r="W37" i="5"/>
  <c r="V37" i="5"/>
  <c r="T37" i="5"/>
  <c r="S37" i="5"/>
  <c r="Q37" i="5"/>
  <c r="AC36" i="5"/>
  <c r="AB36" i="5"/>
  <c r="Z36" i="5"/>
  <c r="Y36" i="5"/>
  <c r="W36" i="5"/>
  <c r="V36" i="5"/>
  <c r="T36" i="5"/>
  <c r="S36" i="5"/>
  <c r="Q36" i="5"/>
  <c r="AC35" i="5"/>
  <c r="AB35" i="5"/>
  <c r="Z35" i="5"/>
  <c r="Y35" i="5"/>
  <c r="W35" i="5"/>
  <c r="V35" i="5"/>
  <c r="T35" i="5"/>
  <c r="S35" i="5"/>
  <c r="Q35" i="5"/>
  <c r="AC34" i="5"/>
  <c r="AB34" i="5"/>
  <c r="Z34" i="5"/>
  <c r="Y34" i="5"/>
  <c r="W34" i="5"/>
  <c r="V34" i="5"/>
  <c r="T34" i="5"/>
  <c r="S34" i="5"/>
  <c r="Q34" i="5"/>
  <c r="P34" i="5"/>
  <c r="AC33" i="5"/>
  <c r="AB33" i="5"/>
  <c r="Z33" i="5"/>
  <c r="Y33" i="5"/>
  <c r="W33" i="5"/>
  <c r="V33" i="5"/>
  <c r="T33" i="5"/>
  <c r="S33" i="5"/>
  <c r="Q33" i="5"/>
  <c r="AC32" i="5"/>
  <c r="AB32" i="5"/>
  <c r="Z32" i="5"/>
  <c r="Y32" i="5"/>
  <c r="W32" i="5"/>
  <c r="T32" i="5"/>
  <c r="S32" i="5"/>
  <c r="Q32" i="5"/>
  <c r="AC31" i="5"/>
  <c r="Z31" i="5"/>
  <c r="Y31" i="5"/>
  <c r="W31" i="5"/>
  <c r="V31" i="5"/>
  <c r="T31" i="5"/>
  <c r="Q31" i="5"/>
  <c r="AA54" i="2" l="1"/>
  <c r="Y54" i="2"/>
  <c r="X54" i="2" s="1"/>
  <c r="Z54" i="2"/>
  <c r="AA63" i="2"/>
  <c r="Z63" i="2"/>
  <c r="Y63" i="2"/>
  <c r="Z60" i="2"/>
  <c r="AA60" i="2"/>
  <c r="Y60" i="2"/>
  <c r="Y61" i="2"/>
  <c r="AA61" i="2"/>
  <c r="Z61" i="2"/>
  <c r="Z62" i="2"/>
  <c r="Y62" i="2"/>
  <c r="X61" i="2" l="1"/>
  <c r="X63" i="2"/>
  <c r="E57" i="2"/>
  <c r="E58" i="2" s="1"/>
  <c r="F57" i="2"/>
  <c r="F58" i="2" s="1"/>
  <c r="G57" i="2"/>
  <c r="G58" i="2" s="1"/>
  <c r="H57" i="2"/>
  <c r="H58" i="2" s="1"/>
  <c r="I57" i="2"/>
  <c r="I58" i="2" s="1"/>
  <c r="J57" i="2"/>
  <c r="J58" i="2" s="1"/>
  <c r="K57" i="2"/>
  <c r="K58" i="2" s="1"/>
  <c r="L57" i="2"/>
  <c r="L58" i="2" s="1"/>
  <c r="M57" i="2"/>
  <c r="M58" i="2" s="1"/>
  <c r="AA57" i="2" l="1"/>
  <c r="Y57" i="2"/>
  <c r="X57" i="2" s="1"/>
  <c r="Z57" i="2"/>
  <c r="I29" i="17"/>
  <c r="F33" i="17" l="1"/>
  <c r="B36" i="4" l="1"/>
  <c r="F23" i="17" l="1"/>
  <c r="F24" i="17" s="1"/>
  <c r="H49" i="2"/>
  <c r="H56" i="2" s="1"/>
  <c r="E49" i="2"/>
  <c r="E56" i="2" s="1"/>
  <c r="F34" i="17" l="1"/>
  <c r="I14" i="17" s="1"/>
  <c r="O40" i="5" l="1"/>
  <c r="O39" i="5"/>
  <c r="O38" i="5"/>
  <c r="O37" i="5"/>
  <c r="O36" i="5"/>
  <c r="O35" i="5"/>
  <c r="O34" i="5"/>
  <c r="O33" i="5"/>
  <c r="O32" i="5"/>
  <c r="O64" i="5" l="1"/>
  <c r="O63" i="5"/>
  <c r="O62" i="5"/>
  <c r="O61" i="5"/>
  <c r="O60" i="5"/>
  <c r="O59" i="5"/>
  <c r="O58" i="5"/>
  <c r="O57" i="5"/>
  <c r="O56" i="5"/>
  <c r="R65" i="5" l="1"/>
  <c r="X32" i="5"/>
  <c r="AD32" i="5"/>
  <c r="X34" i="5"/>
  <c r="AD34" i="5"/>
  <c r="X38" i="5"/>
  <c r="AD38" i="5"/>
  <c r="X40" i="5"/>
  <c r="AD40" i="5"/>
  <c r="AA34" i="5"/>
  <c r="AD59" i="5"/>
  <c r="R63" i="5"/>
  <c r="AD63" i="5"/>
  <c r="R58" i="5"/>
  <c r="AD58" i="5"/>
  <c r="R62" i="5"/>
  <c r="AD62" i="5"/>
  <c r="R56" i="5"/>
  <c r="AD56" i="5"/>
  <c r="R60" i="5"/>
  <c r="AD60" i="5"/>
  <c r="AA63" i="5"/>
  <c r="R59" i="5"/>
  <c r="AA59" i="5"/>
  <c r="U35" i="5"/>
  <c r="X65" i="5"/>
  <c r="AD65" i="5"/>
  <c r="R64" i="5"/>
  <c r="AD64" i="5"/>
  <c r="AA58" i="5"/>
  <c r="AA62" i="5"/>
  <c r="AA65" i="5"/>
  <c r="AA57" i="5"/>
  <c r="AA61" i="5"/>
  <c r="AA56" i="5"/>
  <c r="R57" i="5"/>
  <c r="AD57" i="5"/>
  <c r="AA60" i="5"/>
  <c r="R61" i="5"/>
  <c r="AD61" i="5"/>
  <c r="AA64" i="5"/>
  <c r="U39" i="5"/>
  <c r="AA40" i="5"/>
  <c r="AA38" i="5"/>
  <c r="AA32" i="5"/>
  <c r="X36" i="5"/>
  <c r="AD36" i="5"/>
  <c r="AA36" i="5"/>
  <c r="R32" i="5"/>
  <c r="U37" i="5"/>
  <c r="U33" i="5"/>
  <c r="U31" i="5"/>
  <c r="X56" i="5"/>
  <c r="X57" i="5"/>
  <c r="X58" i="5"/>
  <c r="X59" i="5"/>
  <c r="X60" i="5"/>
  <c r="X61" i="5"/>
  <c r="X62" i="5"/>
  <c r="X63" i="5"/>
  <c r="X64" i="5"/>
  <c r="U56" i="5"/>
  <c r="U57" i="5"/>
  <c r="U58" i="5"/>
  <c r="U59" i="5"/>
  <c r="U60" i="5"/>
  <c r="U61" i="5"/>
  <c r="U62" i="5"/>
  <c r="U63" i="5"/>
  <c r="U64" i="5"/>
  <c r="U65" i="5"/>
  <c r="AA31" i="5"/>
  <c r="U32" i="5"/>
  <c r="X33" i="5"/>
  <c r="AD33" i="5"/>
  <c r="AA35" i="5"/>
  <c r="U36" i="5"/>
  <c r="X37" i="5"/>
  <c r="AD37" i="5"/>
  <c r="AA39" i="5"/>
  <c r="R31" i="5"/>
  <c r="X31" i="5"/>
  <c r="AD31" i="5"/>
  <c r="AA33" i="5"/>
  <c r="U34" i="5"/>
  <c r="X35" i="5"/>
  <c r="AD35" i="5"/>
  <c r="AA37" i="5"/>
  <c r="U38" i="5"/>
  <c r="X39" i="5"/>
  <c r="AD39" i="5"/>
  <c r="R33" i="5"/>
  <c r="R34" i="5"/>
  <c r="R35" i="5"/>
  <c r="R36" i="5"/>
  <c r="R37" i="5"/>
  <c r="R38" i="5"/>
  <c r="R39" i="5"/>
  <c r="R40" i="5"/>
  <c r="U40" i="5"/>
  <c r="D153" i="23" l="1"/>
  <c r="D152" i="22"/>
  <c r="P153" i="2"/>
  <c r="N153" i="2"/>
  <c r="U153" i="2"/>
  <c r="Q153" i="2"/>
  <c r="W153" i="2"/>
  <c r="R153" i="2"/>
  <c r="S153" i="2"/>
  <c r="T153" i="2"/>
  <c r="O153" i="2"/>
  <c r="V153" i="2"/>
  <c r="J131" i="2"/>
  <c r="J132" i="2" s="1"/>
  <c r="H131" i="2"/>
  <c r="H132" i="2" s="1"/>
  <c r="I131" i="2"/>
  <c r="I132" i="2" s="1"/>
  <c r="E131" i="2"/>
  <c r="E132" i="2" s="1"/>
  <c r="G131" i="2"/>
  <c r="G132" i="2" s="1"/>
  <c r="F131" i="2"/>
  <c r="F132" i="2" s="1"/>
  <c r="K131" i="2"/>
  <c r="K132" i="2" s="1"/>
  <c r="M131" i="2"/>
  <c r="M132" i="2" s="1"/>
  <c r="L131" i="2"/>
  <c r="L132" i="2" s="1"/>
  <c r="D131" i="2"/>
  <c r="E152" i="2"/>
  <c r="D153" i="22" l="1"/>
  <c r="X153" i="22" s="1"/>
  <c r="X152" i="22"/>
  <c r="X152" i="23"/>
  <c r="X153" i="23"/>
  <c r="H118" i="23" s="1"/>
  <c r="X131" i="2"/>
  <c r="D132" i="2"/>
  <c r="X132" i="2" s="1"/>
  <c r="G152" i="2"/>
  <c r="D152" i="2"/>
  <c r="F152" i="2"/>
  <c r="F49" i="2" l="1"/>
  <c r="F56" i="2" s="1"/>
  <c r="G49" i="2"/>
  <c r="G56" i="2" s="1"/>
  <c r="I49" i="2"/>
  <c r="I56" i="2" s="1"/>
  <c r="J49" i="2"/>
  <c r="J56" i="2" s="1"/>
  <c r="K49" i="2"/>
  <c r="K56" i="2" s="1"/>
  <c r="L49" i="2"/>
  <c r="L56" i="2" s="1"/>
  <c r="M49" i="2"/>
  <c r="M56" i="2" s="1"/>
  <c r="D49" i="2"/>
  <c r="AB56" i="2" l="1"/>
  <c r="D56" i="2"/>
  <c r="AA56" i="2" s="1"/>
  <c r="Z56" i="2" l="1"/>
  <c r="Y56" i="2"/>
  <c r="X56" i="2" s="1"/>
  <c r="H27" i="2" s="1"/>
  <c r="J30" i="5"/>
  <c r="J33" i="5"/>
  <c r="J58" i="5"/>
  <c r="J54" i="5"/>
  <c r="J55" i="5"/>
  <c r="K54" i="5"/>
  <c r="J57" i="5"/>
  <c r="J53" i="5"/>
  <c r="K52" i="5"/>
  <c r="K53" i="5"/>
  <c r="J56" i="5"/>
  <c r="K42" i="5"/>
  <c r="J45" i="5"/>
  <c r="J41" i="5"/>
  <c r="J46" i="5"/>
  <c r="K41" i="5"/>
  <c r="J44" i="5"/>
  <c r="K43" i="5"/>
  <c r="J47" i="5"/>
  <c r="J43" i="5"/>
  <c r="J42" i="5"/>
  <c r="J36" i="5"/>
  <c r="J32" i="5"/>
  <c r="J34" i="5"/>
  <c r="K32" i="5"/>
  <c r="J35" i="5"/>
  <c r="J31" i="5"/>
  <c r="K31" i="5"/>
  <c r="K30" i="5"/>
  <c r="G12" i="5"/>
  <c r="G18" i="4" l="1"/>
  <c r="J22" i="5"/>
  <c r="J24" i="5"/>
  <c r="K20" i="5"/>
  <c r="J23" i="5"/>
  <c r="J25" i="5"/>
  <c r="D153" i="2" l="1"/>
  <c r="E7" i="5" l="1"/>
  <c r="C24" i="5"/>
  <c r="C25" i="5"/>
  <c r="C26" i="5"/>
  <c r="C27" i="5"/>
  <c r="C31" i="5"/>
  <c r="C32" i="5"/>
  <c r="C33" i="5"/>
  <c r="K29" i="5" l="1"/>
  <c r="K40" i="5"/>
  <c r="K6" i="5"/>
  <c r="K18" i="5"/>
  <c r="K58" i="5"/>
  <c r="K56" i="5"/>
  <c r="K44" i="5"/>
  <c r="K46" i="5"/>
  <c r="K35" i="5"/>
  <c r="K55" i="5"/>
  <c r="K34" i="5"/>
  <c r="K57" i="5"/>
  <c r="K47" i="5"/>
  <c r="K36" i="5"/>
  <c r="K33" i="5"/>
  <c r="K45" i="5"/>
  <c r="K7" i="5"/>
  <c r="K25" i="5"/>
  <c r="K10" i="5"/>
  <c r="K22" i="5"/>
  <c r="K24" i="5"/>
  <c r="K9" i="5"/>
  <c r="K23" i="5"/>
  <c r="K21" i="5"/>
  <c r="E33" i="5"/>
  <c r="E28" i="5"/>
  <c r="C28" i="5" s="1"/>
  <c r="E27" i="5"/>
  <c r="J8" i="5" l="1"/>
  <c r="K8" i="5"/>
  <c r="J152" i="2"/>
  <c r="J153" i="2" s="1"/>
  <c r="E153" i="2"/>
  <c r="G153" i="2"/>
  <c r="I152" i="2"/>
  <c r="I153" i="2" s="1"/>
  <c r="L152" i="2"/>
  <c r="L153" i="2" s="1"/>
  <c r="K152" i="2"/>
  <c r="K153" i="2" s="1"/>
  <c r="M152" i="2"/>
  <c r="M153" i="2" s="1"/>
  <c r="H152" i="2"/>
  <c r="F153" i="2"/>
  <c r="H153" i="2" l="1"/>
  <c r="X153" i="2" s="1"/>
  <c r="H118" i="2" s="1"/>
  <c r="X152" i="2"/>
</calcChain>
</file>

<file path=xl/comments1.xml><?xml version="1.0" encoding="utf-8"?>
<comments xmlns="http://schemas.openxmlformats.org/spreadsheetml/2006/main">
  <authors>
    <author>CN</author>
    <author>PC20A06JR003</author>
  </authors>
  <commentList>
    <comment ref="B24" authorId="0" shapeId="0">
      <text>
        <r>
          <rPr>
            <sz val="12"/>
            <color indexed="81"/>
            <rFont val="メイリオ"/>
            <family val="3"/>
            <charset val="128"/>
          </rPr>
          <t>プルダウンメニューより</t>
        </r>
        <r>
          <rPr>
            <sz val="12"/>
            <color indexed="10"/>
            <rFont val="メイリオ"/>
            <family val="3"/>
            <charset val="128"/>
          </rPr>
          <t>＜室用途＞</t>
        </r>
        <r>
          <rPr>
            <sz val="12"/>
            <color indexed="81"/>
            <rFont val="メイリオ"/>
            <family val="3"/>
            <charset val="128"/>
          </rPr>
          <t>を選択してください。</t>
        </r>
      </text>
    </comment>
    <comment ref="B27" authorId="0" shapeId="0">
      <text>
        <r>
          <rPr>
            <sz val="12"/>
            <color indexed="81"/>
            <rFont val="メイリオ"/>
            <family val="3"/>
            <charset val="128"/>
          </rPr>
          <t>プルダウンメニューより</t>
        </r>
        <r>
          <rPr>
            <sz val="12"/>
            <color indexed="10"/>
            <rFont val="メイリオ"/>
            <family val="3"/>
            <charset val="128"/>
          </rPr>
          <t>＜現状の換気方法＞</t>
        </r>
        <r>
          <rPr>
            <sz val="12"/>
            <color indexed="81"/>
            <rFont val="メイリオ"/>
            <family val="3"/>
            <charset val="128"/>
          </rPr>
          <t>を選択してください。</t>
        </r>
      </text>
    </comment>
    <comment ref="B30" authorId="1" shapeId="0">
      <text>
        <r>
          <rPr>
            <sz val="12"/>
            <color indexed="10"/>
            <rFont val="メイリオ"/>
            <family val="3"/>
            <charset val="128"/>
          </rPr>
          <t>【有効換気量を記入する場合】
　</t>
        </r>
        <r>
          <rPr>
            <sz val="12"/>
            <color indexed="81"/>
            <rFont val="メイリオ"/>
            <family val="3"/>
            <charset val="128"/>
          </rPr>
          <t>常時使用できる最大風量時の有効換気量を記入してください。</t>
        </r>
        <r>
          <rPr>
            <sz val="12"/>
            <color indexed="10"/>
            <rFont val="メイリオ"/>
            <family val="3"/>
            <charset val="128"/>
          </rPr>
          <t xml:space="preserve">
【１の室に給気と排気の機械換気設備がある場合】
</t>
        </r>
        <r>
          <rPr>
            <sz val="12"/>
            <color indexed="81"/>
            <rFont val="メイリオ"/>
            <family val="3"/>
            <charset val="128"/>
          </rPr>
          <t xml:space="preserve">　換気量の多い給気又は排気設備の有効換気量をご記入ください。
</t>
        </r>
        <r>
          <rPr>
            <sz val="16"/>
            <color indexed="10"/>
            <rFont val="メイリオ"/>
            <family val="3"/>
            <charset val="128"/>
          </rPr>
          <t>※既設・更新を含め設置された又は設置する
【全ての換気量】を記入してください。</t>
        </r>
      </text>
    </comment>
  </commentList>
</comments>
</file>

<file path=xl/comments2.xml><?xml version="1.0" encoding="utf-8"?>
<comments xmlns="http://schemas.openxmlformats.org/spreadsheetml/2006/main">
  <authors>
    <author>CN</author>
    <author>PC20A06JR003</author>
  </authors>
  <commentList>
    <comment ref="B24" authorId="0" shapeId="0">
      <text>
        <r>
          <rPr>
            <sz val="12"/>
            <color indexed="81"/>
            <rFont val="メイリオ"/>
            <family val="3"/>
            <charset val="128"/>
          </rPr>
          <t>プルダウンメニューより</t>
        </r>
        <r>
          <rPr>
            <sz val="12"/>
            <color indexed="10"/>
            <rFont val="メイリオ"/>
            <family val="3"/>
            <charset val="128"/>
          </rPr>
          <t>＜室用途＞</t>
        </r>
        <r>
          <rPr>
            <sz val="12"/>
            <color indexed="81"/>
            <rFont val="メイリオ"/>
            <family val="3"/>
            <charset val="128"/>
          </rPr>
          <t>を選択してください。</t>
        </r>
      </text>
    </comment>
    <comment ref="B27" authorId="0" shapeId="0">
      <text>
        <r>
          <rPr>
            <sz val="12"/>
            <color indexed="81"/>
            <rFont val="メイリオ"/>
            <family val="3"/>
            <charset val="128"/>
          </rPr>
          <t>プルダウンメニューより</t>
        </r>
        <r>
          <rPr>
            <sz val="12"/>
            <color indexed="10"/>
            <rFont val="メイリオ"/>
            <family val="3"/>
            <charset val="128"/>
          </rPr>
          <t>＜現状の換気方法＞</t>
        </r>
        <r>
          <rPr>
            <sz val="12"/>
            <color indexed="81"/>
            <rFont val="メイリオ"/>
            <family val="3"/>
            <charset val="128"/>
          </rPr>
          <t>を選択してください。</t>
        </r>
      </text>
    </comment>
    <comment ref="B30" authorId="1" shapeId="0">
      <text>
        <r>
          <rPr>
            <sz val="12"/>
            <color indexed="10"/>
            <rFont val="メイリオ"/>
            <family val="3"/>
            <charset val="128"/>
          </rPr>
          <t>【有効換気量を記入する場合】
　</t>
        </r>
        <r>
          <rPr>
            <sz val="12"/>
            <color indexed="81"/>
            <rFont val="メイリオ"/>
            <family val="3"/>
            <charset val="128"/>
          </rPr>
          <t>常時使用できる最大風量時の有効換気量を記入してください。</t>
        </r>
        <r>
          <rPr>
            <sz val="12"/>
            <color indexed="10"/>
            <rFont val="メイリオ"/>
            <family val="3"/>
            <charset val="128"/>
          </rPr>
          <t xml:space="preserve">
【１の室に給気と排気の機械換気設備がある場合】
</t>
        </r>
        <r>
          <rPr>
            <sz val="12"/>
            <color indexed="81"/>
            <rFont val="メイリオ"/>
            <family val="3"/>
            <charset val="128"/>
          </rPr>
          <t xml:space="preserve">　換気量の多い給気又は排気設備の有効換気量をご記入ください。
</t>
        </r>
        <r>
          <rPr>
            <sz val="16"/>
            <color indexed="10"/>
            <rFont val="メイリオ"/>
            <family val="3"/>
            <charset val="128"/>
          </rPr>
          <t>※既設・更新を含め設置された又は設置する
【全ての換気量】を記入してください。</t>
        </r>
      </text>
    </comment>
  </commentList>
</comments>
</file>

<file path=xl/comments3.xml><?xml version="1.0" encoding="utf-8"?>
<comments xmlns="http://schemas.openxmlformats.org/spreadsheetml/2006/main">
  <authors>
    <author>CN</author>
    <author>PC20A06JR003</author>
  </authors>
  <commentList>
    <comment ref="B24" authorId="0" shapeId="0">
      <text>
        <r>
          <rPr>
            <sz val="12"/>
            <color indexed="81"/>
            <rFont val="メイリオ"/>
            <family val="3"/>
            <charset val="128"/>
          </rPr>
          <t>プルダウンメニューより</t>
        </r>
        <r>
          <rPr>
            <sz val="12"/>
            <color indexed="10"/>
            <rFont val="メイリオ"/>
            <family val="3"/>
            <charset val="128"/>
          </rPr>
          <t>＜室用途＞</t>
        </r>
        <r>
          <rPr>
            <sz val="12"/>
            <color indexed="81"/>
            <rFont val="メイリオ"/>
            <family val="3"/>
            <charset val="128"/>
          </rPr>
          <t>を選択してください。</t>
        </r>
      </text>
    </comment>
    <comment ref="B27" authorId="0" shapeId="0">
      <text>
        <r>
          <rPr>
            <sz val="12"/>
            <color indexed="81"/>
            <rFont val="メイリオ"/>
            <family val="3"/>
            <charset val="128"/>
          </rPr>
          <t>プルダウンメニューより</t>
        </r>
        <r>
          <rPr>
            <sz val="12"/>
            <color indexed="10"/>
            <rFont val="メイリオ"/>
            <family val="3"/>
            <charset val="128"/>
          </rPr>
          <t>＜現状の換気方法＞</t>
        </r>
        <r>
          <rPr>
            <sz val="12"/>
            <color indexed="81"/>
            <rFont val="メイリオ"/>
            <family val="3"/>
            <charset val="128"/>
          </rPr>
          <t>を選択してください。</t>
        </r>
      </text>
    </comment>
    <comment ref="B30" authorId="1" shapeId="0">
      <text>
        <r>
          <rPr>
            <sz val="12"/>
            <color indexed="10"/>
            <rFont val="メイリオ"/>
            <family val="3"/>
            <charset val="128"/>
          </rPr>
          <t>【有効換気量を記入する場合】
　</t>
        </r>
        <r>
          <rPr>
            <sz val="12"/>
            <color indexed="81"/>
            <rFont val="メイリオ"/>
            <family val="3"/>
            <charset val="128"/>
          </rPr>
          <t>常時使用できる最大風量時の有効換気量を記入してください。</t>
        </r>
        <r>
          <rPr>
            <sz val="12"/>
            <color indexed="10"/>
            <rFont val="メイリオ"/>
            <family val="3"/>
            <charset val="128"/>
          </rPr>
          <t xml:space="preserve">
【１の室に給気と排気の機械換気設備がある場合】
</t>
        </r>
        <r>
          <rPr>
            <sz val="12"/>
            <color indexed="81"/>
            <rFont val="メイリオ"/>
            <family val="3"/>
            <charset val="128"/>
          </rPr>
          <t xml:space="preserve">　換気量の多い給気又は排気設備の有効換気量をご記入ください。
</t>
        </r>
        <r>
          <rPr>
            <sz val="16"/>
            <color indexed="10"/>
            <rFont val="メイリオ"/>
            <family val="3"/>
            <charset val="128"/>
          </rPr>
          <t>※既設・更新を含め設置された又は設置する
【全ての換気量】を記入してください。</t>
        </r>
      </text>
    </comment>
  </commentList>
</comments>
</file>

<file path=xl/comments4.xml><?xml version="1.0" encoding="utf-8"?>
<comments xmlns="http://schemas.openxmlformats.org/spreadsheetml/2006/main">
  <authors>
    <author>鈴木 行雄</author>
    <author>CN</author>
  </authors>
  <commentList>
    <comment ref="F27" authorId="0" shapeId="0">
      <text>
        <r>
          <rPr>
            <sz val="16"/>
            <color indexed="10"/>
            <rFont val="メイリオ"/>
            <family val="3"/>
            <charset val="128"/>
          </rPr>
          <t>　※既設・更新を含め設置された又は設置する
　【全ての換気設備】を記入してください。</t>
        </r>
      </text>
    </comment>
    <comment ref="C70"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70"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C92"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92"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W92" authorId="1" shapeId="0">
      <text>
        <r>
          <rPr>
            <sz val="12"/>
            <color indexed="81"/>
            <rFont val="メイリオ"/>
            <family val="3"/>
            <charset val="128"/>
          </rPr>
          <t>　換気・空調一体型設備の導入（</t>
        </r>
        <r>
          <rPr>
            <sz val="12"/>
            <color indexed="10"/>
            <rFont val="メイリオ"/>
            <family val="3"/>
            <charset val="128"/>
          </rPr>
          <t>新設・増設・更新</t>
        </r>
        <r>
          <rPr>
            <sz val="12"/>
            <color indexed="81"/>
            <rFont val="メイリオ"/>
            <family val="3"/>
            <charset val="128"/>
          </rPr>
          <t>）の場合のみ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 ref="G115" authorId="0" shapeId="0">
      <text>
        <r>
          <rPr>
            <sz val="12"/>
            <color indexed="10"/>
            <rFont val="メイリオ"/>
            <family val="3"/>
            <charset val="128"/>
          </rPr>
          <t>　＜空調設備更新の有無＞</t>
        </r>
        <r>
          <rPr>
            <sz val="12"/>
            <color indexed="81"/>
            <rFont val="メイリオ"/>
            <family val="3"/>
            <charset val="128"/>
          </rPr>
          <t>をプルダウンメニューより選択してください。
　なお、</t>
        </r>
        <r>
          <rPr>
            <sz val="12"/>
            <color indexed="10"/>
            <rFont val="メイリオ"/>
            <family val="3"/>
            <charset val="128"/>
          </rPr>
          <t>空調設備のみの更新</t>
        </r>
        <r>
          <rPr>
            <sz val="12"/>
            <color indexed="81"/>
            <rFont val="メイリオ"/>
            <family val="3"/>
            <charset val="128"/>
          </rPr>
          <t>は、本助成事業の対象となりません。</t>
        </r>
      </text>
    </comment>
    <comment ref="H118" authorId="0" shapeId="0">
      <text>
        <r>
          <rPr>
            <sz val="12"/>
            <color indexed="32"/>
            <rFont val="メイリオ"/>
            <family val="3"/>
            <charset val="128"/>
          </rPr>
          <t>　空調設備の更新を選択した場合のみ、</t>
        </r>
        <r>
          <rPr>
            <sz val="12"/>
            <color indexed="10"/>
            <rFont val="メイリオ"/>
            <family val="3"/>
            <charset val="128"/>
          </rPr>
          <t>＜導入要件＞</t>
        </r>
        <r>
          <rPr>
            <sz val="12"/>
            <color indexed="32"/>
            <rFont val="メイリオ"/>
            <family val="3"/>
            <charset val="128"/>
          </rPr>
          <t>を判定します。
　また、入力の不備を確認します。</t>
        </r>
      </text>
    </comment>
    <comment ref="C164"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64"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64"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C186"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86"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86"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W186" authorId="1" shapeId="0">
      <text>
        <r>
          <rPr>
            <sz val="12"/>
            <color indexed="81"/>
            <rFont val="メイリオ"/>
            <family val="3"/>
            <charset val="128"/>
          </rPr>
          <t>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List>
</comments>
</file>

<file path=xl/comments5.xml><?xml version="1.0" encoding="utf-8"?>
<comments xmlns="http://schemas.openxmlformats.org/spreadsheetml/2006/main">
  <authors>
    <author>鈴木 行雄</author>
    <author>CN</author>
  </authors>
  <commentList>
    <comment ref="F27" authorId="0" shapeId="0">
      <text>
        <r>
          <rPr>
            <sz val="16"/>
            <color indexed="10"/>
            <rFont val="メイリオ"/>
            <family val="3"/>
            <charset val="128"/>
          </rPr>
          <t>　※既設・更新を含め設置された又は設置する
　【全ての換気設備】を記入してください。</t>
        </r>
      </text>
    </comment>
    <comment ref="C70"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70"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C92"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92"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W92" authorId="1" shapeId="0">
      <text>
        <r>
          <rPr>
            <sz val="12"/>
            <color indexed="81"/>
            <rFont val="メイリオ"/>
            <family val="3"/>
            <charset val="128"/>
          </rPr>
          <t>　換気・空調一体型設備の導入（</t>
        </r>
        <r>
          <rPr>
            <sz val="12"/>
            <color indexed="10"/>
            <rFont val="メイリオ"/>
            <family val="3"/>
            <charset val="128"/>
          </rPr>
          <t>新設・増設・更新</t>
        </r>
        <r>
          <rPr>
            <sz val="12"/>
            <color indexed="81"/>
            <rFont val="メイリオ"/>
            <family val="3"/>
            <charset val="128"/>
          </rPr>
          <t>）の場合のみ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 ref="G115" authorId="0" shapeId="0">
      <text>
        <r>
          <rPr>
            <sz val="12"/>
            <color indexed="10"/>
            <rFont val="メイリオ"/>
            <family val="3"/>
            <charset val="128"/>
          </rPr>
          <t>　＜空調設備更新の有無＞</t>
        </r>
        <r>
          <rPr>
            <sz val="12"/>
            <color indexed="81"/>
            <rFont val="メイリオ"/>
            <family val="3"/>
            <charset val="128"/>
          </rPr>
          <t>をプルダウンメニューより選択してください。
　なお、</t>
        </r>
        <r>
          <rPr>
            <sz val="12"/>
            <color indexed="10"/>
            <rFont val="メイリオ"/>
            <family val="3"/>
            <charset val="128"/>
          </rPr>
          <t>空調設備のみの更新</t>
        </r>
        <r>
          <rPr>
            <sz val="12"/>
            <color indexed="81"/>
            <rFont val="メイリオ"/>
            <family val="3"/>
            <charset val="128"/>
          </rPr>
          <t>は、本助成事業の対象となりません。</t>
        </r>
      </text>
    </comment>
    <comment ref="H118" authorId="0" shapeId="0">
      <text>
        <r>
          <rPr>
            <sz val="12"/>
            <color indexed="32"/>
            <rFont val="メイリオ"/>
            <family val="3"/>
            <charset val="128"/>
          </rPr>
          <t>　空調設備の更新を選択した場合のみ、</t>
        </r>
        <r>
          <rPr>
            <sz val="12"/>
            <color indexed="10"/>
            <rFont val="メイリオ"/>
            <family val="3"/>
            <charset val="128"/>
          </rPr>
          <t>＜導入要件＞</t>
        </r>
        <r>
          <rPr>
            <sz val="12"/>
            <color indexed="32"/>
            <rFont val="メイリオ"/>
            <family val="3"/>
            <charset val="128"/>
          </rPr>
          <t>を判定します。
　また、入力の不備を確認します。</t>
        </r>
      </text>
    </comment>
    <comment ref="C164"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64"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64"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C186"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86"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86"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W186" authorId="1" shapeId="0">
      <text>
        <r>
          <rPr>
            <sz val="12"/>
            <color indexed="81"/>
            <rFont val="メイリオ"/>
            <family val="3"/>
            <charset val="128"/>
          </rPr>
          <t>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List>
</comments>
</file>

<file path=xl/comments6.xml><?xml version="1.0" encoding="utf-8"?>
<comments xmlns="http://schemas.openxmlformats.org/spreadsheetml/2006/main">
  <authors>
    <author>鈴木 行雄</author>
    <author>CN</author>
  </authors>
  <commentList>
    <comment ref="F27" authorId="0" shapeId="0">
      <text>
        <r>
          <rPr>
            <sz val="16"/>
            <color indexed="10"/>
            <rFont val="メイリオ"/>
            <family val="3"/>
            <charset val="128"/>
          </rPr>
          <t>　※既設・更新を含め設置された又は設置する
　【全ての換気設備】を記入してください。</t>
        </r>
      </text>
    </comment>
    <comment ref="C70"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70"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C92"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92"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W92" authorId="1" shapeId="0">
      <text>
        <r>
          <rPr>
            <sz val="12"/>
            <color indexed="81"/>
            <rFont val="メイリオ"/>
            <family val="3"/>
            <charset val="128"/>
          </rPr>
          <t>　換気・空調一体型設備の導入（</t>
        </r>
        <r>
          <rPr>
            <sz val="12"/>
            <color indexed="10"/>
            <rFont val="メイリオ"/>
            <family val="3"/>
            <charset val="128"/>
          </rPr>
          <t>新設・増設・更新</t>
        </r>
        <r>
          <rPr>
            <sz val="12"/>
            <color indexed="81"/>
            <rFont val="メイリオ"/>
            <family val="3"/>
            <charset val="128"/>
          </rPr>
          <t>）の場合のみ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 ref="G115" authorId="0" shapeId="0">
      <text>
        <r>
          <rPr>
            <sz val="12"/>
            <color indexed="10"/>
            <rFont val="メイリオ"/>
            <family val="3"/>
            <charset val="128"/>
          </rPr>
          <t>　＜空調設備更新の有無＞</t>
        </r>
        <r>
          <rPr>
            <sz val="12"/>
            <color indexed="81"/>
            <rFont val="メイリオ"/>
            <family val="3"/>
            <charset val="128"/>
          </rPr>
          <t>をプルダウンメニューより選択してください。
　なお、</t>
        </r>
        <r>
          <rPr>
            <sz val="12"/>
            <color indexed="10"/>
            <rFont val="メイリオ"/>
            <family val="3"/>
            <charset val="128"/>
          </rPr>
          <t>空調設備のみの更新</t>
        </r>
        <r>
          <rPr>
            <sz val="12"/>
            <color indexed="81"/>
            <rFont val="メイリオ"/>
            <family val="3"/>
            <charset val="128"/>
          </rPr>
          <t>は、本助成事業の対象となりません。</t>
        </r>
      </text>
    </comment>
    <comment ref="H118" authorId="0" shapeId="0">
      <text>
        <r>
          <rPr>
            <sz val="12"/>
            <color indexed="32"/>
            <rFont val="メイリオ"/>
            <family val="3"/>
            <charset val="128"/>
          </rPr>
          <t>　空調設備の更新を選択した場合のみ、</t>
        </r>
        <r>
          <rPr>
            <sz val="12"/>
            <color indexed="10"/>
            <rFont val="メイリオ"/>
            <family val="3"/>
            <charset val="128"/>
          </rPr>
          <t>＜導入要件＞</t>
        </r>
        <r>
          <rPr>
            <sz val="12"/>
            <color indexed="32"/>
            <rFont val="メイリオ"/>
            <family val="3"/>
            <charset val="128"/>
          </rPr>
          <t>を判定します。
　また、入力の不備を確認します。</t>
        </r>
      </text>
    </comment>
    <comment ref="C164"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64"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64"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C186"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86"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86"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W186" authorId="1" shapeId="0">
      <text>
        <r>
          <rPr>
            <sz val="12"/>
            <color indexed="81"/>
            <rFont val="メイリオ"/>
            <family val="3"/>
            <charset val="128"/>
          </rPr>
          <t>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List>
</comments>
</file>

<file path=xl/comments7.xml><?xml version="1.0" encoding="utf-8"?>
<comments xmlns="http://schemas.openxmlformats.org/spreadsheetml/2006/main">
  <authors>
    <author>鈴木 行雄</author>
  </authors>
  <commentList>
    <comment ref="B21" authorId="0" shapeId="0">
      <text>
        <r>
          <rPr>
            <sz val="12"/>
            <color indexed="10"/>
            <rFont val="メイリオ"/>
            <family val="3"/>
            <charset val="128"/>
          </rPr>
          <t>年度</t>
        </r>
        <r>
          <rPr>
            <sz val="12"/>
            <color indexed="81"/>
            <rFont val="メイリオ"/>
            <family val="3"/>
            <charset val="128"/>
          </rPr>
          <t>をプルダウンメニューより選択</t>
        </r>
      </text>
    </comment>
    <comment ref="E32" authorId="0" shapeId="0">
      <text>
        <r>
          <rPr>
            <sz val="12"/>
            <color indexed="10"/>
            <rFont val="メイリオ"/>
            <family val="3"/>
            <charset val="128"/>
          </rPr>
          <t>ガス種別</t>
        </r>
        <r>
          <rPr>
            <sz val="12"/>
            <color indexed="81"/>
            <rFont val="メイリオ"/>
            <family val="3"/>
            <charset val="128"/>
          </rPr>
          <t>をプルダウンメニューより選択</t>
        </r>
      </text>
    </comment>
    <comment ref="F32" authorId="0" shapeId="0">
      <text>
        <r>
          <rPr>
            <sz val="12"/>
            <color indexed="10"/>
            <rFont val="メイリオ"/>
            <family val="3"/>
            <charset val="128"/>
          </rPr>
          <t>種別を選択後、</t>
        </r>
        <r>
          <rPr>
            <sz val="12"/>
            <color indexed="81"/>
            <rFont val="メイリオ"/>
            <family val="3"/>
            <charset val="128"/>
          </rPr>
          <t>単位をプルダウンメニューより選択</t>
        </r>
      </text>
    </comment>
    <comment ref="B33" authorId="0" shapeId="0">
      <text>
        <r>
          <rPr>
            <sz val="12"/>
            <color indexed="10"/>
            <rFont val="メイリオ"/>
            <family val="3"/>
            <charset val="128"/>
          </rPr>
          <t>年度</t>
        </r>
        <r>
          <rPr>
            <sz val="12"/>
            <color indexed="81"/>
            <rFont val="メイリオ"/>
            <family val="3"/>
            <charset val="128"/>
          </rPr>
          <t>をプルダウンメニューより選択</t>
        </r>
      </text>
    </comment>
    <comment ref="E43"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44" authorId="0" shapeId="0">
      <text>
        <r>
          <rPr>
            <sz val="12"/>
            <color indexed="10"/>
            <rFont val="メイリオ"/>
            <family val="3"/>
            <charset val="128"/>
          </rPr>
          <t>年度</t>
        </r>
        <r>
          <rPr>
            <sz val="12"/>
            <color indexed="81"/>
            <rFont val="メイリオ"/>
            <family val="3"/>
            <charset val="128"/>
          </rPr>
          <t>をプルダウンメニューより選択</t>
        </r>
      </text>
    </comment>
    <comment ref="E54"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55" authorId="0" shapeId="0">
      <text>
        <r>
          <rPr>
            <sz val="12"/>
            <color indexed="10"/>
            <rFont val="メイリオ"/>
            <family val="3"/>
            <charset val="128"/>
          </rPr>
          <t>年度</t>
        </r>
        <r>
          <rPr>
            <sz val="12"/>
            <color indexed="81"/>
            <rFont val="メイリオ"/>
            <family val="3"/>
            <charset val="128"/>
          </rPr>
          <t>をプルダウンメニューより選択</t>
        </r>
      </text>
    </comment>
    <comment ref="E65"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66" authorId="0" shapeId="0">
      <text>
        <r>
          <rPr>
            <sz val="12"/>
            <color indexed="10"/>
            <rFont val="メイリオ"/>
            <family val="3"/>
            <charset val="128"/>
          </rPr>
          <t>年度</t>
        </r>
        <r>
          <rPr>
            <sz val="12"/>
            <color indexed="81"/>
            <rFont val="メイリオ"/>
            <family val="3"/>
            <charset val="128"/>
          </rPr>
          <t>をプルダウンメニューより選択</t>
        </r>
      </text>
    </comment>
    <comment ref="E76"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77" authorId="0" shapeId="0">
      <text>
        <r>
          <rPr>
            <sz val="12"/>
            <color indexed="10"/>
            <rFont val="メイリオ"/>
            <family val="3"/>
            <charset val="128"/>
          </rPr>
          <t>年度</t>
        </r>
        <r>
          <rPr>
            <sz val="12"/>
            <color indexed="81"/>
            <rFont val="メイリオ"/>
            <family val="3"/>
            <charset val="128"/>
          </rPr>
          <t>をプルダウンメニューより選択</t>
        </r>
      </text>
    </comment>
  </commentList>
</comments>
</file>

<file path=xl/comments8.xml><?xml version="1.0" encoding="utf-8"?>
<comments xmlns="http://schemas.openxmlformats.org/spreadsheetml/2006/main">
  <authors>
    <author>鈴木 行雄</author>
  </authors>
  <commentList>
    <comment ref="B21" authorId="0" shapeId="0">
      <text>
        <r>
          <rPr>
            <sz val="12"/>
            <color indexed="10"/>
            <rFont val="メイリオ"/>
            <family val="3"/>
            <charset val="128"/>
          </rPr>
          <t>年度</t>
        </r>
        <r>
          <rPr>
            <sz val="12"/>
            <color indexed="81"/>
            <rFont val="メイリオ"/>
            <family val="3"/>
            <charset val="128"/>
          </rPr>
          <t>をプルダウンメニューより選択</t>
        </r>
      </text>
    </comment>
    <comment ref="E32" authorId="0" shapeId="0">
      <text>
        <r>
          <rPr>
            <sz val="12"/>
            <color indexed="10"/>
            <rFont val="メイリオ"/>
            <family val="3"/>
            <charset val="128"/>
          </rPr>
          <t>ガス種別</t>
        </r>
        <r>
          <rPr>
            <sz val="12"/>
            <color indexed="81"/>
            <rFont val="メイリオ"/>
            <family val="3"/>
            <charset val="128"/>
          </rPr>
          <t>をプルダウンメニューより選択</t>
        </r>
      </text>
    </comment>
    <comment ref="F32" authorId="0" shapeId="0">
      <text>
        <r>
          <rPr>
            <sz val="12"/>
            <color indexed="10"/>
            <rFont val="メイリオ"/>
            <family val="3"/>
            <charset val="128"/>
          </rPr>
          <t>種別を選択後、</t>
        </r>
        <r>
          <rPr>
            <sz val="12"/>
            <color indexed="81"/>
            <rFont val="メイリオ"/>
            <family val="3"/>
            <charset val="128"/>
          </rPr>
          <t>単位をプルダウンメニューより選択</t>
        </r>
      </text>
    </comment>
    <comment ref="B33" authorId="0" shapeId="0">
      <text>
        <r>
          <rPr>
            <sz val="12"/>
            <color indexed="10"/>
            <rFont val="メイリオ"/>
            <family val="3"/>
            <charset val="128"/>
          </rPr>
          <t>年度</t>
        </r>
        <r>
          <rPr>
            <sz val="12"/>
            <color indexed="81"/>
            <rFont val="メイリオ"/>
            <family val="3"/>
            <charset val="128"/>
          </rPr>
          <t>をプルダウンメニューより選択</t>
        </r>
      </text>
    </comment>
    <comment ref="E43"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44" authorId="0" shapeId="0">
      <text>
        <r>
          <rPr>
            <sz val="12"/>
            <color indexed="10"/>
            <rFont val="メイリオ"/>
            <family val="3"/>
            <charset val="128"/>
          </rPr>
          <t>年度</t>
        </r>
        <r>
          <rPr>
            <sz val="12"/>
            <color indexed="81"/>
            <rFont val="メイリオ"/>
            <family val="3"/>
            <charset val="128"/>
          </rPr>
          <t>をプルダウンメニューより選択</t>
        </r>
      </text>
    </comment>
    <comment ref="E54"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55" authorId="0" shapeId="0">
      <text>
        <r>
          <rPr>
            <sz val="12"/>
            <color indexed="10"/>
            <rFont val="メイリオ"/>
            <family val="3"/>
            <charset val="128"/>
          </rPr>
          <t>年度</t>
        </r>
        <r>
          <rPr>
            <sz val="12"/>
            <color indexed="81"/>
            <rFont val="メイリオ"/>
            <family val="3"/>
            <charset val="128"/>
          </rPr>
          <t>をプルダウンメニューより選択</t>
        </r>
      </text>
    </comment>
    <comment ref="E65"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66" authorId="0" shapeId="0">
      <text>
        <r>
          <rPr>
            <sz val="12"/>
            <color indexed="10"/>
            <rFont val="メイリオ"/>
            <family val="3"/>
            <charset val="128"/>
          </rPr>
          <t>年度</t>
        </r>
        <r>
          <rPr>
            <sz val="12"/>
            <color indexed="81"/>
            <rFont val="メイリオ"/>
            <family val="3"/>
            <charset val="128"/>
          </rPr>
          <t>をプルダウンメニューより選択</t>
        </r>
      </text>
    </comment>
    <comment ref="E76"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77" authorId="0" shapeId="0">
      <text>
        <r>
          <rPr>
            <sz val="12"/>
            <color indexed="10"/>
            <rFont val="メイリオ"/>
            <family val="3"/>
            <charset val="128"/>
          </rPr>
          <t>年度</t>
        </r>
        <r>
          <rPr>
            <sz val="12"/>
            <color indexed="81"/>
            <rFont val="メイリオ"/>
            <family val="3"/>
            <charset val="128"/>
          </rPr>
          <t>をプルダウンメニューより選択</t>
        </r>
      </text>
    </comment>
  </commentList>
</comments>
</file>

<file path=xl/comments9.xml><?xml version="1.0" encoding="utf-8"?>
<comments xmlns="http://schemas.openxmlformats.org/spreadsheetml/2006/main">
  <authors>
    <author>鈴木 行雄</author>
  </authors>
  <commentList>
    <comment ref="B21" authorId="0" shapeId="0">
      <text>
        <r>
          <rPr>
            <sz val="12"/>
            <color indexed="10"/>
            <rFont val="メイリオ"/>
            <family val="3"/>
            <charset val="128"/>
          </rPr>
          <t>年度</t>
        </r>
        <r>
          <rPr>
            <sz val="12"/>
            <color indexed="81"/>
            <rFont val="メイリオ"/>
            <family val="3"/>
            <charset val="128"/>
          </rPr>
          <t>をプルダウンメニューより選択</t>
        </r>
      </text>
    </comment>
    <comment ref="E32" authorId="0" shapeId="0">
      <text>
        <r>
          <rPr>
            <sz val="12"/>
            <color indexed="10"/>
            <rFont val="メイリオ"/>
            <family val="3"/>
            <charset val="128"/>
          </rPr>
          <t>ガス種別</t>
        </r>
        <r>
          <rPr>
            <sz val="12"/>
            <color indexed="81"/>
            <rFont val="メイリオ"/>
            <family val="3"/>
            <charset val="128"/>
          </rPr>
          <t>をプルダウンメニューより選択</t>
        </r>
      </text>
    </comment>
    <comment ref="F32" authorId="0" shapeId="0">
      <text>
        <r>
          <rPr>
            <sz val="12"/>
            <color indexed="10"/>
            <rFont val="メイリオ"/>
            <family val="3"/>
            <charset val="128"/>
          </rPr>
          <t>種別を選択後、</t>
        </r>
        <r>
          <rPr>
            <sz val="12"/>
            <color indexed="81"/>
            <rFont val="メイリオ"/>
            <family val="3"/>
            <charset val="128"/>
          </rPr>
          <t>単位をプルダウンメニューより選択</t>
        </r>
      </text>
    </comment>
    <comment ref="B33" authorId="0" shapeId="0">
      <text>
        <r>
          <rPr>
            <sz val="12"/>
            <color indexed="10"/>
            <rFont val="メイリオ"/>
            <family val="3"/>
            <charset val="128"/>
          </rPr>
          <t>年度</t>
        </r>
        <r>
          <rPr>
            <sz val="12"/>
            <color indexed="81"/>
            <rFont val="メイリオ"/>
            <family val="3"/>
            <charset val="128"/>
          </rPr>
          <t>をプルダウンメニューより選択</t>
        </r>
      </text>
    </comment>
    <comment ref="E43"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44" authorId="0" shapeId="0">
      <text>
        <r>
          <rPr>
            <sz val="12"/>
            <color indexed="10"/>
            <rFont val="メイリオ"/>
            <family val="3"/>
            <charset val="128"/>
          </rPr>
          <t>年度</t>
        </r>
        <r>
          <rPr>
            <sz val="12"/>
            <color indexed="81"/>
            <rFont val="メイリオ"/>
            <family val="3"/>
            <charset val="128"/>
          </rPr>
          <t>をプルダウンメニューより選択</t>
        </r>
      </text>
    </comment>
    <comment ref="E54"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55" authorId="0" shapeId="0">
      <text>
        <r>
          <rPr>
            <sz val="12"/>
            <color indexed="10"/>
            <rFont val="メイリオ"/>
            <family val="3"/>
            <charset val="128"/>
          </rPr>
          <t>年度</t>
        </r>
        <r>
          <rPr>
            <sz val="12"/>
            <color indexed="81"/>
            <rFont val="メイリオ"/>
            <family val="3"/>
            <charset val="128"/>
          </rPr>
          <t>をプルダウンメニューより選択</t>
        </r>
      </text>
    </comment>
    <comment ref="E65"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66" authorId="0" shapeId="0">
      <text>
        <r>
          <rPr>
            <sz val="12"/>
            <color indexed="10"/>
            <rFont val="メイリオ"/>
            <family val="3"/>
            <charset val="128"/>
          </rPr>
          <t>年度</t>
        </r>
        <r>
          <rPr>
            <sz val="12"/>
            <color indexed="81"/>
            <rFont val="メイリオ"/>
            <family val="3"/>
            <charset val="128"/>
          </rPr>
          <t>をプルダウンメニューより選択</t>
        </r>
      </text>
    </comment>
    <comment ref="E76"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77" authorId="0" shapeId="0">
      <text>
        <r>
          <rPr>
            <sz val="12"/>
            <color indexed="10"/>
            <rFont val="メイリオ"/>
            <family val="3"/>
            <charset val="128"/>
          </rPr>
          <t>年度</t>
        </r>
        <r>
          <rPr>
            <sz val="12"/>
            <color indexed="81"/>
            <rFont val="メイリオ"/>
            <family val="3"/>
            <charset val="128"/>
          </rPr>
          <t>をプルダウンメニューより選択</t>
        </r>
      </text>
    </comment>
  </commentList>
</comments>
</file>

<file path=xl/comments10.xml><?xml version="1.0" encoding="utf-8"?>
<comments xmlns="http://schemas.openxmlformats.org/spreadsheetml/2006/main">
  <authors>
    <author>鈴木 行雄</author>
  </authors>
  <commentList>
    <comment ref="I14" authorId="0" shapeId="0">
      <text>
        <r>
          <rPr>
            <sz val="12"/>
            <color indexed="81"/>
            <rFont val="メイリオ"/>
            <family val="3"/>
            <charset val="128"/>
          </rPr>
          <t>【４．年間エネルギー使用量】を
　入力できる申請者は、
　本シートの入力は、不要です。</t>
        </r>
      </text>
    </comment>
    <comment ref="I16" authorId="0" shapeId="0">
      <text>
        <r>
          <rPr>
            <sz val="12"/>
            <color indexed="81"/>
            <rFont val="メイリオ"/>
            <family val="3"/>
            <charset val="128"/>
          </rPr>
          <t xml:space="preserve">プルダウンメニューより
</t>
        </r>
        <r>
          <rPr>
            <sz val="12"/>
            <color indexed="10"/>
            <rFont val="メイリオ"/>
            <family val="3"/>
            <charset val="128"/>
          </rPr>
          <t>＜設置の有無＞</t>
        </r>
        <r>
          <rPr>
            <sz val="12"/>
            <color indexed="81"/>
            <rFont val="メイリオ"/>
            <family val="3"/>
            <charset val="128"/>
          </rPr>
          <t>を
選択してください。</t>
        </r>
      </text>
    </comment>
  </commentList>
</comments>
</file>

<file path=xl/comments11.xml><?xml version="1.0" encoding="utf-8"?>
<comments xmlns="http://schemas.openxmlformats.org/spreadsheetml/2006/main">
  <authors>
    <author>鈴木 行雄</author>
  </authors>
  <commentList>
    <comment ref="I14" authorId="0" shapeId="0">
      <text>
        <r>
          <rPr>
            <sz val="12"/>
            <color indexed="81"/>
            <rFont val="メイリオ"/>
            <family val="3"/>
            <charset val="128"/>
          </rPr>
          <t>【４．年間エネルギー使用量】を
　入力できる申請者は、
　本シートの入力は、不要です。</t>
        </r>
      </text>
    </comment>
    <comment ref="I16" authorId="0" shapeId="0">
      <text>
        <r>
          <rPr>
            <sz val="12"/>
            <color indexed="81"/>
            <rFont val="メイリオ"/>
            <family val="3"/>
            <charset val="128"/>
          </rPr>
          <t xml:space="preserve">プルダウンメニューより
</t>
        </r>
        <r>
          <rPr>
            <sz val="12"/>
            <color indexed="10"/>
            <rFont val="メイリオ"/>
            <family val="3"/>
            <charset val="128"/>
          </rPr>
          <t>＜設置の有無＞</t>
        </r>
        <r>
          <rPr>
            <sz val="12"/>
            <color indexed="81"/>
            <rFont val="メイリオ"/>
            <family val="3"/>
            <charset val="128"/>
          </rPr>
          <t>を
選択してください。</t>
        </r>
      </text>
    </comment>
  </commentList>
</comments>
</file>

<file path=xl/sharedStrings.xml><?xml version="1.0" encoding="utf-8"?>
<sst xmlns="http://schemas.openxmlformats.org/spreadsheetml/2006/main" count="2755" uniqueCount="643">
  <si>
    <t>計</t>
    <rPh sb="0" eb="1">
      <t>ケイ</t>
    </rPh>
    <phoneticPr fontId="2"/>
  </si>
  <si>
    <t>換気設備の種類</t>
    <rPh sb="0" eb="2">
      <t>カンキ</t>
    </rPh>
    <rPh sb="2" eb="4">
      <t>セツビ</t>
    </rPh>
    <rPh sb="5" eb="7">
      <t>シュルイ</t>
    </rPh>
    <phoneticPr fontId="2"/>
  </si>
  <si>
    <t>型番</t>
    <rPh sb="0" eb="2">
      <t>カタバン</t>
    </rPh>
    <phoneticPr fontId="2"/>
  </si>
  <si>
    <t>台数</t>
    <rPh sb="0" eb="2">
      <t>ダイスウ</t>
    </rPh>
    <phoneticPr fontId="2"/>
  </si>
  <si>
    <t>換気量[㎥/h]</t>
    <rPh sb="0" eb="2">
      <t>カンキ</t>
    </rPh>
    <rPh sb="2" eb="3">
      <t>リョウ</t>
    </rPh>
    <phoneticPr fontId="2"/>
  </si>
  <si>
    <t>消費電力[W]</t>
    <rPh sb="0" eb="2">
      <t>ショウヒ</t>
    </rPh>
    <rPh sb="2" eb="4">
      <t>デンリョク</t>
    </rPh>
    <phoneticPr fontId="2"/>
  </si>
  <si>
    <t>顕熱交換器</t>
  </si>
  <si>
    <t>冷房</t>
    <phoneticPr fontId="2"/>
  </si>
  <si>
    <t>暖房</t>
    <phoneticPr fontId="2"/>
  </si>
  <si>
    <t>導入の区分</t>
    <rPh sb="0" eb="2">
      <t>ドウニュウ</t>
    </rPh>
    <rPh sb="3" eb="5">
      <t>クブン</t>
    </rPh>
    <phoneticPr fontId="2"/>
  </si>
  <si>
    <t>---</t>
    <phoneticPr fontId="2"/>
  </si>
  <si>
    <t>その他</t>
    <rPh sb="2" eb="3">
      <t>タ</t>
    </rPh>
    <phoneticPr fontId="2"/>
  </si>
  <si>
    <t>[%]　</t>
    <phoneticPr fontId="2"/>
  </si>
  <si>
    <t>比消費電力[W/(㎥/h)]</t>
    <rPh sb="0" eb="1">
      <t>ヒ</t>
    </rPh>
    <rPh sb="1" eb="3">
      <t>ショウヒ</t>
    </rPh>
    <rPh sb="3" eb="5">
      <t>デンリョク</t>
    </rPh>
    <phoneticPr fontId="2"/>
  </si>
  <si>
    <t>電気式パッケージ形空調機</t>
  </si>
  <si>
    <t>ガスヒートポンプ式空調機</t>
    <phoneticPr fontId="2"/>
  </si>
  <si>
    <t>エネルギー種別</t>
    <rPh sb="5" eb="7">
      <t>シュベツ</t>
    </rPh>
    <phoneticPr fontId="2"/>
  </si>
  <si>
    <t>ルームエアコン</t>
  </si>
  <si>
    <t>使用量</t>
    <rPh sb="0" eb="3">
      <t>シヨウリョウ</t>
    </rPh>
    <phoneticPr fontId="2"/>
  </si>
  <si>
    <t>CO2換算</t>
    <phoneticPr fontId="12"/>
  </si>
  <si>
    <t>原油換算</t>
    <phoneticPr fontId="12"/>
  </si>
  <si>
    <t>3月</t>
  </si>
  <si>
    <t>2月</t>
  </si>
  <si>
    <t>1月</t>
    <phoneticPr fontId="2"/>
  </si>
  <si>
    <t>12月</t>
  </si>
  <si>
    <t>11月</t>
  </si>
  <si>
    <t>10月</t>
  </si>
  <si>
    <t>9月</t>
  </si>
  <si>
    <t>8月</t>
  </si>
  <si>
    <t>7月</t>
  </si>
  <si>
    <t>6月</t>
    <rPh sb="1" eb="2">
      <t>ガツ</t>
    </rPh>
    <phoneticPr fontId="2"/>
  </si>
  <si>
    <t>5月</t>
    <rPh sb="1" eb="2">
      <t>ガツ</t>
    </rPh>
    <phoneticPr fontId="2"/>
  </si>
  <si>
    <t>4月</t>
    <phoneticPr fontId="2"/>
  </si>
  <si>
    <t>ガス使用量</t>
    <rPh sb="2" eb="5">
      <t>シヨウリョウ</t>
    </rPh>
    <phoneticPr fontId="2"/>
  </si>
  <si>
    <t>［kWh］</t>
  </si>
  <si>
    <t>電気使用量</t>
    <rPh sb="0" eb="2">
      <t>デンキ</t>
    </rPh>
    <rPh sb="2" eb="5">
      <t>シヨウリョウ</t>
    </rPh>
    <phoneticPr fontId="2"/>
  </si>
  <si>
    <t>●電気使用量・電気料金</t>
    <rPh sb="1" eb="3">
      <t>デンキ</t>
    </rPh>
    <rPh sb="3" eb="6">
      <t>シヨウリョウ</t>
    </rPh>
    <rPh sb="7" eb="9">
      <t>デンキ</t>
    </rPh>
    <rPh sb="9" eb="11">
      <t>リョウキン</t>
    </rPh>
    <phoneticPr fontId="2"/>
  </si>
  <si>
    <t>倍</t>
    <rPh sb="0" eb="1">
      <t>バイ</t>
    </rPh>
    <phoneticPr fontId="12"/>
  </si>
  <si>
    <t>m3</t>
    <phoneticPr fontId="12"/>
  </si>
  <si>
    <t>トン</t>
  </si>
  <si>
    <t>東京ガスＨＰ出典：LNG14万7千m3≒LNG6.7万トン≒天然ガス81百万m3</t>
    <rPh sb="0" eb="2">
      <t>トウキョウ</t>
    </rPh>
    <rPh sb="6" eb="8">
      <t>シュッテン</t>
    </rPh>
    <phoneticPr fontId="12"/>
  </si>
  <si>
    <t>LNG</t>
    <phoneticPr fontId="12"/>
  </si>
  <si>
    <t>天然ガス</t>
    <phoneticPr fontId="12"/>
  </si>
  <si>
    <t>プロパン・ブタンの混合</t>
  </si>
  <si>
    <t>ブタン</t>
  </si>
  <si>
    <t>プロパン</t>
  </si>
  <si>
    <t>1立方メートル当たりのトンへの換算係数</t>
  </si>
  <si>
    <t>LPGの種類</t>
  </si>
  <si>
    <t>t-C/GJ</t>
  </si>
  <si>
    <t>GJ/ kL</t>
  </si>
  <si>
    <t>B・Ｃ重油［L］：</t>
    <rPh sb="3" eb="5">
      <t>ジュウユ</t>
    </rPh>
    <phoneticPr fontId="15"/>
  </si>
  <si>
    <t>A重油［L］：</t>
    <rPh sb="1" eb="3">
      <t>ジュウユ</t>
    </rPh>
    <phoneticPr fontId="15"/>
  </si>
  <si>
    <t>軽油［L］：</t>
    <rPh sb="0" eb="2">
      <t>ケイユ</t>
    </rPh>
    <phoneticPr fontId="15"/>
  </si>
  <si>
    <t>灯油［L］：</t>
    <rPh sb="0" eb="2">
      <t>トウユ</t>
    </rPh>
    <phoneticPr fontId="15"/>
  </si>
  <si>
    <t>t-C/GJ</t>
    <phoneticPr fontId="12"/>
  </si>
  <si>
    <t>GJ/ kL</t>
    <phoneticPr fontId="12"/>
  </si>
  <si>
    <t>原油［L］：</t>
    <rPh sb="0" eb="2">
      <t>ゲンユ</t>
    </rPh>
    <phoneticPr fontId="12"/>
  </si>
  <si>
    <t>GJ/千m3</t>
  </si>
  <si>
    <t>その他天然ガス［Nm3］：</t>
    <rPh sb="2" eb="3">
      <t>タ</t>
    </rPh>
    <rPh sb="3" eb="5">
      <t>テンネン</t>
    </rPh>
    <phoneticPr fontId="12"/>
  </si>
  <si>
    <t>石油系炭化水素ガス［Nm3］：</t>
    <phoneticPr fontId="12"/>
  </si>
  <si>
    <t>GJ/ｔ</t>
    <phoneticPr fontId="12"/>
  </si>
  <si>
    <t>ＬＮＧ［m3］：</t>
    <phoneticPr fontId="12"/>
  </si>
  <si>
    <t>m3/t</t>
    <phoneticPr fontId="12"/>
  </si>
  <si>
    <t>ＬＰＧ［m3］：</t>
    <phoneticPr fontId="12"/>
  </si>
  <si>
    <t>都市ガス［Nm3］：</t>
    <rPh sb="0" eb="2">
      <t>トシ</t>
    </rPh>
    <phoneticPr fontId="12"/>
  </si>
  <si>
    <t>単位発熱量</t>
    <rPh sb="0" eb="2">
      <t>タンイ</t>
    </rPh>
    <rPh sb="2" eb="4">
      <t>ハツネツ</t>
    </rPh>
    <rPh sb="4" eb="5">
      <t>リョウ</t>
    </rPh>
    <phoneticPr fontId="12"/>
  </si>
  <si>
    <t>水素ガス</t>
    <phoneticPr fontId="12"/>
  </si>
  <si>
    <t>CO2分子量</t>
    <rPh sb="3" eb="6">
      <t>ブンシリョウ</t>
    </rPh>
    <phoneticPr fontId="12"/>
  </si>
  <si>
    <t>kL/GJ</t>
  </si>
  <si>
    <t>原油換算［kL］：</t>
    <rPh sb="0" eb="2">
      <t>ゲンユ</t>
    </rPh>
    <rPh sb="2" eb="4">
      <t>カンサン</t>
    </rPh>
    <phoneticPr fontId="12"/>
  </si>
  <si>
    <t>LPG</t>
    <phoneticPr fontId="12"/>
  </si>
  <si>
    <t>t-CO2/GJ</t>
  </si>
  <si>
    <t>GJ/GJ</t>
  </si>
  <si>
    <t>都市ガス</t>
    <phoneticPr fontId="12"/>
  </si>
  <si>
    <t>t-CO2/GJ</t>
    <phoneticPr fontId="12"/>
  </si>
  <si>
    <t>GJ/GJ</t>
    <phoneticPr fontId="15"/>
  </si>
  <si>
    <t>種別を選択</t>
    <phoneticPr fontId="12"/>
  </si>
  <si>
    <t>t-CO2/千kWh</t>
    <rPh sb="6" eb="7">
      <t>セン</t>
    </rPh>
    <phoneticPr fontId="15"/>
  </si>
  <si>
    <t>GJ/千kWh</t>
    <rPh sb="3" eb="4">
      <t>セン</t>
    </rPh>
    <phoneticPr fontId="15"/>
  </si>
  <si>
    <t>電気：</t>
    <rPh sb="0" eb="2">
      <t>デンキ</t>
    </rPh>
    <phoneticPr fontId="12"/>
  </si>
  <si>
    <t>プルダウンリスト</t>
    <phoneticPr fontId="12"/>
  </si>
  <si>
    <t>1次エネルギー換算係数</t>
    <rPh sb="1" eb="2">
      <t>ジ</t>
    </rPh>
    <rPh sb="7" eb="9">
      <t>カンサン</t>
    </rPh>
    <rPh sb="9" eb="11">
      <t>ケイスウ</t>
    </rPh>
    <phoneticPr fontId="12"/>
  </si>
  <si>
    <t>【省エネ法換算係数】</t>
    <phoneticPr fontId="12"/>
  </si>
  <si>
    <t>新設</t>
    <rPh sb="0" eb="2">
      <t>シンセツ</t>
    </rPh>
    <phoneticPr fontId="2"/>
  </si>
  <si>
    <t>増設</t>
    <rPh sb="0" eb="2">
      <t>ゾウセツ</t>
    </rPh>
    <phoneticPr fontId="2"/>
  </si>
  <si>
    <t>更新</t>
    <rPh sb="0" eb="2">
      <t>コウシン</t>
    </rPh>
    <phoneticPr fontId="2"/>
  </si>
  <si>
    <t>継続</t>
    <rPh sb="0" eb="2">
      <t>ケイゾク</t>
    </rPh>
    <phoneticPr fontId="2"/>
  </si>
  <si>
    <r>
      <t>熱交換率</t>
    </r>
    <r>
      <rPr>
        <vertAlign val="superscript"/>
        <sz val="12"/>
        <color theme="1"/>
        <rFont val="メイリオ"/>
        <family val="3"/>
        <charset val="128"/>
      </rPr>
      <t>※</t>
    </r>
    <rPh sb="0" eb="1">
      <t>ネツ</t>
    </rPh>
    <rPh sb="1" eb="3">
      <t>コウカン</t>
    </rPh>
    <rPh sb="3" eb="4">
      <t>リツ</t>
    </rPh>
    <phoneticPr fontId="2"/>
  </si>
  <si>
    <t>単位</t>
    <rPh sb="0" eb="2">
      <t>タンイ</t>
    </rPh>
    <phoneticPr fontId="2"/>
  </si>
  <si>
    <t>電気</t>
    <rPh sb="0" eb="2">
      <t>デンキ</t>
    </rPh>
    <phoneticPr fontId="2"/>
  </si>
  <si>
    <t>事務所</t>
    <rPh sb="0" eb="3">
      <t>ジムショ</t>
    </rPh>
    <phoneticPr fontId="12"/>
  </si>
  <si>
    <t>年間</t>
    <rPh sb="0" eb="2">
      <t>ネンカン</t>
    </rPh>
    <phoneticPr fontId="12"/>
  </si>
  <si>
    <t>暖房</t>
    <rPh sb="0" eb="2">
      <t>ダンボウ</t>
    </rPh>
    <phoneticPr fontId="12"/>
  </si>
  <si>
    <t>冷房</t>
    <rPh sb="0" eb="2">
      <t>レイボウ</t>
    </rPh>
    <phoneticPr fontId="12"/>
  </si>
  <si>
    <t>㎏/h</t>
    <phoneticPr fontId="2"/>
  </si>
  <si>
    <t>その他</t>
    <rPh sb="2" eb="3">
      <t>タ</t>
    </rPh>
    <phoneticPr fontId="12"/>
  </si>
  <si>
    <t>文化・娯楽施設</t>
    <rPh sb="0" eb="2">
      <t>ブンカ</t>
    </rPh>
    <rPh sb="3" eb="7">
      <t>ゴラクシセツ</t>
    </rPh>
    <phoneticPr fontId="12"/>
  </si>
  <si>
    <t>医療施設</t>
    <rPh sb="0" eb="4">
      <t>イリョウシセツ</t>
    </rPh>
    <phoneticPr fontId="12"/>
  </si>
  <si>
    <t>教育施設</t>
    <rPh sb="0" eb="4">
      <t>キョウイクシセツ</t>
    </rPh>
    <phoneticPr fontId="12"/>
  </si>
  <si>
    <t>宿泊施設</t>
    <rPh sb="0" eb="4">
      <t>シュクハクシセツ</t>
    </rPh>
    <phoneticPr fontId="12"/>
  </si>
  <si>
    <t>商業施設（飲食）</t>
    <rPh sb="0" eb="4">
      <t>ショウギョウシセツ</t>
    </rPh>
    <rPh sb="5" eb="7">
      <t>インショク</t>
    </rPh>
    <phoneticPr fontId="12"/>
  </si>
  <si>
    <t>商業施設（物販）</t>
    <rPh sb="0" eb="4">
      <t>ショウギョウシセツ</t>
    </rPh>
    <rPh sb="5" eb="7">
      <t>ブッパン</t>
    </rPh>
    <phoneticPr fontId="12"/>
  </si>
  <si>
    <t>全負荷相当時間（h/年）</t>
    <rPh sb="0" eb="1">
      <t>ゼン</t>
    </rPh>
    <rPh sb="1" eb="3">
      <t>フカ</t>
    </rPh>
    <rPh sb="3" eb="5">
      <t>ソウトウ</t>
    </rPh>
    <rPh sb="5" eb="7">
      <t>ジカン</t>
    </rPh>
    <rPh sb="10" eb="11">
      <t>ネン</t>
    </rPh>
    <phoneticPr fontId="12"/>
  </si>
  <si>
    <t>中小クレジット算定ガイドライン</t>
    <rPh sb="0" eb="2">
      <t>チュウショウ</t>
    </rPh>
    <rPh sb="7" eb="9">
      <t>サンテイ</t>
    </rPh>
    <phoneticPr fontId="12"/>
  </si>
  <si>
    <t>設備を選択</t>
    <rPh sb="0" eb="2">
      <t>セツビ</t>
    </rPh>
    <rPh sb="3" eb="5">
      <t>センタク</t>
    </rPh>
    <phoneticPr fontId="2"/>
  </si>
  <si>
    <t>区分を選択</t>
    <rPh sb="0" eb="2">
      <t>クブン</t>
    </rPh>
    <rPh sb="3" eb="5">
      <t>センタク</t>
    </rPh>
    <phoneticPr fontId="2"/>
  </si>
  <si>
    <t>単位を選択</t>
    <rPh sb="0" eb="2">
      <t>タンイ</t>
    </rPh>
    <rPh sb="3" eb="5">
      <t>センタク</t>
    </rPh>
    <phoneticPr fontId="12"/>
  </si>
  <si>
    <t>室用途を選択</t>
    <rPh sb="0" eb="3">
      <t>シツヨウト</t>
    </rPh>
    <rPh sb="4" eb="6">
      <t>センタク</t>
    </rPh>
    <phoneticPr fontId="12"/>
  </si>
  <si>
    <t>室用途</t>
    <rPh sb="0" eb="1">
      <t>シツ</t>
    </rPh>
    <rPh sb="1" eb="3">
      <t>ヨウト</t>
    </rPh>
    <phoneticPr fontId="2"/>
  </si>
  <si>
    <t>3（GHP・都市ガス・ｍ3N/h）</t>
    <rPh sb="6" eb="8">
      <t>トシ</t>
    </rPh>
    <phoneticPr fontId="2"/>
  </si>
  <si>
    <t>４（GHP・LPG・㎾）</t>
    <phoneticPr fontId="2"/>
  </si>
  <si>
    <t>５（GHP・LPG・㎏/h）</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</si>
  <si>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</si>
  <si>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</si>
  <si>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</si>
  <si>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</si>
  <si>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</si>
  <si>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</si>
  <si>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</si>
  <si>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</si>
  <si>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</si>
  <si>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新設備</t>
    <phoneticPr fontId="2"/>
  </si>
  <si>
    <t>旧設備</t>
    <phoneticPr fontId="2"/>
  </si>
  <si>
    <t>換気範囲の室</t>
    <rPh sb="0" eb="2">
      <t>カンキ</t>
    </rPh>
    <rPh sb="2" eb="4">
      <t>ハンイ</t>
    </rPh>
    <rPh sb="5" eb="6">
      <t>シツ</t>
    </rPh>
    <phoneticPr fontId="2"/>
  </si>
  <si>
    <t>平面図記載記号</t>
    <rPh sb="0" eb="3">
      <t>ヘイメンズ</t>
    </rPh>
    <rPh sb="3" eb="5">
      <t>キサイ</t>
    </rPh>
    <rPh sb="5" eb="7">
      <t>キゴウ</t>
    </rPh>
    <phoneticPr fontId="2"/>
  </si>
  <si>
    <t>室</t>
    <rPh sb="0" eb="1">
      <t>シツ</t>
    </rPh>
    <phoneticPr fontId="12"/>
  </si>
  <si>
    <t>室用途</t>
    <rPh sb="0" eb="1">
      <t>シツ</t>
    </rPh>
    <rPh sb="1" eb="3">
      <t>ヨウト</t>
    </rPh>
    <phoneticPr fontId="12"/>
  </si>
  <si>
    <t>その他
（工場、倉庫等）</t>
    <rPh sb="2" eb="3">
      <t>タ</t>
    </rPh>
    <rPh sb="5" eb="7">
      <t>コウジョウ</t>
    </rPh>
    <rPh sb="8" eb="10">
      <t>ソウコ</t>
    </rPh>
    <rPh sb="10" eb="11">
      <t>トウ</t>
    </rPh>
    <phoneticPr fontId="12"/>
  </si>
  <si>
    <t>事務所</t>
    <phoneticPr fontId="12"/>
  </si>
  <si>
    <t>機械換気</t>
    <rPh sb="0" eb="4">
      <t>キカイカンキ</t>
    </rPh>
    <phoneticPr fontId="12"/>
  </si>
  <si>
    <t>床面積
（㎡）</t>
    <rPh sb="0" eb="1">
      <t>ユカ</t>
    </rPh>
    <rPh sb="1" eb="3">
      <t>メンセキ</t>
    </rPh>
    <phoneticPr fontId="12"/>
  </si>
  <si>
    <t>商業施設
（物販）</t>
    <phoneticPr fontId="12"/>
  </si>
  <si>
    <t>自然換気</t>
    <rPh sb="0" eb="4">
      <t>シゼンカンキ</t>
    </rPh>
    <phoneticPr fontId="12"/>
  </si>
  <si>
    <t>高さ
（m）</t>
    <rPh sb="0" eb="1">
      <t>タカ</t>
    </rPh>
    <phoneticPr fontId="12"/>
  </si>
  <si>
    <t>商業施設
（飲食）</t>
    <rPh sb="6" eb="8">
      <t>インショク</t>
    </rPh>
    <phoneticPr fontId="12"/>
  </si>
  <si>
    <t>宿泊施設</t>
    <phoneticPr fontId="12"/>
  </si>
  <si>
    <t>現況</t>
    <rPh sb="0" eb="2">
      <t>ゲンキョウ</t>
    </rPh>
    <phoneticPr fontId="12"/>
  </si>
  <si>
    <t>教育施設</t>
    <phoneticPr fontId="12"/>
  </si>
  <si>
    <t>医療施設</t>
    <phoneticPr fontId="12"/>
  </si>
  <si>
    <t>文化・
娯楽施設</t>
    <phoneticPr fontId="12"/>
  </si>
  <si>
    <t>１人あたり
換気量
（㎥/h・人）</t>
    <phoneticPr fontId="12"/>
  </si>
  <si>
    <t>D</t>
    <phoneticPr fontId="2"/>
  </si>
  <si>
    <t>A_1</t>
    <phoneticPr fontId="2"/>
  </si>
  <si>
    <t>A_2</t>
  </si>
  <si>
    <t>A_3</t>
  </si>
  <si>
    <t>A_4</t>
  </si>
  <si>
    <t>A_5</t>
  </si>
  <si>
    <t>A_6</t>
  </si>
  <si>
    <t>A_7</t>
  </si>
  <si>
    <t>A_8</t>
  </si>
  <si>
    <t>A_9</t>
  </si>
  <si>
    <t>A_10</t>
  </si>
  <si>
    <t>A_12</t>
  </si>
  <si>
    <t>A_13</t>
  </si>
  <si>
    <t>A_14</t>
  </si>
  <si>
    <t>A_15</t>
  </si>
  <si>
    <t>A_16</t>
  </si>
  <si>
    <t>A_17</t>
  </si>
  <si>
    <t>A_18</t>
  </si>
  <si>
    <t>A_19</t>
  </si>
  <si>
    <t>A_20</t>
  </si>
  <si>
    <t>エネルギー使用量</t>
    <rPh sb="5" eb="8">
      <t>シヨウリョウ</t>
    </rPh>
    <phoneticPr fontId="2"/>
  </si>
  <si>
    <t>一次エネルギー消費量（GJ/年）</t>
    <rPh sb="0" eb="2">
      <t>イチジ</t>
    </rPh>
    <rPh sb="7" eb="10">
      <t>ショウヒリョウ</t>
    </rPh>
    <rPh sb="14" eb="15">
      <t>ネン</t>
    </rPh>
    <phoneticPr fontId="12"/>
  </si>
  <si>
    <t>kW</t>
    <phoneticPr fontId="2"/>
  </si>
  <si>
    <t>2（GHP・都市ガス・㎾）</t>
    <rPh sb="6" eb="8">
      <t>トシ</t>
    </rPh>
    <phoneticPr fontId="2"/>
  </si>
  <si>
    <t>1（EHP・電力・㎾）</t>
    <rPh sb="6" eb="8">
      <t>デンリョク</t>
    </rPh>
    <phoneticPr fontId="2"/>
  </si>
  <si>
    <t>＜入力時の注意事項＞</t>
    <rPh sb="1" eb="3">
      <t>ニュウリョク</t>
    </rPh>
    <rPh sb="3" eb="4">
      <t>ジ</t>
    </rPh>
    <rPh sb="5" eb="7">
      <t>チュウイ</t>
    </rPh>
    <rPh sb="7" eb="9">
      <t>ジコウ</t>
    </rPh>
    <phoneticPr fontId="2"/>
  </si>
  <si>
    <t>＜セルの説明＞</t>
    <rPh sb="4" eb="6">
      <t>セツメイ</t>
    </rPh>
    <phoneticPr fontId="2"/>
  </si>
  <si>
    <t>換気設備
導入後</t>
    <rPh sb="0" eb="4">
      <t>カンキセツビ</t>
    </rPh>
    <rPh sb="5" eb="8">
      <t>ドウニュウゴ</t>
    </rPh>
    <phoneticPr fontId="12"/>
  </si>
  <si>
    <t>J=W*S(3600)</t>
    <phoneticPr fontId="2"/>
  </si>
  <si>
    <t>kJ=W*3.6</t>
    <phoneticPr fontId="2"/>
  </si>
  <si>
    <r>
      <t>ｍ</t>
    </r>
    <r>
      <rPr>
        <vertAlign val="superscript"/>
        <sz val="11"/>
        <color theme="1"/>
        <rFont val="メイリオ"/>
        <family val="3"/>
        <charset val="128"/>
      </rPr>
      <t>3</t>
    </r>
    <r>
      <rPr>
        <sz val="11"/>
        <color theme="1"/>
        <rFont val="メイリオ"/>
        <family val="3"/>
        <charset val="128"/>
      </rPr>
      <t>N/h</t>
    </r>
    <phoneticPr fontId="2"/>
  </si>
  <si>
    <t>↓中小クレジット算定ガイドラインの換気</t>
    <rPh sb="1" eb="3">
      <t>チュウショウ</t>
    </rPh>
    <rPh sb="8" eb="10">
      <t>サンテイ</t>
    </rPh>
    <rPh sb="17" eb="19">
      <t>カンキ</t>
    </rPh>
    <phoneticPr fontId="12"/>
  </si>
  <si>
    <t>現状の
換気方法</t>
    <phoneticPr fontId="12"/>
  </si>
  <si>
    <t>有効換気量
（㎥/h)</t>
    <rPh sb="0" eb="2">
      <t>ユウコウ</t>
    </rPh>
    <phoneticPr fontId="12"/>
  </si>
  <si>
    <t>［m3］</t>
    <phoneticPr fontId="2"/>
  </si>
  <si>
    <t>［kg］</t>
    <phoneticPr fontId="2"/>
  </si>
  <si>
    <t>単位を選択</t>
    <rPh sb="0" eb="2">
      <t>タンイ</t>
    </rPh>
    <phoneticPr fontId="12"/>
  </si>
  <si>
    <t>型番</t>
    <rPh sb="0" eb="2">
      <t>カタバン</t>
    </rPh>
    <phoneticPr fontId="2"/>
  </si>
  <si>
    <t>メーカー名</t>
    <rPh sb="4" eb="5">
      <t>ナ</t>
    </rPh>
    <phoneticPr fontId="2"/>
  </si>
  <si>
    <t>旧設備</t>
    <rPh sb="0" eb="1">
      <t>キュウ</t>
    </rPh>
    <rPh sb="1" eb="3">
      <t>セツビ</t>
    </rPh>
    <phoneticPr fontId="2"/>
  </si>
  <si>
    <t>新設備</t>
    <rPh sb="0" eb="3">
      <t>シンセツビ</t>
    </rPh>
    <phoneticPr fontId="2"/>
  </si>
  <si>
    <t>灯油</t>
    <rPh sb="0" eb="2">
      <t>トウユ</t>
    </rPh>
    <phoneticPr fontId="15"/>
  </si>
  <si>
    <t>軽油</t>
    <rPh sb="0" eb="2">
      <t>ケイユ</t>
    </rPh>
    <phoneticPr fontId="15"/>
  </si>
  <si>
    <t>A重油</t>
    <rPh sb="1" eb="3">
      <t>ジュウユ</t>
    </rPh>
    <phoneticPr fontId="15"/>
  </si>
  <si>
    <t>B・Ｃ重油</t>
    <rPh sb="3" eb="5">
      <t>ジュウユ</t>
    </rPh>
    <phoneticPr fontId="15"/>
  </si>
  <si>
    <t>温水・冷水</t>
    <rPh sb="0" eb="2">
      <t>オンスイ</t>
    </rPh>
    <rPh sb="3" eb="5">
      <t>レイスイ</t>
    </rPh>
    <phoneticPr fontId="12"/>
  </si>
  <si>
    <t>産業用蒸気</t>
    <rPh sb="0" eb="3">
      <t>サンギョウヨウ</t>
    </rPh>
    <rPh sb="3" eb="5">
      <t>ジョウキ</t>
    </rPh>
    <phoneticPr fontId="15"/>
  </si>
  <si>
    <t>産業用以外の蒸気</t>
    <rPh sb="0" eb="3">
      <t>サンギョウヨウ</t>
    </rPh>
    <rPh sb="3" eb="5">
      <t>イガイ</t>
    </rPh>
    <rPh sb="6" eb="8">
      <t>ジョウキ</t>
    </rPh>
    <phoneticPr fontId="15"/>
  </si>
  <si>
    <t>【１．換気設備導入前後の比較表】</t>
    <rPh sb="3" eb="5">
      <t>カンキ</t>
    </rPh>
    <rPh sb="5" eb="7">
      <t>セツビ</t>
    </rPh>
    <rPh sb="7" eb="9">
      <t>ドウニュウ</t>
    </rPh>
    <rPh sb="9" eb="11">
      <t>ゼンゴ</t>
    </rPh>
    <rPh sb="12" eb="14">
      <t>ヒカク</t>
    </rPh>
    <rPh sb="14" eb="15">
      <t>ヒョウ</t>
    </rPh>
    <phoneticPr fontId="12"/>
  </si>
  <si>
    <t>【２．換気設備の新旧仕様入力表】</t>
    <rPh sb="3" eb="5">
      <t>カンキ</t>
    </rPh>
    <rPh sb="5" eb="7">
      <t>セツビ</t>
    </rPh>
    <rPh sb="8" eb="10">
      <t>シンキュウ</t>
    </rPh>
    <rPh sb="10" eb="12">
      <t>シヨウ</t>
    </rPh>
    <rPh sb="12" eb="14">
      <t>ニュウリョク</t>
    </rPh>
    <rPh sb="14" eb="15">
      <t>ヒョウ</t>
    </rPh>
    <phoneticPr fontId="2"/>
  </si>
  <si>
    <t>【４．年間エネルギー使用量】</t>
    <rPh sb="3" eb="5">
      <t>ネンカン</t>
    </rPh>
    <rPh sb="10" eb="12">
      <t>シヨウ</t>
    </rPh>
    <rPh sb="12" eb="13">
      <t>リョウ</t>
    </rPh>
    <phoneticPr fontId="2"/>
  </si>
  <si>
    <t>機械換気（換気扇等）</t>
    <phoneticPr fontId="2"/>
  </si>
  <si>
    <t>高効率換気設備</t>
    <rPh sb="0" eb="3">
      <t>コウコウリツ</t>
    </rPh>
    <rPh sb="3" eb="5">
      <t>カンキ</t>
    </rPh>
    <rPh sb="5" eb="7">
      <t>セツビ</t>
    </rPh>
    <phoneticPr fontId="2"/>
  </si>
  <si>
    <t>熱交換型換気設備</t>
    <rPh sb="3" eb="4">
      <t>カタ</t>
    </rPh>
    <rPh sb="4" eb="6">
      <t>カンキ</t>
    </rPh>
    <rPh sb="6" eb="8">
      <t>セツビ</t>
    </rPh>
    <phoneticPr fontId="2"/>
  </si>
  <si>
    <t>換気・空調一体型設備</t>
    <rPh sb="0" eb="2">
      <t>カンキ</t>
    </rPh>
    <rPh sb="3" eb="5">
      <t>クウチョウ</t>
    </rPh>
    <rPh sb="5" eb="7">
      <t>イッタイ</t>
    </rPh>
    <rPh sb="7" eb="8">
      <t>カタ</t>
    </rPh>
    <rPh sb="8" eb="10">
      <t>セツビ</t>
    </rPh>
    <phoneticPr fontId="2"/>
  </si>
  <si>
    <t>中小規模事業所の
規模判定</t>
    <rPh sb="0" eb="7">
      <t>チュウショウキボジギョウショ</t>
    </rPh>
    <rPh sb="9" eb="11">
      <t>キボ</t>
    </rPh>
    <rPh sb="11" eb="13">
      <t>ハンテイ</t>
    </rPh>
    <phoneticPr fontId="12"/>
  </si>
  <si>
    <t>【３．空調設備の新旧仕様入力表】</t>
    <rPh sb="3" eb="5">
      <t>クウチョウ</t>
    </rPh>
    <rPh sb="5" eb="7">
      <t>セツビ</t>
    </rPh>
    <rPh sb="8" eb="10">
      <t>シンキュウ</t>
    </rPh>
    <rPh sb="10" eb="12">
      <t>シヨウ</t>
    </rPh>
    <rPh sb="12" eb="14">
      <t>ニュウリョク</t>
    </rPh>
    <rPh sb="14" eb="15">
      <t>ヒョウ</t>
    </rPh>
    <phoneticPr fontId="2"/>
  </si>
  <si>
    <t>設備要件</t>
    <rPh sb="0" eb="2">
      <t>セツビ</t>
    </rPh>
    <rPh sb="2" eb="4">
      <t>ヨウケン</t>
    </rPh>
    <phoneticPr fontId="2"/>
  </si>
  <si>
    <t>APF</t>
    <phoneticPr fontId="2"/>
  </si>
  <si>
    <t>COP</t>
    <phoneticPr fontId="2"/>
  </si>
  <si>
    <t>エネルギー
消費効率</t>
    <phoneticPr fontId="2"/>
  </si>
  <si>
    <r>
      <t>エネルギー消費量</t>
    </r>
    <r>
      <rPr>
        <sz val="11"/>
        <color theme="1"/>
        <rFont val="メイリオ"/>
        <family val="3"/>
        <charset val="128"/>
      </rPr>
      <t>（単位時間当り）</t>
    </r>
    <rPh sb="5" eb="8">
      <t>ショウヒリョウ</t>
    </rPh>
    <rPh sb="9" eb="11">
      <t>タンイ</t>
    </rPh>
    <rPh sb="11" eb="13">
      <t>ジカン</t>
    </rPh>
    <rPh sb="13" eb="14">
      <t>アタ</t>
    </rPh>
    <phoneticPr fontId="2"/>
  </si>
  <si>
    <t>エネルギー消費量（単位時間当り）</t>
    <rPh sb="5" eb="8">
      <t>ショウヒリョウ</t>
    </rPh>
    <rPh sb="9" eb="11">
      <t>タンイ</t>
    </rPh>
    <rPh sb="11" eb="13">
      <t>ジカン</t>
    </rPh>
    <rPh sb="13" eb="14">
      <t>アタ</t>
    </rPh>
    <phoneticPr fontId="2"/>
  </si>
  <si>
    <t>一次エネルギー
（年換算）［GJ］</t>
    <rPh sb="0" eb="2">
      <t>イチジ</t>
    </rPh>
    <rPh sb="9" eb="10">
      <t>ネン</t>
    </rPh>
    <rPh sb="10" eb="12">
      <t>カンサン</t>
    </rPh>
    <phoneticPr fontId="2"/>
  </si>
  <si>
    <t>原油換算［KL］</t>
    <rPh sb="0" eb="2">
      <t>ゲンユ</t>
    </rPh>
    <rPh sb="2" eb="4">
      <t>カンサン</t>
    </rPh>
    <phoneticPr fontId="2"/>
  </si>
  <si>
    <t>換気量の新旧増減</t>
    <rPh sb="0" eb="3">
      <t>カンキリョウ</t>
    </rPh>
    <rPh sb="4" eb="6">
      <t>シンキュウ</t>
    </rPh>
    <rPh sb="6" eb="8">
      <t>ゾウゲン</t>
    </rPh>
    <phoneticPr fontId="12"/>
  </si>
  <si>
    <t>１人あたりの必要換気量
（30㎥/h・人）</t>
    <rPh sb="1" eb="2">
      <t>ニン</t>
    </rPh>
    <rPh sb="6" eb="8">
      <t>ヒツヨウ</t>
    </rPh>
    <rPh sb="8" eb="11">
      <t>カンキリョウ</t>
    </rPh>
    <phoneticPr fontId="12"/>
  </si>
  <si>
    <t>OR(仕様入力!D$79="電気式パッケージ形空調機",仕様入力!D$79="ルームエアコン")</t>
    <phoneticPr fontId="2"/>
  </si>
  <si>
    <t>　　　①：導入推奨機器に指定されたもの。</t>
    <phoneticPr fontId="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</si>
  <si>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2"/>
  </si>
  <si>
    <t>要件を選択</t>
    <rPh sb="0" eb="2">
      <t>ヨウケン</t>
    </rPh>
    <rPh sb="3" eb="5">
      <t>センタク</t>
    </rPh>
    <phoneticPr fontId="2"/>
  </si>
  <si>
    <t>実施確認：空調設備の更新を行いますか。</t>
    <rPh sb="0" eb="2">
      <t>ジッシ</t>
    </rPh>
    <rPh sb="2" eb="4">
      <t>カクニン</t>
    </rPh>
    <rPh sb="5" eb="7">
      <t>クウチョウ</t>
    </rPh>
    <rPh sb="7" eb="9">
      <t>セツビ</t>
    </rPh>
    <rPh sb="10" eb="12">
      <t>コウシン</t>
    </rPh>
    <rPh sb="13" eb="14">
      <t>オコナ</t>
    </rPh>
    <phoneticPr fontId="12"/>
  </si>
  <si>
    <t>＜申請時の注意事項＞</t>
    <rPh sb="1" eb="3">
      <t>シンセイ</t>
    </rPh>
    <rPh sb="3" eb="4">
      <t>ジ</t>
    </rPh>
    <rPh sb="5" eb="7">
      <t>チュウイ</t>
    </rPh>
    <rPh sb="7" eb="9">
      <t>ジコウ</t>
    </rPh>
    <phoneticPr fontId="2"/>
  </si>
  <si>
    <t>１．申請の際は、本Excelファイルの電子データを公社へ提出してください。</t>
    <rPh sb="2" eb="4">
      <t>シンセイ</t>
    </rPh>
    <rPh sb="5" eb="6">
      <t>サイ</t>
    </rPh>
    <rPh sb="8" eb="9">
      <t>ホン</t>
    </rPh>
    <rPh sb="19" eb="21">
      <t>デンシ</t>
    </rPh>
    <rPh sb="25" eb="27">
      <t>コウシャ</t>
    </rPh>
    <rPh sb="28" eb="30">
      <t>テイシュツ</t>
    </rPh>
    <phoneticPr fontId="2"/>
  </si>
  <si>
    <t>X：</t>
    <phoneticPr fontId="2"/>
  </si>
  <si>
    <t>A：</t>
    <phoneticPr fontId="2"/>
  </si>
  <si>
    <t>B：</t>
    <phoneticPr fontId="2"/>
  </si>
  <si>
    <t>C：</t>
    <phoneticPr fontId="2"/>
  </si>
  <si>
    <t>事業所等における概算エネルギー使用量［GJ］</t>
    <rPh sb="0" eb="3">
      <t>ジギョウショ</t>
    </rPh>
    <rPh sb="3" eb="4">
      <t>トウ</t>
    </rPh>
    <rPh sb="8" eb="10">
      <t>ガイサン</t>
    </rPh>
    <rPh sb="15" eb="18">
      <t>シヨウリョウ</t>
    </rPh>
    <phoneticPr fontId="2"/>
  </si>
  <si>
    <r>
      <t>事業所等の延床面積［ｍ</t>
    </r>
    <r>
      <rPr>
        <vertAlign val="superscript"/>
        <sz val="11"/>
        <color theme="1"/>
        <rFont val="メイリオ"/>
        <family val="3"/>
        <charset val="128"/>
      </rPr>
      <t>2</t>
    </r>
    <r>
      <rPr>
        <sz val="11"/>
        <color theme="1"/>
        <rFont val="メイリオ"/>
        <family val="3"/>
        <charset val="128"/>
      </rPr>
      <t>］</t>
    </r>
    <rPh sb="0" eb="4">
      <t>ジギョウショトウ</t>
    </rPh>
    <rPh sb="5" eb="6">
      <t>ノベ</t>
    </rPh>
    <rPh sb="6" eb="9">
      <t>ユカメンセキ</t>
    </rPh>
    <phoneticPr fontId="2"/>
  </si>
  <si>
    <r>
      <t>事業所等が属する区分におけるエネルギー原単位［MJ/ｍ</t>
    </r>
    <r>
      <rPr>
        <vertAlign val="superscript"/>
        <sz val="11"/>
        <color theme="1"/>
        <rFont val="メイリオ"/>
        <family val="3"/>
        <charset val="128"/>
      </rPr>
      <t>2</t>
    </r>
    <r>
      <rPr>
        <sz val="11"/>
        <color theme="1"/>
        <rFont val="メイリオ"/>
        <family val="3"/>
        <charset val="128"/>
      </rPr>
      <t>・h］</t>
    </r>
    <rPh sb="0" eb="3">
      <t>ジギョウショ</t>
    </rPh>
    <rPh sb="3" eb="4">
      <t>トウ</t>
    </rPh>
    <rPh sb="5" eb="6">
      <t>ゾク</t>
    </rPh>
    <rPh sb="8" eb="10">
      <t>クブン</t>
    </rPh>
    <rPh sb="19" eb="22">
      <t>ゲンタンイ</t>
    </rPh>
    <phoneticPr fontId="2"/>
  </si>
  <si>
    <t>事業所等の総稼働時間［h］</t>
    <rPh sb="0" eb="4">
      <t>ジギョウショトウ</t>
    </rPh>
    <rPh sb="5" eb="6">
      <t>ソウ</t>
    </rPh>
    <rPh sb="6" eb="8">
      <t>カドウ</t>
    </rPh>
    <rPh sb="8" eb="10">
      <t>ジカン</t>
    </rPh>
    <phoneticPr fontId="2"/>
  </si>
  <si>
    <t>事業所等の区分</t>
    <rPh sb="0" eb="4">
      <t>ジギョウショトウ</t>
    </rPh>
    <rPh sb="5" eb="7">
      <t>クブン</t>
    </rPh>
    <phoneticPr fontId="2"/>
  </si>
  <si>
    <t>事業所等の延床面積</t>
    <rPh sb="0" eb="4">
      <t>ジギョウショトウ</t>
    </rPh>
    <rPh sb="5" eb="6">
      <t>ノベ</t>
    </rPh>
    <rPh sb="6" eb="7">
      <t>ユカ</t>
    </rPh>
    <rPh sb="7" eb="9">
      <t>メンセキ</t>
    </rPh>
    <phoneticPr fontId="2"/>
  </si>
  <si>
    <r>
      <t>［ｍ</t>
    </r>
    <r>
      <rPr>
        <vertAlign val="superscript"/>
        <sz val="11"/>
        <color theme="1"/>
        <rFont val="メイリオ"/>
        <family val="3"/>
        <charset val="128"/>
      </rPr>
      <t>2</t>
    </r>
    <r>
      <rPr>
        <sz val="11"/>
        <color theme="1"/>
        <rFont val="メイリオ"/>
        <family val="3"/>
        <charset val="128"/>
      </rPr>
      <t>］</t>
    </r>
    <phoneticPr fontId="2"/>
  </si>
  <si>
    <t>区分を選択</t>
    <rPh sb="0" eb="2">
      <t>クブン</t>
    </rPh>
    <rPh sb="3" eb="5">
      <t>センタク</t>
    </rPh>
    <phoneticPr fontId="2"/>
  </si>
  <si>
    <t>事務所</t>
    <rPh sb="0" eb="2">
      <t>ジム</t>
    </rPh>
    <rPh sb="2" eb="3">
      <t>ショ</t>
    </rPh>
    <phoneticPr fontId="2"/>
  </si>
  <si>
    <t>飲食</t>
    <rPh sb="0" eb="2">
      <t>インショク</t>
    </rPh>
    <phoneticPr fontId="2"/>
  </si>
  <si>
    <t>小売（食品）</t>
    <rPh sb="0" eb="2">
      <t>コウ</t>
    </rPh>
    <rPh sb="3" eb="5">
      <t>ショクヒン</t>
    </rPh>
    <phoneticPr fontId="2"/>
  </si>
  <si>
    <t>その他小売</t>
    <rPh sb="2" eb="3">
      <t>タ</t>
    </rPh>
    <rPh sb="3" eb="5">
      <t>コウ</t>
    </rPh>
    <phoneticPr fontId="2"/>
  </si>
  <si>
    <t>原油換算</t>
    <rPh sb="0" eb="2">
      <t>ゲンユ</t>
    </rPh>
    <rPh sb="2" eb="4">
      <t>カンサン</t>
    </rPh>
    <phoneticPr fontId="2"/>
  </si>
  <si>
    <t>エネルギー概算使用量：　X　＝　A　✕　B　✕　C　／　1000</t>
    <rPh sb="5" eb="7">
      <t>ガイサン</t>
    </rPh>
    <rPh sb="7" eb="10">
      <t>シヨウリョウ</t>
    </rPh>
    <phoneticPr fontId="2"/>
  </si>
  <si>
    <t>事務所の延床面積</t>
    <rPh sb="0" eb="2">
      <t>ジム</t>
    </rPh>
    <rPh sb="2" eb="3">
      <t>ショ</t>
    </rPh>
    <rPh sb="4" eb="5">
      <t>ノベ</t>
    </rPh>
    <rPh sb="5" eb="6">
      <t>ユカ</t>
    </rPh>
    <rPh sb="6" eb="8">
      <t>メンセキ</t>
    </rPh>
    <phoneticPr fontId="2"/>
  </si>
  <si>
    <t>事務所内のサーバーを
設置している延床面積</t>
    <rPh sb="0" eb="2">
      <t>ジム</t>
    </rPh>
    <rPh sb="2" eb="3">
      <t>ショ</t>
    </rPh>
    <rPh sb="3" eb="4">
      <t>ナイ</t>
    </rPh>
    <rPh sb="11" eb="13">
      <t>セッチ</t>
    </rPh>
    <rPh sb="17" eb="18">
      <t>ノベ</t>
    </rPh>
    <rPh sb="18" eb="19">
      <t>ユカ</t>
    </rPh>
    <rPh sb="19" eb="21">
      <t>メンセキ</t>
    </rPh>
    <phoneticPr fontId="2"/>
  </si>
  <si>
    <t>［h/年］</t>
    <rPh sb="3" eb="4">
      <t>ネン</t>
    </rPh>
    <phoneticPr fontId="2"/>
  </si>
  <si>
    <t>［GJ/年］</t>
    <rPh sb="4" eb="5">
      <t>ネン</t>
    </rPh>
    <phoneticPr fontId="2"/>
  </si>
  <si>
    <t>［kL/年］</t>
    <rPh sb="4" eb="5">
      <t>ネン</t>
    </rPh>
    <phoneticPr fontId="2"/>
  </si>
  <si>
    <t>事務所の予想年間
総稼働時間</t>
    <rPh sb="0" eb="2">
      <t>ジム</t>
    </rPh>
    <rPh sb="2" eb="3">
      <t>ショ</t>
    </rPh>
    <rPh sb="4" eb="6">
      <t>ヨソウ</t>
    </rPh>
    <rPh sb="6" eb="8">
      <t>ネンカン</t>
    </rPh>
    <rPh sb="9" eb="10">
      <t>ソウ</t>
    </rPh>
    <rPh sb="10" eb="12">
      <t>カドウ</t>
    </rPh>
    <rPh sb="12" eb="14">
      <t>ジカン</t>
    </rPh>
    <phoneticPr fontId="2"/>
  </si>
  <si>
    <t>事業所等の予想年間
総稼働時間</t>
    <rPh sb="0" eb="4">
      <t>ジギョウショトウ</t>
    </rPh>
    <rPh sb="5" eb="7">
      <t>ヨソウ</t>
    </rPh>
    <rPh sb="7" eb="9">
      <t>ネンカン</t>
    </rPh>
    <rPh sb="10" eb="11">
      <t>ソウ</t>
    </rPh>
    <rPh sb="11" eb="13">
      <t>カドウ</t>
    </rPh>
    <rPh sb="13" eb="15">
      <t>ジカン</t>
    </rPh>
    <phoneticPr fontId="2"/>
  </si>
  <si>
    <t>サーバーの予想年間
総稼働時間</t>
    <rPh sb="5" eb="7">
      <t>ヨソウ</t>
    </rPh>
    <rPh sb="7" eb="9">
      <t>ネンカン</t>
    </rPh>
    <rPh sb="10" eb="11">
      <t>ソウ</t>
    </rPh>
    <rPh sb="11" eb="13">
      <t>カドウ</t>
    </rPh>
    <rPh sb="13" eb="15">
      <t>ジカン</t>
    </rPh>
    <phoneticPr fontId="2"/>
  </si>
  <si>
    <t>区分の原単位</t>
    <rPh sb="0" eb="2">
      <t>クブン</t>
    </rPh>
    <rPh sb="3" eb="6">
      <t>ゲンタンイ</t>
    </rPh>
    <phoneticPr fontId="2"/>
  </si>
  <si>
    <t>【５．年間エネルギー使用量（概算）】</t>
    <rPh sb="3" eb="5">
      <t>ネンカン</t>
    </rPh>
    <rPh sb="10" eb="12">
      <t>シヨウ</t>
    </rPh>
    <rPh sb="12" eb="13">
      <t>リョウ</t>
    </rPh>
    <rPh sb="14" eb="16">
      <t>ガイサン</t>
    </rPh>
    <phoneticPr fontId="2"/>
  </si>
  <si>
    <t>エネルギー使用量（概算）</t>
    <rPh sb="5" eb="8">
      <t>シヨウリョウ</t>
    </rPh>
    <rPh sb="9" eb="11">
      <t>ガイサン</t>
    </rPh>
    <phoneticPr fontId="2"/>
  </si>
  <si>
    <t>①推奨機器</t>
    <rPh sb="1" eb="3">
      <t>スイショウ</t>
    </rPh>
    <rPh sb="3" eb="5">
      <t>キキ</t>
    </rPh>
    <phoneticPr fontId="2"/>
  </si>
  <si>
    <t>②４つ星</t>
    <rPh sb="3" eb="4">
      <t>ホシ</t>
    </rPh>
    <phoneticPr fontId="2"/>
  </si>
  <si>
    <t>③その他</t>
    <rPh sb="3" eb="4">
      <t>タ</t>
    </rPh>
    <phoneticPr fontId="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</si>
  <si>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2"/>
  </si>
  <si>
    <t>都市ガス［m3⇒Nm3］換算</t>
    <rPh sb="0" eb="2">
      <t>トシ</t>
    </rPh>
    <phoneticPr fontId="2"/>
  </si>
  <si>
    <t>熱交冷房入力</t>
    <rPh sb="0" eb="2">
      <t>ネツコウ</t>
    </rPh>
    <rPh sb="2" eb="4">
      <t>レイボウ</t>
    </rPh>
    <rPh sb="4" eb="6">
      <t>ニュウリョク</t>
    </rPh>
    <phoneticPr fontId="12"/>
  </si>
  <si>
    <t>熱交暖房入力</t>
    <rPh sb="0" eb="2">
      <t>ネツコウ</t>
    </rPh>
    <rPh sb="2" eb="4">
      <t>ダンボウ</t>
    </rPh>
    <rPh sb="4" eb="6">
      <t>ニュウリョク</t>
    </rPh>
    <phoneticPr fontId="12"/>
  </si>
  <si>
    <t>換気一体入力</t>
    <rPh sb="0" eb="2">
      <t>カンキ</t>
    </rPh>
    <rPh sb="2" eb="4">
      <t>イッタイ</t>
    </rPh>
    <rPh sb="4" eb="6">
      <t>ニュウリョク</t>
    </rPh>
    <phoneticPr fontId="12"/>
  </si>
  <si>
    <t>設備空欄チェック</t>
    <rPh sb="0" eb="2">
      <t>セツビ</t>
    </rPh>
    <rPh sb="2" eb="4">
      <t>クウラン</t>
    </rPh>
    <phoneticPr fontId="12"/>
  </si>
  <si>
    <t>顕熱冷房入力</t>
    <rPh sb="0" eb="2">
      <t>ケンネツ</t>
    </rPh>
    <rPh sb="2" eb="4">
      <t>レイボウ</t>
    </rPh>
    <rPh sb="4" eb="6">
      <t>ニュウリョク</t>
    </rPh>
    <phoneticPr fontId="12"/>
  </si>
  <si>
    <t>顕熱暖房入力</t>
    <rPh sb="0" eb="2">
      <t>ケンネツ</t>
    </rPh>
    <rPh sb="2" eb="4">
      <t>ダンボウ</t>
    </rPh>
    <rPh sb="4" eb="6">
      <t>ニュウリョク</t>
    </rPh>
    <phoneticPr fontId="12"/>
  </si>
  <si>
    <r>
      <rPr>
        <sz val="10"/>
        <color rgb="FFFF0000"/>
        <rFont val="メイリオ"/>
        <family val="3"/>
        <charset val="128"/>
      </rPr>
      <t>空調設備更新前後</t>
    </r>
    <r>
      <rPr>
        <sz val="10"/>
        <color theme="1"/>
        <rFont val="メイリオ"/>
        <family val="3"/>
        <charset val="128"/>
      </rPr>
      <t xml:space="preserve">
の省エネ判定</t>
    </r>
    <rPh sb="0" eb="2">
      <t>クウチョウ</t>
    </rPh>
    <rPh sb="2" eb="4">
      <t>セツビ</t>
    </rPh>
    <rPh sb="4" eb="6">
      <t>コウシン</t>
    </rPh>
    <rPh sb="6" eb="8">
      <t>ゼンゴ</t>
    </rPh>
    <rPh sb="10" eb="11">
      <t>ショウ</t>
    </rPh>
    <rPh sb="13" eb="15">
      <t>ハンテイ</t>
    </rPh>
    <phoneticPr fontId="12"/>
  </si>
  <si>
    <t>LPG:kg</t>
    <phoneticPr fontId="2"/>
  </si>
  <si>
    <r>
      <rPr>
        <sz val="12"/>
        <color rgb="FFFF0000"/>
        <rFont val="メイリオ"/>
        <family val="3"/>
        <charset val="128"/>
      </rPr>
      <t>必要換気量に係る</t>
    </r>
    <r>
      <rPr>
        <sz val="12"/>
        <color theme="1"/>
        <rFont val="メイリオ"/>
        <family val="3"/>
        <charset val="128"/>
      </rPr>
      <t xml:space="preserve">
要件判定</t>
    </r>
    <rPh sb="0" eb="2">
      <t>ヒツヨウ</t>
    </rPh>
    <rPh sb="2" eb="4">
      <t>カンキ</t>
    </rPh>
    <rPh sb="4" eb="5">
      <t>リョウ</t>
    </rPh>
    <rPh sb="6" eb="7">
      <t>カカ</t>
    </rPh>
    <rPh sb="9" eb="11">
      <t>ヨウケン</t>
    </rPh>
    <rPh sb="11" eb="13">
      <t>ハンテイ</t>
    </rPh>
    <phoneticPr fontId="2"/>
  </si>
  <si>
    <r>
      <rPr>
        <sz val="10"/>
        <color rgb="FFFF0000"/>
        <rFont val="メイリオ"/>
        <family val="3"/>
        <charset val="128"/>
      </rPr>
      <t>中小規模事業所</t>
    </r>
    <r>
      <rPr>
        <sz val="10"/>
        <color theme="1"/>
        <rFont val="メイリオ"/>
        <family val="3"/>
        <charset val="128"/>
      </rPr>
      <t xml:space="preserve">
の規模判定</t>
    </r>
    <rPh sb="0" eb="7">
      <t>チュウショウキボジギョウショ</t>
    </rPh>
    <rPh sb="9" eb="11">
      <t>キボ</t>
    </rPh>
    <rPh sb="11" eb="13">
      <t>ハンテイ</t>
    </rPh>
    <phoneticPr fontId="12"/>
  </si>
  <si>
    <t>エネルギー種別を選択</t>
    <rPh sb="5" eb="7">
      <t>シュベツ</t>
    </rPh>
    <phoneticPr fontId="12"/>
  </si>
  <si>
    <t>確認事項：事務所内の区画にサーバーを設置していますか。</t>
    <rPh sb="0" eb="2">
      <t>カクニン</t>
    </rPh>
    <rPh sb="2" eb="4">
      <t>ジコウ</t>
    </rPh>
    <phoneticPr fontId="12"/>
  </si>
  <si>
    <t>事務所</t>
    <rPh sb="0" eb="3">
      <t>ジムショ</t>
    </rPh>
    <phoneticPr fontId="2"/>
  </si>
  <si>
    <t>【空調設備】</t>
    <rPh sb="1" eb="3">
      <t>クウチョウ</t>
    </rPh>
    <rPh sb="3" eb="5">
      <t>セツビ</t>
    </rPh>
    <phoneticPr fontId="2"/>
  </si>
  <si>
    <t>教育施設（私学以外）</t>
    <rPh sb="0" eb="4">
      <t>キョウイクシセツ</t>
    </rPh>
    <rPh sb="5" eb="7">
      <t>シガク</t>
    </rPh>
    <rPh sb="7" eb="9">
      <t>イガイ</t>
    </rPh>
    <phoneticPr fontId="12"/>
  </si>
  <si>
    <t>工場</t>
    <rPh sb="0" eb="2">
      <t>コウジョウ</t>
    </rPh>
    <phoneticPr fontId="2"/>
  </si>
  <si>
    <t>倉庫</t>
    <rPh sb="0" eb="2">
      <t>ソウコ</t>
    </rPh>
    <phoneticPr fontId="12"/>
  </si>
  <si>
    <t>私学学校</t>
    <rPh sb="0" eb="2">
      <t>シガク</t>
    </rPh>
    <rPh sb="2" eb="4">
      <t>ガッコウ</t>
    </rPh>
    <phoneticPr fontId="12"/>
  </si>
  <si>
    <t>高効率換気入力</t>
    <rPh sb="0" eb="1">
      <t>コウ</t>
    </rPh>
    <rPh sb="1" eb="3">
      <t>コウリツ</t>
    </rPh>
    <rPh sb="3" eb="5">
      <t>カンキ</t>
    </rPh>
    <rPh sb="5" eb="7">
      <t>ニュウリョク</t>
    </rPh>
    <phoneticPr fontId="12"/>
  </si>
  <si>
    <t>　　なお、既設の熱交換型換気設備等を継続して使用する場合、導入の区分は必ず＜継続＞を選択してください。</t>
    <rPh sb="5" eb="7">
      <t>キセツ</t>
    </rPh>
    <rPh sb="8" eb="11">
      <t>ネツコウカン</t>
    </rPh>
    <rPh sb="11" eb="12">
      <t>カタ</t>
    </rPh>
    <rPh sb="12" eb="14">
      <t>カンキ</t>
    </rPh>
    <rPh sb="14" eb="16">
      <t>セツビ</t>
    </rPh>
    <rPh sb="16" eb="17">
      <t>トウ</t>
    </rPh>
    <rPh sb="18" eb="20">
      <t>ケイゾク</t>
    </rPh>
    <rPh sb="22" eb="24">
      <t>シヨウ</t>
    </rPh>
    <rPh sb="26" eb="28">
      <t>バアイ</t>
    </rPh>
    <rPh sb="35" eb="36">
      <t>カナラ</t>
    </rPh>
    <rPh sb="42" eb="44">
      <t>センタク</t>
    </rPh>
    <phoneticPr fontId="2"/>
  </si>
  <si>
    <t>【室用途】</t>
    <rPh sb="1" eb="2">
      <t>シツ</t>
    </rPh>
    <rPh sb="2" eb="4">
      <t>ヨウト</t>
    </rPh>
    <phoneticPr fontId="2"/>
  </si>
  <si>
    <t>工場</t>
    <rPh sb="0" eb="2">
      <t>コウジョウ</t>
    </rPh>
    <phoneticPr fontId="12"/>
  </si>
  <si>
    <t>空調設備の種類</t>
    <rPh sb="0" eb="2">
      <t>クウチョウ</t>
    </rPh>
    <rPh sb="2" eb="4">
      <t>セツビ</t>
    </rPh>
    <rPh sb="5" eb="7">
      <t>シュルイ</t>
    </rPh>
    <phoneticPr fontId="2"/>
  </si>
  <si>
    <r>
      <t>＜換気設備の新旧機器リスト入力表＞</t>
    </r>
    <r>
      <rPr>
        <sz val="14"/>
        <color rgb="FFFF0000"/>
        <rFont val="メイリオ"/>
        <family val="3"/>
        <charset val="128"/>
      </rPr>
      <t>（機器型番ごとにまとめて記入すること）</t>
    </r>
    <rPh sb="1" eb="3">
      <t>カンキ</t>
    </rPh>
    <rPh sb="3" eb="5">
      <t>セツビ</t>
    </rPh>
    <rPh sb="6" eb="8">
      <t>シンキュウ</t>
    </rPh>
    <rPh sb="8" eb="10">
      <t>キキ</t>
    </rPh>
    <rPh sb="13" eb="15">
      <t>ニュウリョク</t>
    </rPh>
    <rPh sb="15" eb="16">
      <t>ヒョウ</t>
    </rPh>
    <rPh sb="29" eb="31">
      <t>キニュウ</t>
    </rPh>
    <phoneticPr fontId="2"/>
  </si>
  <si>
    <r>
      <t>＜空調設備の新旧機器リスト入力表＞</t>
    </r>
    <r>
      <rPr>
        <sz val="14"/>
        <color rgb="FFFF0000"/>
        <rFont val="メイリオ"/>
        <family val="3"/>
        <charset val="128"/>
      </rPr>
      <t>（機器型番ごとにまとめて記入すること）</t>
    </r>
    <rPh sb="1" eb="3">
      <t>クウチョウ</t>
    </rPh>
    <rPh sb="3" eb="5">
      <t>セツビ</t>
    </rPh>
    <rPh sb="6" eb="8">
      <t>シンキュウ</t>
    </rPh>
    <rPh sb="8" eb="10">
      <t>キキ</t>
    </rPh>
    <rPh sb="13" eb="15">
      <t>ニュウリョク</t>
    </rPh>
    <rPh sb="15" eb="16">
      <t>ヒョウ</t>
    </rPh>
    <rPh sb="29" eb="31">
      <t>キニュウ</t>
    </rPh>
    <phoneticPr fontId="2"/>
  </si>
  <si>
    <t>機械換気確認</t>
    <rPh sb="0" eb="2">
      <t>キカイ</t>
    </rPh>
    <rPh sb="2" eb="4">
      <t>カンキ</t>
    </rPh>
    <rPh sb="4" eb="6">
      <t>カクニン</t>
    </rPh>
    <phoneticPr fontId="12"/>
  </si>
  <si>
    <t>熱交要件</t>
    <rPh sb="0" eb="2">
      <t>ネツコウ</t>
    </rPh>
    <rPh sb="2" eb="4">
      <t>ヨウケン</t>
    </rPh>
    <phoneticPr fontId="12"/>
  </si>
  <si>
    <t>選択確認</t>
    <rPh sb="0" eb="2">
      <t>センタク</t>
    </rPh>
    <rPh sb="2" eb="4">
      <t>カクニン</t>
    </rPh>
    <phoneticPr fontId="12"/>
  </si>
  <si>
    <t>空調選択確認</t>
    <rPh sb="0" eb="2">
      <t>クウチョウ</t>
    </rPh>
    <rPh sb="2" eb="4">
      <t>センタク</t>
    </rPh>
    <rPh sb="4" eb="6">
      <t>カクニン</t>
    </rPh>
    <phoneticPr fontId="12"/>
  </si>
  <si>
    <t>エネ選択確認</t>
    <rPh sb="2" eb="4">
      <t>センタク</t>
    </rPh>
    <rPh sb="4" eb="6">
      <t>カクニン</t>
    </rPh>
    <phoneticPr fontId="12"/>
  </si>
  <si>
    <t>エネ確認</t>
    <rPh sb="2" eb="4">
      <t>カクニン</t>
    </rPh>
    <phoneticPr fontId="12"/>
  </si>
  <si>
    <t>空調確認</t>
    <rPh sb="0" eb="2">
      <t>クウチョウ</t>
    </rPh>
    <rPh sb="2" eb="4">
      <t>カクニン</t>
    </rPh>
    <phoneticPr fontId="12"/>
  </si>
  <si>
    <t>換気一体要件</t>
    <rPh sb="0" eb="2">
      <t>カンキ</t>
    </rPh>
    <rPh sb="2" eb="4">
      <t>イッタイ</t>
    </rPh>
    <rPh sb="4" eb="6">
      <t>ヨウケン</t>
    </rPh>
    <phoneticPr fontId="12"/>
  </si>
  <si>
    <t>構成型番（室外機）</t>
    <rPh sb="0" eb="2">
      <t>コウセイ</t>
    </rPh>
    <rPh sb="2" eb="4">
      <t>カタバン</t>
    </rPh>
    <rPh sb="5" eb="8">
      <t>シツガイキ</t>
    </rPh>
    <phoneticPr fontId="2"/>
  </si>
  <si>
    <t>B_1</t>
    <phoneticPr fontId="2"/>
  </si>
  <si>
    <t>B_2</t>
  </si>
  <si>
    <t>B_3</t>
  </si>
  <si>
    <t>B_4</t>
  </si>
  <si>
    <t>B_5</t>
  </si>
  <si>
    <t>B_6</t>
  </si>
  <si>
    <t>B_7</t>
  </si>
  <si>
    <t>B_8</t>
  </si>
  <si>
    <t>B_9</t>
  </si>
  <si>
    <t>B_10</t>
  </si>
  <si>
    <t>C_1</t>
    <phoneticPr fontId="2"/>
  </si>
  <si>
    <t>C_2</t>
  </si>
  <si>
    <t>C_3</t>
  </si>
  <si>
    <t>C_4</t>
  </si>
  <si>
    <t>C_5</t>
  </si>
  <si>
    <t>C_6</t>
  </si>
  <si>
    <t>C_7</t>
  </si>
  <si>
    <t>C_8</t>
  </si>
  <si>
    <t>C_9</t>
  </si>
  <si>
    <t>C_10</t>
  </si>
  <si>
    <t>D_1</t>
    <phoneticPr fontId="2"/>
  </si>
  <si>
    <t>D_2</t>
  </si>
  <si>
    <t>D_3</t>
  </si>
  <si>
    <t>D_4</t>
  </si>
  <si>
    <t>D_5</t>
  </si>
  <si>
    <t>D_6</t>
  </si>
  <si>
    <t>D_7</t>
  </si>
  <si>
    <t>D_8</t>
  </si>
  <si>
    <t>D_9</t>
  </si>
  <si>
    <t>D_10</t>
  </si>
  <si>
    <t>C_2</t>
    <phoneticPr fontId="12"/>
  </si>
  <si>
    <t>D_2</t>
    <phoneticPr fontId="1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</si>
  <si>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</si>
  <si>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</si>
  <si>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</si>
  <si>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</si>
  <si>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</si>
  <si>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</si>
  <si>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</si>
  <si>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</si>
  <si>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</si>
  <si>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</si>
  <si>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</si>
  <si>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</si>
  <si>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</si>
  <si>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</si>
  <si>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</si>
  <si>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</si>
  <si>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</si>
  <si>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</si>
  <si>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</si>
  <si>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</si>
  <si>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</si>
  <si>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</si>
  <si>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</si>
  <si>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</si>
  <si>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</si>
  <si>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</si>
  <si>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</si>
  <si>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</si>
  <si>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</si>
  <si>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</si>
  <si>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r>
      <t xml:space="preserve">利用人数
（人/室）
</t>
    </r>
    <r>
      <rPr>
        <sz val="12"/>
        <color rgb="FFFF0000"/>
        <rFont val="メイリオ"/>
        <family val="3"/>
        <charset val="128"/>
      </rPr>
      <t>※入室する最大人数を記入すること</t>
    </r>
    <rPh sb="0" eb="2">
      <t>リヨウ</t>
    </rPh>
    <rPh sb="2" eb="4">
      <t>ニンズウ</t>
    </rPh>
    <rPh sb="6" eb="7">
      <t>ヒト</t>
    </rPh>
    <rPh sb="8" eb="9">
      <t>シツ</t>
    </rPh>
    <rPh sb="12" eb="14">
      <t>ニュウシツ</t>
    </rPh>
    <rPh sb="16" eb="18">
      <t>サイダイ</t>
    </rPh>
    <rPh sb="18" eb="20">
      <t>ニンズウ</t>
    </rPh>
    <rPh sb="21" eb="23">
      <t>キニュウ</t>
    </rPh>
    <phoneticPr fontId="12"/>
  </si>
  <si>
    <t>A_11</t>
  </si>
  <si>
    <t>B_11</t>
  </si>
  <si>
    <t>B_12</t>
  </si>
  <si>
    <t>B_13</t>
  </si>
  <si>
    <t>B_14</t>
  </si>
  <si>
    <t>B_15</t>
  </si>
  <si>
    <t>B_16</t>
  </si>
  <si>
    <t>B_17</t>
  </si>
  <si>
    <t>B_18</t>
  </si>
  <si>
    <t>B_19</t>
  </si>
  <si>
    <t>B_20</t>
  </si>
  <si>
    <t>C_11</t>
  </si>
  <si>
    <t>C_12</t>
  </si>
  <si>
    <t>C_13</t>
  </si>
  <si>
    <t>C_14</t>
  </si>
  <si>
    <t>C_15</t>
  </si>
  <si>
    <t>C_16</t>
  </si>
  <si>
    <t>C_17</t>
  </si>
  <si>
    <t>C_18</t>
  </si>
  <si>
    <t>C_19</t>
  </si>
  <si>
    <t>C_20</t>
  </si>
  <si>
    <t>D_11</t>
  </si>
  <si>
    <t>D_12</t>
  </si>
  <si>
    <t>D_13</t>
  </si>
  <si>
    <t>D_14</t>
  </si>
  <si>
    <t>D_15</t>
  </si>
  <si>
    <t>D_16</t>
  </si>
  <si>
    <t>D_17</t>
  </si>
  <si>
    <t>D_18</t>
  </si>
  <si>
    <t>D_19</t>
  </si>
  <si>
    <t>D_20</t>
  </si>
  <si>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</si>
  <si>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</si>
  <si>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</si>
  <si>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</si>
  <si>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</si>
  <si>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</si>
  <si>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</si>
  <si>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</si>
  <si>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</si>
  <si>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</si>
  <si>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31</t>
  </si>
  <si>
    <t>32</t>
  </si>
  <si>
    <t>33</t>
  </si>
  <si>
    <t>34</t>
  </si>
  <si>
    <t>35</t>
  </si>
  <si>
    <t>36</t>
  </si>
  <si>
    <t>37</t>
  </si>
  <si>
    <t>38</t>
  </si>
  <si>
    <t>39</t>
  </si>
  <si>
    <t>40</t>
  </si>
  <si>
    <t>41</t>
  </si>
  <si>
    <t>42</t>
  </si>
  <si>
    <t>43</t>
  </si>
  <si>
    <t>44</t>
  </si>
  <si>
    <t>45</t>
  </si>
  <si>
    <t>46</t>
  </si>
  <si>
    <t>47</t>
  </si>
  <si>
    <t>48</t>
  </si>
  <si>
    <t>49</t>
  </si>
  <si>
    <t>50</t>
  </si>
  <si>
    <r>
      <rPr>
        <sz val="12"/>
        <rFont val="メイリオ"/>
        <family val="3"/>
        <charset val="128"/>
      </rPr>
      <t>６．要件判定欄に</t>
    </r>
    <r>
      <rPr>
        <sz val="12"/>
        <color rgb="FFFF0000"/>
        <rFont val="メイリオ"/>
        <family val="3"/>
        <charset val="128"/>
      </rPr>
      <t>、"必要換気量に係る要件を満たしています。"</t>
    </r>
    <r>
      <rPr>
        <sz val="12"/>
        <rFont val="メイリオ"/>
        <family val="3"/>
        <charset val="128"/>
      </rPr>
      <t>　と表示される場合のみ、申請できます。</t>
    </r>
    <rPh sb="2" eb="4">
      <t>ヨウケン</t>
    </rPh>
    <rPh sb="4" eb="7">
      <t>ハンテイラン</t>
    </rPh>
    <rPh sb="32" eb="34">
      <t>ヒョウジ</t>
    </rPh>
    <rPh sb="37" eb="39">
      <t>バアイ</t>
    </rPh>
    <rPh sb="42" eb="44">
      <t>シンセイ</t>
    </rPh>
    <phoneticPr fontId="2"/>
  </si>
  <si>
    <t>５．外気との給気または排気を伴わない送風設備等の風量は、換気量に含まれません。</t>
    <rPh sb="2" eb="4">
      <t>ガイキ</t>
    </rPh>
    <rPh sb="6" eb="8">
      <t>キュウキ</t>
    </rPh>
    <rPh sb="11" eb="13">
      <t>ハイキ</t>
    </rPh>
    <rPh sb="14" eb="15">
      <t>トモナ</t>
    </rPh>
    <rPh sb="18" eb="20">
      <t>ソウフウ</t>
    </rPh>
    <rPh sb="20" eb="22">
      <t>セツビ</t>
    </rPh>
    <rPh sb="22" eb="23">
      <t>トウ</t>
    </rPh>
    <rPh sb="24" eb="26">
      <t>フウリョウ</t>
    </rPh>
    <rPh sb="28" eb="30">
      <t>カンキ</t>
    </rPh>
    <rPh sb="30" eb="31">
      <t>リョウ</t>
    </rPh>
    <rPh sb="32" eb="33">
      <t>フク</t>
    </rPh>
    <phoneticPr fontId="2"/>
  </si>
  <si>
    <r>
      <t>４．自然換気の換気量は、</t>
    </r>
    <r>
      <rPr>
        <sz val="12"/>
        <color rgb="FFFF0000"/>
        <rFont val="メイリオ"/>
        <family val="3"/>
        <charset val="128"/>
      </rPr>
      <t>「０」</t>
    </r>
    <r>
      <rPr>
        <sz val="12"/>
        <rFont val="メイリオ"/>
        <family val="3"/>
        <charset val="128"/>
      </rPr>
      <t>を入力してください。</t>
    </r>
    <rPh sb="2" eb="4">
      <t>シゼン</t>
    </rPh>
    <rPh sb="4" eb="6">
      <t>カンキ</t>
    </rPh>
    <rPh sb="7" eb="9">
      <t>カンキ</t>
    </rPh>
    <rPh sb="9" eb="10">
      <t>リョウ</t>
    </rPh>
    <rPh sb="16" eb="18">
      <t>ニュウリョク</t>
    </rPh>
    <phoneticPr fontId="2"/>
  </si>
  <si>
    <r>
      <t>　　該当する要件の確認資料として、</t>
    </r>
    <r>
      <rPr>
        <sz val="12"/>
        <color rgb="FFFF0000"/>
        <rFont val="メイリオ"/>
        <family val="3"/>
        <charset val="128"/>
      </rPr>
      <t>「導入推奨機器検索画面のコピー」</t>
    </r>
    <r>
      <rPr>
        <sz val="12"/>
        <rFont val="メイリオ"/>
        <family val="3"/>
        <charset val="128"/>
      </rPr>
      <t>等を提出してください。</t>
    </r>
    <rPh sb="2" eb="4">
      <t>ガイトウ</t>
    </rPh>
    <rPh sb="6" eb="8">
      <t>ヨウケン</t>
    </rPh>
    <rPh sb="9" eb="11">
      <t>カクニン</t>
    </rPh>
    <rPh sb="11" eb="13">
      <t>シリョウ</t>
    </rPh>
    <rPh sb="18" eb="20">
      <t>ドウニュウ</t>
    </rPh>
    <rPh sb="20" eb="22">
      <t>スイショウ</t>
    </rPh>
    <rPh sb="22" eb="24">
      <t>キキ</t>
    </rPh>
    <rPh sb="24" eb="26">
      <t>ケンサク</t>
    </rPh>
    <rPh sb="26" eb="28">
      <t>ガメン</t>
    </rPh>
    <rPh sb="33" eb="34">
      <t>トウ</t>
    </rPh>
    <rPh sb="35" eb="37">
      <t>テイシュツ</t>
    </rPh>
    <phoneticPr fontId="12"/>
  </si>
  <si>
    <t>　　なお、表中の「計」欄は、12か月すべてに入力が無い場合は、12か月分に補正した値が表示されます。</t>
    <rPh sb="5" eb="6">
      <t>ヒョウ</t>
    </rPh>
    <rPh sb="6" eb="7">
      <t>チュウ</t>
    </rPh>
    <rPh sb="9" eb="10">
      <t>ケイ</t>
    </rPh>
    <rPh sb="11" eb="12">
      <t>ラン</t>
    </rPh>
    <rPh sb="17" eb="18">
      <t>ゲツ</t>
    </rPh>
    <rPh sb="22" eb="24">
      <t>ニュウリョク</t>
    </rPh>
    <rPh sb="25" eb="26">
      <t>ナ</t>
    </rPh>
    <rPh sb="27" eb="29">
      <t>バアイ</t>
    </rPh>
    <rPh sb="34" eb="36">
      <t>ゲツブン</t>
    </rPh>
    <rPh sb="37" eb="39">
      <t>ホセイ</t>
    </rPh>
    <rPh sb="41" eb="42">
      <t>アタイ</t>
    </rPh>
    <rPh sb="43" eb="45">
      <t>ヒョウジ</t>
    </rPh>
    <phoneticPr fontId="2"/>
  </si>
  <si>
    <r>
      <t>１．</t>
    </r>
    <r>
      <rPr>
        <sz val="10"/>
        <color rgb="FFFF0000"/>
        <rFont val="メイリオ"/>
        <family val="3"/>
        <charset val="128"/>
      </rPr>
      <t>令和３年度</t>
    </r>
    <r>
      <rPr>
        <sz val="10"/>
        <rFont val="メイリオ"/>
        <family val="3"/>
        <charset val="128"/>
      </rPr>
      <t>（2021年度）の電気、ガス及びその他のエネルギー使用量を下記表に入力してください。</t>
    </r>
    <rPh sb="2" eb="4">
      <t>レイワ</t>
    </rPh>
    <rPh sb="5" eb="7">
      <t>ネンド</t>
    </rPh>
    <rPh sb="12" eb="14">
      <t>ネンド</t>
    </rPh>
    <rPh sb="21" eb="22">
      <t>オヨ</t>
    </rPh>
    <rPh sb="25" eb="26">
      <t>タ</t>
    </rPh>
    <rPh sb="32" eb="34">
      <t>シヨウ</t>
    </rPh>
    <rPh sb="34" eb="35">
      <t>リョウ</t>
    </rPh>
    <rPh sb="36" eb="38">
      <t>カキ</t>
    </rPh>
    <rPh sb="38" eb="39">
      <t>ヒョウ</t>
    </rPh>
    <rPh sb="40" eb="42">
      <t>ニュウリョク</t>
    </rPh>
    <phoneticPr fontId="2"/>
  </si>
  <si>
    <r>
      <t xml:space="preserve">料金[円]
</t>
    </r>
    <r>
      <rPr>
        <sz val="10"/>
        <color theme="1"/>
        <rFont val="メイリオ"/>
        <family val="3"/>
        <charset val="128"/>
      </rPr>
      <t>（税込み）</t>
    </r>
    <rPh sb="0" eb="2">
      <t>リョウキン</t>
    </rPh>
    <rPh sb="3" eb="4">
      <t>エン</t>
    </rPh>
    <phoneticPr fontId="2"/>
  </si>
  <si>
    <r>
      <t xml:space="preserve">使用期間
</t>
    </r>
    <r>
      <rPr>
        <sz val="9"/>
        <color theme="1"/>
        <rFont val="メイリオ"/>
        <family val="3"/>
        <charset val="128"/>
      </rPr>
      <t>［ 月 日～ 月 日］</t>
    </r>
    <rPh sb="0" eb="2">
      <t>シヨウ</t>
    </rPh>
    <rPh sb="2" eb="4">
      <t>キカン</t>
    </rPh>
    <rPh sb="7" eb="8">
      <t>ガツ</t>
    </rPh>
    <rPh sb="9" eb="10">
      <t>ヒ</t>
    </rPh>
    <rPh sb="12" eb="13">
      <t>ツキ</t>
    </rPh>
    <rPh sb="14" eb="15">
      <t>ヒ</t>
    </rPh>
    <phoneticPr fontId="12"/>
  </si>
  <si>
    <t>原油換算
［kL］</t>
    <phoneticPr fontId="12"/>
  </si>
  <si>
    <t>合計</t>
    <rPh sb="0" eb="2">
      <t>ゴウケイ</t>
    </rPh>
    <phoneticPr fontId="2"/>
  </si>
  <si>
    <r>
      <rPr>
        <sz val="12"/>
        <color rgb="FFFF0000"/>
        <rFont val="メイリオ"/>
        <family val="3"/>
        <charset val="128"/>
      </rPr>
      <t>換気設備</t>
    </r>
    <r>
      <rPr>
        <sz val="12"/>
        <color theme="1"/>
        <rFont val="メイリオ"/>
        <family val="2"/>
        <charset val="128"/>
      </rPr>
      <t>の導入要件</t>
    </r>
    <phoneticPr fontId="12"/>
  </si>
  <si>
    <t>51</t>
  </si>
  <si>
    <t>52</t>
  </si>
  <si>
    <t>53</t>
  </si>
  <si>
    <t>54</t>
  </si>
  <si>
    <t>55</t>
  </si>
  <si>
    <t>56</t>
  </si>
  <si>
    <t>57</t>
  </si>
  <si>
    <t>58</t>
  </si>
  <si>
    <t>59</t>
  </si>
  <si>
    <t>60</t>
  </si>
  <si>
    <r>
      <t>　・料金は、</t>
    </r>
    <r>
      <rPr>
        <sz val="10"/>
        <color rgb="FFFF0000"/>
        <rFont val="メイリオ"/>
        <family val="3"/>
        <charset val="128"/>
      </rPr>
      <t>税込み金額</t>
    </r>
    <r>
      <rPr>
        <sz val="10"/>
        <rFont val="メイリオ"/>
        <family val="3"/>
        <charset val="128"/>
      </rPr>
      <t>を入力すること。</t>
    </r>
    <rPh sb="2" eb="4">
      <t>リョウキン</t>
    </rPh>
    <rPh sb="6" eb="8">
      <t>ゼイコ</t>
    </rPh>
    <rPh sb="9" eb="11">
      <t>キンガク</t>
    </rPh>
    <rPh sb="12" eb="14">
      <t>ニュウリョク</t>
    </rPh>
    <phoneticPr fontId="2"/>
  </si>
  <si>
    <t>　・電気、ガス以外のエネルギー使用がある場合は、「その他のエネルギー」欄に種別等を選択の上、入力すること。</t>
    <rPh sb="2" eb="4">
      <t>デンキ</t>
    </rPh>
    <rPh sb="7" eb="9">
      <t>イガイ</t>
    </rPh>
    <rPh sb="15" eb="17">
      <t>シヨウ</t>
    </rPh>
    <rPh sb="20" eb="22">
      <t>バアイ</t>
    </rPh>
    <rPh sb="27" eb="28">
      <t>タ</t>
    </rPh>
    <rPh sb="35" eb="36">
      <t>ラン</t>
    </rPh>
    <rPh sb="37" eb="39">
      <t>シュベツ</t>
    </rPh>
    <rPh sb="39" eb="40">
      <t>トウ</t>
    </rPh>
    <rPh sb="41" eb="43">
      <t>センタク</t>
    </rPh>
    <rPh sb="44" eb="45">
      <t>ウエ</t>
    </rPh>
    <rPh sb="46" eb="48">
      <t>ニュウリョク</t>
    </rPh>
    <phoneticPr fontId="2"/>
  </si>
  <si>
    <t>マイナス確認</t>
    <rPh sb="4" eb="6">
      <t>カクニン</t>
    </rPh>
    <phoneticPr fontId="12"/>
  </si>
  <si>
    <r>
      <t>事業範囲に設置されているすべての換気設備について入力してください。</t>
    </r>
    <r>
      <rPr>
        <sz val="14"/>
        <color rgb="FFFF0000"/>
        <rFont val="メイリオ"/>
        <family val="3"/>
        <charset val="128"/>
      </rPr>
      <t>（機器型番ごとにまとめて記入すること）</t>
    </r>
    <rPh sb="0" eb="2">
      <t>ジギョウ</t>
    </rPh>
    <rPh sb="2" eb="4">
      <t>ハンイ</t>
    </rPh>
    <rPh sb="5" eb="7">
      <t>セッチ</t>
    </rPh>
    <rPh sb="16" eb="18">
      <t>カンキ</t>
    </rPh>
    <rPh sb="34" eb="36">
      <t>キキ</t>
    </rPh>
    <rPh sb="36" eb="38">
      <t>カタバン</t>
    </rPh>
    <rPh sb="45" eb="47">
      <t>キニュウ</t>
    </rPh>
    <phoneticPr fontId="2"/>
  </si>
  <si>
    <r>
      <t>今回新たに新設、更新、増設する換気設備並びに、継続使用する換気設備について入力してください。</t>
    </r>
    <r>
      <rPr>
        <sz val="14"/>
        <color rgb="FFFF0000"/>
        <rFont val="メイリオ"/>
        <family val="3"/>
        <charset val="128"/>
      </rPr>
      <t>（機器型番ごとにまとめて記入すること）</t>
    </r>
    <rPh sb="5" eb="7">
      <t>シンセツ</t>
    </rPh>
    <rPh sb="15" eb="17">
      <t>カンキ</t>
    </rPh>
    <rPh sb="17" eb="19">
      <t>セツビ</t>
    </rPh>
    <rPh sb="29" eb="31">
      <t>カンキ</t>
    </rPh>
    <rPh sb="31" eb="33">
      <t>セツビ</t>
    </rPh>
    <rPh sb="58" eb="60">
      <t>キニュウ</t>
    </rPh>
    <phoneticPr fontId="2"/>
  </si>
  <si>
    <t>←記入事項に不備がある場合、セルが＜橙色＞になります。</t>
    <rPh sb="1" eb="3">
      <t>キニュウ</t>
    </rPh>
    <rPh sb="3" eb="5">
      <t>ジコウ</t>
    </rPh>
    <rPh sb="6" eb="8">
      <t>フビ</t>
    </rPh>
    <rPh sb="11" eb="13">
      <t>バアイ</t>
    </rPh>
    <rPh sb="18" eb="19">
      <t>ダイダイ</t>
    </rPh>
    <phoneticPr fontId="2"/>
  </si>
  <si>
    <t>←記入事項に不備がある場合、セルが＜黄色＞になります。</t>
    <rPh sb="1" eb="3">
      <t>キニュウ</t>
    </rPh>
    <rPh sb="3" eb="5">
      <t>ジコウ</t>
    </rPh>
    <rPh sb="6" eb="8">
      <t>フビ</t>
    </rPh>
    <rPh sb="11" eb="13">
      <t>バアイ</t>
    </rPh>
    <rPh sb="18" eb="20">
      <t>キイロ</t>
    </rPh>
    <phoneticPr fontId="2"/>
  </si>
  <si>
    <t>←プルダウンメニューより＜室用途＞選択してください。</t>
    <rPh sb="13" eb="14">
      <t>シツ</t>
    </rPh>
    <rPh sb="14" eb="16">
      <t>ヨウト</t>
    </rPh>
    <rPh sb="17" eb="19">
      <t>センタク</t>
    </rPh>
    <phoneticPr fontId="2"/>
  </si>
  <si>
    <t>←プルダウンメニューより＜空調設備の種類＞選択してください。</t>
    <rPh sb="13" eb="15">
      <t>クウチョウ</t>
    </rPh>
    <rPh sb="15" eb="17">
      <t>セツビ</t>
    </rPh>
    <rPh sb="18" eb="20">
      <t>シュルイ</t>
    </rPh>
    <rPh sb="21" eb="23">
      <t>センタク</t>
    </rPh>
    <phoneticPr fontId="2"/>
  </si>
  <si>
    <t>←プルダウンメニューより＜エネルギー種別＞選択してください。</t>
    <rPh sb="18" eb="20">
      <t>シュベツ</t>
    </rPh>
    <rPh sb="21" eb="23">
      <t>センタク</t>
    </rPh>
    <phoneticPr fontId="2"/>
  </si>
  <si>
    <t>←プルダウンメニューより＜単位＞選択してください。</t>
    <rPh sb="13" eb="15">
      <t>タンイ</t>
    </rPh>
    <rPh sb="16" eb="18">
      <t>センタク</t>
    </rPh>
    <phoneticPr fontId="2"/>
  </si>
  <si>
    <t>←省エネ化の要件を満たさない場合、セルが＜黄色＞、文字が＜朱色＞になります。</t>
    <rPh sb="1" eb="2">
      <t>ショウ</t>
    </rPh>
    <rPh sb="4" eb="5">
      <t>カ</t>
    </rPh>
    <rPh sb="6" eb="8">
      <t>ヨウケン</t>
    </rPh>
    <rPh sb="9" eb="10">
      <t>ミ</t>
    </rPh>
    <rPh sb="14" eb="16">
      <t>バアイ</t>
    </rPh>
    <rPh sb="21" eb="23">
      <t>キイロ</t>
    </rPh>
    <rPh sb="25" eb="27">
      <t>モジ</t>
    </rPh>
    <rPh sb="29" eb="31">
      <t>シュイロ</t>
    </rPh>
    <phoneticPr fontId="2"/>
  </si>
  <si>
    <t>記入値が要件を満たさない場合、セルが＜黄色＞、文字が＜朱色＞になります。</t>
    <rPh sb="0" eb="2">
      <t>キニュウ</t>
    </rPh>
    <rPh sb="2" eb="3">
      <t>チ</t>
    </rPh>
    <rPh sb="4" eb="6">
      <t>ヨウケン</t>
    </rPh>
    <rPh sb="7" eb="8">
      <t>ミ</t>
    </rPh>
    <rPh sb="12" eb="14">
      <t>バアイ</t>
    </rPh>
    <rPh sb="23" eb="25">
      <t>モジ</t>
    </rPh>
    <rPh sb="27" eb="29">
      <t>シュイロ</t>
    </rPh>
    <phoneticPr fontId="2"/>
  </si>
  <si>
    <t>都市ガス</t>
  </si>
  <si>
    <t>［m3］</t>
  </si>
  <si>
    <t>空欄チェック</t>
    <rPh sb="0" eb="2">
      <t>クウラン</t>
    </rPh>
    <phoneticPr fontId="12"/>
  </si>
  <si>
    <t>期間入力</t>
    <rPh sb="0" eb="2">
      <t>キカン</t>
    </rPh>
    <rPh sb="2" eb="4">
      <t>ニュウリョク</t>
    </rPh>
    <phoneticPr fontId="2"/>
  </si>
  <si>
    <t>数値入力</t>
    <rPh sb="0" eb="2">
      <t>スウチ</t>
    </rPh>
    <rPh sb="2" eb="4">
      <t>ニュウリョク</t>
    </rPh>
    <phoneticPr fontId="2"/>
  </si>
  <si>
    <t>入力チェック</t>
    <rPh sb="0" eb="2">
      <t>ニュウリョク</t>
    </rPh>
    <phoneticPr fontId="2"/>
  </si>
  <si>
    <t>使用量!P21</t>
    <phoneticPr fontId="2"/>
  </si>
  <si>
    <t>使用量!P33</t>
    <phoneticPr fontId="2"/>
  </si>
  <si>
    <t>電気</t>
    <rPh sb="0" eb="2">
      <t>デンキ</t>
    </rPh>
    <phoneticPr fontId="2"/>
  </si>
  <si>
    <t>LPG</t>
  </si>
  <si>
    <t>LPG</t>
    <phoneticPr fontId="2"/>
  </si>
  <si>
    <t>LNG</t>
    <phoneticPr fontId="2"/>
  </si>
  <si>
    <t>都市ガス</t>
    <phoneticPr fontId="2"/>
  </si>
  <si>
    <t>［Nm3］</t>
    <phoneticPr fontId="2"/>
  </si>
  <si>
    <t>水素</t>
    <rPh sb="0" eb="2">
      <t>スイソ</t>
    </rPh>
    <phoneticPr fontId="2"/>
  </si>
  <si>
    <t>天然ガス</t>
    <rPh sb="0" eb="2">
      <t>テンネン</t>
    </rPh>
    <phoneticPr fontId="2"/>
  </si>
  <si>
    <t>使用量!P44</t>
    <phoneticPr fontId="2"/>
  </si>
  <si>
    <t>使用量!P55</t>
    <phoneticPr fontId="2"/>
  </si>
  <si>
    <t>使用量!P66</t>
    <phoneticPr fontId="2"/>
  </si>
  <si>
    <t>使用量!P77</t>
    <phoneticPr fontId="2"/>
  </si>
  <si>
    <t>［kg］</t>
  </si>
  <si>
    <t>導入の区分</t>
  </si>
  <si>
    <r>
      <t>　・入力する値は、提出するエネルギー使用量の</t>
    </r>
    <r>
      <rPr>
        <sz val="10"/>
        <color rgb="FFFF0000"/>
        <rFont val="メイリオ"/>
        <family val="3"/>
        <charset val="128"/>
      </rPr>
      <t>証憑等</t>
    </r>
    <r>
      <rPr>
        <sz val="10"/>
        <rFont val="メイリオ"/>
        <family val="3"/>
        <charset val="128"/>
      </rPr>
      <t>と一致すること。</t>
    </r>
    <rPh sb="2" eb="4">
      <t>ニュウリョク</t>
    </rPh>
    <rPh sb="6" eb="7">
      <t>アタイ</t>
    </rPh>
    <rPh sb="9" eb="11">
      <t>テイシュツ</t>
    </rPh>
    <rPh sb="18" eb="21">
      <t>シヨウリョウ</t>
    </rPh>
    <rPh sb="22" eb="24">
      <t>ショウヒョウ</t>
    </rPh>
    <rPh sb="24" eb="25">
      <t>トウ</t>
    </rPh>
    <rPh sb="26" eb="28">
      <t>イッチ</t>
    </rPh>
    <phoneticPr fontId="2"/>
  </si>
  <si>
    <r>
      <t>３．</t>
    </r>
    <r>
      <rPr>
        <sz val="10"/>
        <color rgb="FFFF0000"/>
        <rFont val="メイリオ"/>
        <family val="3"/>
        <charset val="128"/>
      </rPr>
      <t>新規開業等</t>
    </r>
    <r>
      <rPr>
        <sz val="10"/>
        <rFont val="メイリオ"/>
        <family val="3"/>
        <charset val="128"/>
      </rPr>
      <t>によりエネルギー使用量が全く無い場合は、「</t>
    </r>
    <r>
      <rPr>
        <sz val="10"/>
        <color rgb="FFFF0000"/>
        <rFont val="メイリオ"/>
        <family val="3"/>
        <charset val="128"/>
      </rPr>
      <t>５．年間エネルギー使用量（概算）</t>
    </r>
    <r>
      <rPr>
        <sz val="10"/>
        <rFont val="メイリオ"/>
        <family val="3"/>
        <charset val="128"/>
      </rPr>
      <t>」シートに記入してください。</t>
    </r>
    <rPh sb="2" eb="4">
      <t>シンキ</t>
    </rPh>
    <rPh sb="4" eb="6">
      <t>カイギョウ</t>
    </rPh>
    <rPh sb="6" eb="7">
      <t>トウ</t>
    </rPh>
    <rPh sb="15" eb="17">
      <t>シヨウ</t>
    </rPh>
    <rPh sb="17" eb="18">
      <t>リョウ</t>
    </rPh>
    <rPh sb="19" eb="20">
      <t>マッタ</t>
    </rPh>
    <rPh sb="21" eb="22">
      <t>ナ</t>
    </rPh>
    <rPh sb="23" eb="25">
      <t>バアイ</t>
    </rPh>
    <rPh sb="41" eb="43">
      <t>ガイサン</t>
    </rPh>
    <rPh sb="49" eb="51">
      <t>キニュウ</t>
    </rPh>
    <phoneticPr fontId="2"/>
  </si>
  <si>
    <r>
      <t>１．</t>
    </r>
    <r>
      <rPr>
        <sz val="10"/>
        <color rgb="FFFF0000"/>
        <rFont val="メイリオ"/>
        <family val="3"/>
        <charset val="128"/>
      </rPr>
      <t>新規開業等</t>
    </r>
    <r>
      <rPr>
        <sz val="10"/>
        <rFont val="メイリオ"/>
        <family val="3"/>
        <charset val="128"/>
      </rPr>
      <t>によりエネルギー使用量が全く無い場合は、本シートに記入してください。</t>
    </r>
    <rPh sb="2" eb="4">
      <t>シンキ</t>
    </rPh>
    <rPh sb="4" eb="6">
      <t>カイギョウ</t>
    </rPh>
    <rPh sb="6" eb="7">
      <t>トウ</t>
    </rPh>
    <rPh sb="15" eb="17">
      <t>シヨウ</t>
    </rPh>
    <rPh sb="17" eb="18">
      <t>リョウ</t>
    </rPh>
    <rPh sb="19" eb="20">
      <t>マッタ</t>
    </rPh>
    <rPh sb="21" eb="22">
      <t>ナ</t>
    </rPh>
    <rPh sb="23" eb="25">
      <t>バアイ</t>
    </rPh>
    <rPh sb="27" eb="28">
      <t>ホン</t>
    </rPh>
    <rPh sb="32" eb="34">
      <t>キニュウ</t>
    </rPh>
    <phoneticPr fontId="2"/>
  </si>
  <si>
    <r>
      <t>　</t>
    </r>
    <r>
      <rPr>
        <b/>
        <sz val="10"/>
        <color rgb="FFFF0000"/>
        <rFont val="メイリオ"/>
        <family val="3"/>
        <charset val="128"/>
      </rPr>
      <t>ア</t>
    </r>
    <r>
      <rPr>
        <sz val="10"/>
        <rFont val="メイリオ"/>
        <family val="3"/>
        <charset val="128"/>
      </rPr>
      <t>　事務所内の区画にサーバーを設置していない。</t>
    </r>
    <rPh sb="3" eb="5">
      <t>ジム</t>
    </rPh>
    <rPh sb="5" eb="6">
      <t>ショ</t>
    </rPh>
    <rPh sb="6" eb="7">
      <t>ナイ</t>
    </rPh>
    <rPh sb="8" eb="10">
      <t>クカク</t>
    </rPh>
    <rPh sb="16" eb="18">
      <t>セッチ</t>
    </rPh>
    <phoneticPr fontId="2"/>
  </si>
  <si>
    <r>
      <t>　</t>
    </r>
    <r>
      <rPr>
        <b/>
        <sz val="10"/>
        <color rgb="FFFF0000"/>
        <rFont val="メイリオ"/>
        <family val="3"/>
        <charset val="128"/>
      </rPr>
      <t>イ</t>
    </r>
    <r>
      <rPr>
        <sz val="10"/>
        <rFont val="メイリオ"/>
        <family val="3"/>
        <charset val="128"/>
      </rPr>
      <t>　事務所内の区画にサーバーを設置している。</t>
    </r>
    <rPh sb="3" eb="5">
      <t>ジム</t>
    </rPh>
    <rPh sb="5" eb="6">
      <t>ショ</t>
    </rPh>
    <rPh sb="6" eb="7">
      <t>ナイ</t>
    </rPh>
    <rPh sb="8" eb="10">
      <t>クカク</t>
    </rPh>
    <rPh sb="16" eb="18">
      <t>セッチ</t>
    </rPh>
    <phoneticPr fontId="2"/>
  </si>
  <si>
    <r>
      <t>２．確認事項を選択の上、＜</t>
    </r>
    <r>
      <rPr>
        <b/>
        <sz val="10"/>
        <color rgb="FFFF0000"/>
        <rFont val="メイリオ"/>
        <family val="3"/>
        <charset val="128"/>
      </rPr>
      <t>ア</t>
    </r>
    <r>
      <rPr>
        <sz val="10"/>
        <rFont val="メイリオ"/>
        <family val="3"/>
        <charset val="128"/>
      </rPr>
      <t>＞、＜</t>
    </r>
    <r>
      <rPr>
        <b/>
        <sz val="10"/>
        <color rgb="FFFF0000"/>
        <rFont val="メイリオ"/>
        <family val="3"/>
        <charset val="128"/>
      </rPr>
      <t>イ</t>
    </r>
    <r>
      <rPr>
        <sz val="10"/>
        <rFont val="メイリオ"/>
        <family val="3"/>
        <charset val="128"/>
      </rPr>
      <t>＞のいずれか該当する表を使用してください。</t>
    </r>
    <rPh sb="2" eb="4">
      <t>カクニン</t>
    </rPh>
    <rPh sb="4" eb="6">
      <t>ジコウ</t>
    </rPh>
    <rPh sb="7" eb="9">
      <t>センタク</t>
    </rPh>
    <rPh sb="10" eb="11">
      <t>ウエ</t>
    </rPh>
    <rPh sb="24" eb="26">
      <t>ガイトウ</t>
    </rPh>
    <rPh sb="28" eb="29">
      <t>ヒョウ</t>
    </rPh>
    <rPh sb="30" eb="32">
      <t>シヨウ</t>
    </rPh>
    <phoneticPr fontId="2"/>
  </si>
  <si>
    <r>
      <rPr>
        <b/>
        <sz val="11"/>
        <color rgb="FFFF0000"/>
        <rFont val="メイリオ"/>
        <family val="3"/>
        <charset val="128"/>
      </rPr>
      <t>ア　</t>
    </r>
    <r>
      <rPr>
        <sz val="11"/>
        <color theme="1"/>
        <rFont val="メイリオ"/>
        <family val="3"/>
        <charset val="128"/>
      </rPr>
      <t>事務所内の区画にサーバーを設置していない。</t>
    </r>
    <rPh sb="2" eb="4">
      <t>ジム</t>
    </rPh>
    <rPh sb="4" eb="5">
      <t>ショ</t>
    </rPh>
    <rPh sb="5" eb="6">
      <t>ナイ</t>
    </rPh>
    <rPh sb="7" eb="9">
      <t>クカク</t>
    </rPh>
    <rPh sb="15" eb="17">
      <t>セッチ</t>
    </rPh>
    <phoneticPr fontId="2"/>
  </si>
  <si>
    <r>
      <rPr>
        <b/>
        <sz val="11"/>
        <color rgb="FFFF0000"/>
        <rFont val="メイリオ"/>
        <family val="3"/>
        <charset val="128"/>
      </rPr>
      <t>イ</t>
    </r>
    <r>
      <rPr>
        <sz val="11"/>
        <color theme="1"/>
        <rFont val="メイリオ"/>
        <family val="3"/>
        <charset val="128"/>
      </rPr>
      <t>　事務所内の区画にサーバーを設置している。</t>
    </r>
    <rPh sb="2" eb="4">
      <t>ジム</t>
    </rPh>
    <rPh sb="4" eb="5">
      <t>ショ</t>
    </rPh>
    <rPh sb="5" eb="6">
      <t>ナイ</t>
    </rPh>
    <rPh sb="7" eb="9">
      <t>クカク</t>
    </rPh>
    <rPh sb="15" eb="17">
      <t>セッチ</t>
    </rPh>
    <phoneticPr fontId="2"/>
  </si>
  <si>
    <r>
      <t>※　サーバーを設置していない場合は、「</t>
    </r>
    <r>
      <rPr>
        <b/>
        <sz val="9"/>
        <color rgb="FFFF0000"/>
        <rFont val="メイリオ"/>
        <family val="3"/>
        <charset val="128"/>
      </rPr>
      <t>ア</t>
    </r>
    <r>
      <rPr>
        <sz val="9"/>
        <rFont val="メイリオ"/>
        <family val="3"/>
        <charset val="128"/>
      </rPr>
      <t>の表」に入力。
　　サーバーを設置している場合は、　「</t>
    </r>
    <r>
      <rPr>
        <b/>
        <sz val="9"/>
        <color rgb="FFFF0000"/>
        <rFont val="メイリオ"/>
        <family val="3"/>
        <charset val="128"/>
      </rPr>
      <t>イ</t>
    </r>
    <r>
      <rPr>
        <sz val="9"/>
        <rFont val="メイリオ"/>
        <family val="3"/>
        <charset val="128"/>
      </rPr>
      <t>の表」に入力。</t>
    </r>
    <rPh sb="7" eb="9">
      <t>セッチ</t>
    </rPh>
    <rPh sb="14" eb="16">
      <t>バアイ</t>
    </rPh>
    <rPh sb="21" eb="22">
      <t>ヒョウ</t>
    </rPh>
    <rPh sb="24" eb="26">
      <t>ニュウリョク</t>
    </rPh>
    <rPh sb="49" eb="50">
      <t>ヒョウ</t>
    </rPh>
    <phoneticPr fontId="12"/>
  </si>
  <si>
    <r>
      <t>３．機械換気の換気量は、常時使用できる最大風量＜</t>
    </r>
    <r>
      <rPr>
        <sz val="12"/>
        <color rgb="FFFF0000"/>
        <rFont val="メイリオ"/>
        <family val="3"/>
        <charset val="128"/>
      </rPr>
      <t>強</t>
    </r>
    <r>
      <rPr>
        <sz val="12"/>
        <rFont val="メイリオ"/>
        <family val="3"/>
        <charset val="128"/>
      </rPr>
      <t>＞の有効換気量を入力してください。</t>
    </r>
    <rPh sb="2" eb="4">
      <t>キカイ</t>
    </rPh>
    <rPh sb="4" eb="6">
      <t>カンキ</t>
    </rPh>
    <rPh sb="7" eb="9">
      <t>カンキ</t>
    </rPh>
    <rPh sb="9" eb="10">
      <t>リョウ</t>
    </rPh>
    <rPh sb="12" eb="16">
      <t>ジョウジシヨウ</t>
    </rPh>
    <rPh sb="19" eb="21">
      <t>サイダイ</t>
    </rPh>
    <rPh sb="21" eb="23">
      <t>フウリョウ</t>
    </rPh>
    <rPh sb="24" eb="25">
      <t>キョウ</t>
    </rPh>
    <rPh sb="27" eb="29">
      <t>ユウコウ</t>
    </rPh>
    <rPh sb="29" eb="31">
      <t>カンキ</t>
    </rPh>
    <rPh sb="31" eb="32">
      <t>リョウ</t>
    </rPh>
    <rPh sb="33" eb="35">
      <t>ニュウリョク</t>
    </rPh>
    <phoneticPr fontId="2"/>
  </si>
  <si>
    <r>
      <t>　　有効換気量は、ダクトなどの</t>
    </r>
    <r>
      <rPr>
        <sz val="12"/>
        <color rgb="FFFF0000"/>
        <rFont val="メイリオ"/>
        <family val="3"/>
        <charset val="128"/>
      </rPr>
      <t>圧力損失</t>
    </r>
    <r>
      <rPr>
        <sz val="12"/>
        <rFont val="メイリオ"/>
        <family val="3"/>
        <charset val="128"/>
      </rPr>
      <t>・</t>
    </r>
    <r>
      <rPr>
        <sz val="12"/>
        <color rgb="FFFF0000"/>
        <rFont val="メイリオ"/>
        <family val="3"/>
        <charset val="128"/>
      </rPr>
      <t>静圧等</t>
    </r>
    <r>
      <rPr>
        <sz val="12"/>
        <rFont val="メイリオ"/>
        <family val="3"/>
        <charset val="128"/>
      </rPr>
      <t>を考慮した換気量になります。</t>
    </r>
    <rPh sb="20" eb="22">
      <t>セイアツ</t>
    </rPh>
    <rPh sb="22" eb="23">
      <t>トウ</t>
    </rPh>
    <phoneticPr fontId="2"/>
  </si>
  <si>
    <t>換気量要件</t>
    <rPh sb="0" eb="2">
      <t>カンキ</t>
    </rPh>
    <rPh sb="2" eb="3">
      <t>リョウ</t>
    </rPh>
    <rPh sb="3" eb="5">
      <t>ヨウケン</t>
    </rPh>
    <phoneticPr fontId="2"/>
  </si>
  <si>
    <t>換気量減少確認</t>
    <rPh sb="0" eb="2">
      <t>カンキ</t>
    </rPh>
    <rPh sb="2" eb="3">
      <t>リョウ</t>
    </rPh>
    <rPh sb="3" eb="5">
      <t>ゲンショウ</t>
    </rPh>
    <rPh sb="5" eb="7">
      <t>カクニン</t>
    </rPh>
    <phoneticPr fontId="2"/>
  </si>
  <si>
    <t>室用途入力確認</t>
    <rPh sb="0" eb="1">
      <t>シツ</t>
    </rPh>
    <rPh sb="1" eb="3">
      <t>ヨウト</t>
    </rPh>
    <rPh sb="3" eb="5">
      <t>ニュウリョク</t>
    </rPh>
    <rPh sb="5" eb="7">
      <t>カクニン</t>
    </rPh>
    <phoneticPr fontId="2"/>
  </si>
  <si>
    <t>空欄確認</t>
    <rPh sb="0" eb="2">
      <t>クウラン</t>
    </rPh>
    <rPh sb="2" eb="4">
      <t>カクニン</t>
    </rPh>
    <phoneticPr fontId="2"/>
  </si>
  <si>
    <t>結果</t>
    <rPh sb="0" eb="2">
      <t>ケッカ</t>
    </rPh>
    <phoneticPr fontId="2"/>
  </si>
  <si>
    <t>換気設備導入要件</t>
    <rPh sb="0" eb="2">
      <t>カンキ</t>
    </rPh>
    <rPh sb="2" eb="4">
      <t>セツビ</t>
    </rPh>
    <rPh sb="4" eb="6">
      <t>ドウニュウ</t>
    </rPh>
    <rPh sb="6" eb="8">
      <t>ヨウケン</t>
    </rPh>
    <phoneticPr fontId="2"/>
  </si>
  <si>
    <r>
      <t>１．旧設備として＜機械換気設備＞がない</t>
    </r>
    <r>
      <rPr>
        <sz val="12"/>
        <color rgb="FFFF0000"/>
        <rFont val="メイリオ"/>
        <family val="3"/>
        <charset val="128"/>
      </rPr>
      <t>自然換気のみの場合</t>
    </r>
    <r>
      <rPr>
        <sz val="12"/>
        <rFont val="メイリオ"/>
        <family val="3"/>
        <charset val="128"/>
      </rPr>
      <t>は、「旧設備」欄は</t>
    </r>
    <r>
      <rPr>
        <sz val="12"/>
        <color rgb="FFFF0000"/>
        <rFont val="メイリオ"/>
        <family val="3"/>
        <charset val="128"/>
      </rPr>
      <t>空欄</t>
    </r>
    <r>
      <rPr>
        <sz val="12"/>
        <rFont val="メイリオ"/>
        <family val="3"/>
        <charset val="128"/>
      </rPr>
      <t>とし、「新設備」欄のみ記入してください。</t>
    </r>
    <rPh sb="2" eb="3">
      <t>キュウ</t>
    </rPh>
    <rPh sb="3" eb="5">
      <t>セツビ</t>
    </rPh>
    <rPh sb="9" eb="11">
      <t>キカイ</t>
    </rPh>
    <rPh sb="11" eb="13">
      <t>カンキ</t>
    </rPh>
    <rPh sb="13" eb="15">
      <t>セツビ</t>
    </rPh>
    <rPh sb="19" eb="21">
      <t>シゼン</t>
    </rPh>
    <rPh sb="21" eb="23">
      <t>カンキ</t>
    </rPh>
    <rPh sb="26" eb="28">
      <t>バアイ</t>
    </rPh>
    <rPh sb="31" eb="34">
      <t>キュウセツビ</t>
    </rPh>
    <rPh sb="35" eb="36">
      <t>ラン</t>
    </rPh>
    <rPh sb="37" eb="39">
      <t>クウラン</t>
    </rPh>
    <rPh sb="43" eb="44">
      <t>シン</t>
    </rPh>
    <rPh sb="44" eb="46">
      <t>セツビ</t>
    </rPh>
    <rPh sb="47" eb="48">
      <t>ラン</t>
    </rPh>
    <rPh sb="50" eb="52">
      <t>キニュウ</t>
    </rPh>
    <phoneticPr fontId="2"/>
  </si>
  <si>
    <t>換気方法と換気量確認</t>
    <rPh sb="0" eb="2">
      <t>カンキ</t>
    </rPh>
    <rPh sb="2" eb="4">
      <t>ホウホウ</t>
    </rPh>
    <rPh sb="5" eb="8">
      <t>カンキリョウ</t>
    </rPh>
    <rPh sb="8" eb="10">
      <t>カクニン</t>
    </rPh>
    <phoneticPr fontId="2"/>
  </si>
  <si>
    <t>排気</t>
    <rPh sb="0" eb="2">
      <t>ハイキ</t>
    </rPh>
    <phoneticPr fontId="2"/>
  </si>
  <si>
    <t>給気</t>
    <rPh sb="0" eb="2">
      <t>キュウキ</t>
    </rPh>
    <phoneticPr fontId="2"/>
  </si>
  <si>
    <t>排気_計</t>
    <rPh sb="0" eb="2">
      <t>ハイキ</t>
    </rPh>
    <rPh sb="3" eb="4">
      <t>ケイ</t>
    </rPh>
    <phoneticPr fontId="2"/>
  </si>
  <si>
    <t>給気_計</t>
    <rPh sb="0" eb="2">
      <t>キュウキ</t>
    </rPh>
    <rPh sb="3" eb="4">
      <t>ケイ</t>
    </rPh>
    <phoneticPr fontId="2"/>
  </si>
  <si>
    <t>換気量_小計[㎥/h]</t>
    <rPh sb="0" eb="2">
      <t>カンキ</t>
    </rPh>
    <rPh sb="2" eb="3">
      <t>リョウ</t>
    </rPh>
    <rPh sb="4" eb="6">
      <t>ショウケイ</t>
    </rPh>
    <phoneticPr fontId="2"/>
  </si>
  <si>
    <t>消費電力_小計[W]</t>
    <rPh sb="0" eb="2">
      <t>ショウヒ</t>
    </rPh>
    <rPh sb="2" eb="4">
      <t>デンリョク</t>
    </rPh>
    <rPh sb="5" eb="7">
      <t>ショウケイ</t>
    </rPh>
    <phoneticPr fontId="2"/>
  </si>
  <si>
    <t>換気の方法</t>
    <rPh sb="0" eb="2">
      <t>カンキ</t>
    </rPh>
    <rPh sb="3" eb="5">
      <t>ホウホウ</t>
    </rPh>
    <phoneticPr fontId="2"/>
  </si>
  <si>
    <t>廃棄</t>
    <rPh sb="0" eb="2">
      <t>ハイキ</t>
    </rPh>
    <phoneticPr fontId="2"/>
  </si>
  <si>
    <t xml:space="preserve"> プルダウンメニューより＜換気設備の種類＞選択してください。</t>
    <rPh sb="13" eb="15">
      <t>カンキ</t>
    </rPh>
    <rPh sb="15" eb="17">
      <t>セツビ</t>
    </rPh>
    <rPh sb="18" eb="20">
      <t>シュルイ</t>
    </rPh>
    <rPh sb="21" eb="23">
      <t>センタク</t>
    </rPh>
    <phoneticPr fontId="2"/>
  </si>
  <si>
    <t>温水・冷水</t>
  </si>
  <si>
    <t>産業用蒸気</t>
  </si>
  <si>
    <t>産業用以外の蒸気</t>
  </si>
  <si>
    <t>灯油</t>
  </si>
  <si>
    <t>軽油</t>
  </si>
  <si>
    <t>A重油</t>
  </si>
  <si>
    <t>B・Ｃ重油</t>
  </si>
  <si>
    <t>換気量チェック</t>
    <rPh sb="0" eb="3">
      <t>カンキリョウ</t>
    </rPh>
    <phoneticPr fontId="12"/>
  </si>
  <si>
    <t>旧換気量</t>
    <rPh sb="0" eb="1">
      <t>キュウ</t>
    </rPh>
    <rPh sb="1" eb="4">
      <t>カンキリョウ</t>
    </rPh>
    <phoneticPr fontId="12"/>
  </si>
  <si>
    <t>新換気量</t>
    <rPh sb="0" eb="1">
      <t>シン</t>
    </rPh>
    <rPh sb="1" eb="4">
      <t>カンキリョウ</t>
    </rPh>
    <phoneticPr fontId="12"/>
  </si>
  <si>
    <t>他人からの供給を受けた場合は、＜1＞</t>
    <rPh sb="0" eb="2">
      <t>タニン</t>
    </rPh>
    <rPh sb="5" eb="7">
      <t>キョウキュウ</t>
    </rPh>
    <rPh sb="8" eb="9">
      <t>ウ</t>
    </rPh>
    <rPh sb="11" eb="13">
      <t>バアイ</t>
    </rPh>
    <phoneticPr fontId="2"/>
  </si>
  <si>
    <t>温水・冷水［MJ］：</t>
    <rPh sb="0" eb="2">
      <t>オンスイ</t>
    </rPh>
    <rPh sb="3" eb="5">
      <t>レイスイ</t>
    </rPh>
    <phoneticPr fontId="12"/>
  </si>
  <si>
    <t>産業用蒸気［MJ］：</t>
    <rPh sb="0" eb="3">
      <t>サンギョウヨウ</t>
    </rPh>
    <rPh sb="3" eb="5">
      <t>ジョウキ</t>
    </rPh>
    <phoneticPr fontId="15"/>
  </si>
  <si>
    <t>産業用以外の蒸気［MJ］：</t>
    <rPh sb="0" eb="3">
      <t>サンギョウヨウ</t>
    </rPh>
    <rPh sb="3" eb="5">
      <t>イガイ</t>
    </rPh>
    <rPh sb="6" eb="8">
      <t>ジョウキ</t>
    </rPh>
    <phoneticPr fontId="15"/>
  </si>
  <si>
    <t>補器（排気）</t>
    <rPh sb="0" eb="2">
      <t>ホキ</t>
    </rPh>
    <rPh sb="3" eb="5">
      <t>ハイキ</t>
    </rPh>
    <phoneticPr fontId="2"/>
  </si>
  <si>
    <t>補器（給気）</t>
    <rPh sb="0" eb="2">
      <t>ホキ</t>
    </rPh>
    <rPh sb="3" eb="5">
      <t>キュウキ</t>
    </rPh>
    <phoneticPr fontId="2"/>
  </si>
  <si>
    <r>
      <t>６．熱交換型換気設備の導入は、＜</t>
    </r>
    <r>
      <rPr>
        <sz val="12"/>
        <color rgb="FFFF0000"/>
        <rFont val="メイリオ"/>
        <family val="3"/>
        <charset val="128"/>
      </rPr>
      <t>工場・倉庫</t>
    </r>
    <r>
      <rPr>
        <sz val="12"/>
        <rFont val="メイリオ"/>
        <family val="3"/>
        <charset val="128"/>
      </rPr>
      <t>＞のみ対象となります。</t>
    </r>
    <rPh sb="2" eb="3">
      <t>ネツ</t>
    </rPh>
    <rPh sb="3" eb="5">
      <t>コウカン</t>
    </rPh>
    <rPh sb="5" eb="6">
      <t>カタ</t>
    </rPh>
    <rPh sb="6" eb="8">
      <t>カンキ</t>
    </rPh>
    <rPh sb="8" eb="10">
      <t>セツビ</t>
    </rPh>
    <rPh sb="11" eb="13">
      <t>ドウニュウ</t>
    </rPh>
    <rPh sb="16" eb="18">
      <t>コウジョウ</t>
    </rPh>
    <rPh sb="19" eb="21">
      <t>ソウコ</t>
    </rPh>
    <rPh sb="24" eb="26">
      <t>タイショウ</t>
    </rPh>
    <phoneticPr fontId="2"/>
  </si>
  <si>
    <t>　　なお、補器の換気量は、導入設備の換気量として加算されません。</t>
    <rPh sb="5" eb="7">
      <t>ホキ</t>
    </rPh>
    <rPh sb="8" eb="11">
      <t>カンキリョウ</t>
    </rPh>
    <rPh sb="13" eb="15">
      <t>ドウニュウ</t>
    </rPh>
    <rPh sb="15" eb="17">
      <t>セツビ</t>
    </rPh>
    <rPh sb="18" eb="21">
      <t>カンキリョウ</t>
    </rPh>
    <rPh sb="24" eb="26">
      <t>カサン</t>
    </rPh>
    <phoneticPr fontId="2"/>
  </si>
  <si>
    <r>
      <t>更新する室内に設置された既設空調設備の室外機について入力してください。</t>
    </r>
    <r>
      <rPr>
        <sz val="14"/>
        <color rgb="FFFF0000"/>
        <rFont val="メイリオ"/>
        <family val="3"/>
        <charset val="128"/>
      </rPr>
      <t>（機器型番ごとにまとめること）</t>
    </r>
    <rPh sb="0" eb="2">
      <t>コウシン</t>
    </rPh>
    <rPh sb="4" eb="5">
      <t>シツ</t>
    </rPh>
    <rPh sb="5" eb="6">
      <t>ナイ</t>
    </rPh>
    <rPh sb="7" eb="9">
      <t>セッチ</t>
    </rPh>
    <rPh sb="12" eb="14">
      <t>キセツ</t>
    </rPh>
    <rPh sb="14" eb="16">
      <t>クウチョウ</t>
    </rPh>
    <rPh sb="16" eb="18">
      <t>セツビ</t>
    </rPh>
    <rPh sb="19" eb="22">
      <t>シツガイキ</t>
    </rPh>
    <phoneticPr fontId="2"/>
  </si>
  <si>
    <r>
      <t>更新後の室内に設置される更新及び既設空調設備の室外機について入力してください。</t>
    </r>
    <r>
      <rPr>
        <sz val="14"/>
        <color rgb="FFFF0000"/>
        <rFont val="メイリオ"/>
        <family val="3"/>
        <charset val="128"/>
      </rPr>
      <t>（機器型番ごとにまとめること）</t>
    </r>
    <rPh sb="0" eb="2">
      <t>コウシン</t>
    </rPh>
    <rPh sb="2" eb="3">
      <t>ゴ</t>
    </rPh>
    <rPh sb="4" eb="5">
      <t>シツ</t>
    </rPh>
    <rPh sb="5" eb="6">
      <t>ナイ</t>
    </rPh>
    <rPh sb="7" eb="9">
      <t>セッチ</t>
    </rPh>
    <rPh sb="12" eb="14">
      <t>コウシン</t>
    </rPh>
    <rPh sb="14" eb="15">
      <t>オヨ</t>
    </rPh>
    <rPh sb="16" eb="18">
      <t>キセツ</t>
    </rPh>
    <rPh sb="18" eb="20">
      <t>クウチョウ</t>
    </rPh>
    <rPh sb="20" eb="22">
      <t>セツビ</t>
    </rPh>
    <rPh sb="23" eb="26">
      <t>シツガイキ</t>
    </rPh>
    <phoneticPr fontId="2"/>
  </si>
  <si>
    <r>
      <t>　　なお、本事業の対象範囲に設置された継続使用する設備及び</t>
    </r>
    <r>
      <rPr>
        <sz val="12"/>
        <color rgb="FFFF0000"/>
        <rFont val="メイリオ"/>
        <family val="3"/>
        <charset val="128"/>
      </rPr>
      <t>廃棄設備</t>
    </r>
    <r>
      <rPr>
        <sz val="12"/>
        <rFont val="メイリオ"/>
        <family val="3"/>
        <charset val="128"/>
      </rPr>
      <t>についても必ず記入してください。</t>
    </r>
    <rPh sb="5" eb="8">
      <t>ホンジギョウ</t>
    </rPh>
    <rPh sb="9" eb="11">
      <t>タイショウ</t>
    </rPh>
    <rPh sb="11" eb="13">
      <t>ハンイ</t>
    </rPh>
    <rPh sb="14" eb="16">
      <t>セッチ</t>
    </rPh>
    <rPh sb="19" eb="21">
      <t>ケイゾク</t>
    </rPh>
    <rPh sb="21" eb="23">
      <t>シヨウ</t>
    </rPh>
    <rPh sb="25" eb="27">
      <t>セツビ</t>
    </rPh>
    <rPh sb="27" eb="28">
      <t>オヨ</t>
    </rPh>
    <rPh sb="29" eb="31">
      <t>ハイキ</t>
    </rPh>
    <rPh sb="31" eb="33">
      <t>セツビ</t>
    </rPh>
    <rPh sb="38" eb="39">
      <t>カナラ</t>
    </rPh>
    <rPh sb="40" eb="42">
      <t>キニュウ</t>
    </rPh>
    <phoneticPr fontId="2"/>
  </si>
  <si>
    <t>能力［kW］</t>
    <rPh sb="0" eb="2">
      <t>ノウリョク</t>
    </rPh>
    <phoneticPr fontId="2"/>
  </si>
  <si>
    <t>電気</t>
    <rPh sb="0" eb="2">
      <t>デンキ</t>
    </rPh>
    <phoneticPr fontId="2"/>
  </si>
  <si>
    <t>●その他のエネルギー</t>
    <phoneticPr fontId="2"/>
  </si>
  <si>
    <t>※複数の契約が有る場合は、＜●その他のエネルギー＞欄に記入してください。</t>
    <rPh sb="1" eb="3">
      <t>フクスウ</t>
    </rPh>
    <rPh sb="4" eb="6">
      <t>ケイヤク</t>
    </rPh>
    <rPh sb="7" eb="8">
      <t>ア</t>
    </rPh>
    <rPh sb="9" eb="11">
      <t>バアイ</t>
    </rPh>
    <rPh sb="17" eb="18">
      <t>タ</t>
    </rPh>
    <rPh sb="25" eb="26">
      <t>ラン</t>
    </rPh>
    <rPh sb="27" eb="29">
      <t>キニュウ</t>
    </rPh>
    <phoneticPr fontId="2"/>
  </si>
  <si>
    <t>●その他のエネルギー１　使用量・料金</t>
    <rPh sb="3" eb="4">
      <t>タ</t>
    </rPh>
    <rPh sb="12" eb="15">
      <t>シヨウリョウ</t>
    </rPh>
    <rPh sb="16" eb="18">
      <t>リョウキン</t>
    </rPh>
    <phoneticPr fontId="2"/>
  </si>
  <si>
    <t>●その他のエネルギー２　使用量・料金</t>
    <rPh sb="3" eb="4">
      <t>タ</t>
    </rPh>
    <rPh sb="12" eb="15">
      <t>シヨウリョウ</t>
    </rPh>
    <rPh sb="16" eb="18">
      <t>リョウキン</t>
    </rPh>
    <phoneticPr fontId="2"/>
  </si>
  <si>
    <t>●その他のエネルギー３　使用量・料金</t>
    <rPh sb="3" eb="4">
      <t>タ</t>
    </rPh>
    <rPh sb="12" eb="15">
      <t>シヨウリョウ</t>
    </rPh>
    <rPh sb="16" eb="18">
      <t>リョウキン</t>
    </rPh>
    <phoneticPr fontId="2"/>
  </si>
  <si>
    <t>●その他のエネルギー４　使用量・料金</t>
    <rPh sb="3" eb="4">
      <t>タ</t>
    </rPh>
    <rPh sb="12" eb="15">
      <t>シヨウリョウ</t>
    </rPh>
    <rPh sb="16" eb="18">
      <t>リョウキン</t>
    </rPh>
    <phoneticPr fontId="2"/>
  </si>
  <si>
    <t>●都市ガス又はLPG　使用量・ガス料金</t>
    <rPh sb="1" eb="3">
      <t>トシ</t>
    </rPh>
    <rPh sb="5" eb="6">
      <t>マタ</t>
    </rPh>
    <rPh sb="11" eb="14">
      <t>シヨウリョウ</t>
    </rPh>
    <rPh sb="17" eb="19">
      <t>リョウキン</t>
    </rPh>
    <phoneticPr fontId="2"/>
  </si>
  <si>
    <t>※都市ガスとLPG両方の使用が有る場合は、都市ガスを＜●その他のエネルギー＞欄に記入してください。</t>
    <rPh sb="1" eb="3">
      <t>トシ</t>
    </rPh>
    <rPh sb="9" eb="11">
      <t>リョウホウ</t>
    </rPh>
    <rPh sb="12" eb="14">
      <t>シヨウ</t>
    </rPh>
    <rPh sb="15" eb="16">
      <t>ア</t>
    </rPh>
    <rPh sb="17" eb="19">
      <t>バアイ</t>
    </rPh>
    <rPh sb="21" eb="23">
      <t>トシ</t>
    </rPh>
    <rPh sb="30" eb="31">
      <t>タ</t>
    </rPh>
    <rPh sb="38" eb="39">
      <t>ラン</t>
    </rPh>
    <rPh sb="40" eb="42">
      <t>キニュウ</t>
    </rPh>
    <phoneticPr fontId="2"/>
  </si>
  <si>
    <r>
      <t>２．</t>
    </r>
    <r>
      <rPr>
        <sz val="10"/>
        <color rgb="FFFF0000"/>
        <rFont val="メイリオ"/>
        <family val="3"/>
        <charset val="128"/>
      </rPr>
      <t>年度途中から営業開始等の場合</t>
    </r>
    <r>
      <rPr>
        <sz val="10"/>
        <rFont val="メイリオ"/>
        <family val="3"/>
        <charset val="128"/>
      </rPr>
      <t>は使用年度を選択の上、直近までの実績値を入力してください。</t>
    </r>
    <rPh sb="2" eb="4">
      <t>ネンド</t>
    </rPh>
    <rPh sb="4" eb="6">
      <t>トチュウ</t>
    </rPh>
    <rPh sb="8" eb="10">
      <t>エイギョウ</t>
    </rPh>
    <rPh sb="10" eb="12">
      <t>カイシ</t>
    </rPh>
    <rPh sb="12" eb="13">
      <t>トウ</t>
    </rPh>
    <rPh sb="14" eb="16">
      <t>バアイ</t>
    </rPh>
    <rPh sb="17" eb="19">
      <t>シヨウ</t>
    </rPh>
    <rPh sb="19" eb="21">
      <t>ネンド</t>
    </rPh>
    <rPh sb="22" eb="24">
      <t>センタク</t>
    </rPh>
    <rPh sb="25" eb="26">
      <t>ウエ</t>
    </rPh>
    <rPh sb="27" eb="29">
      <t>チョッキン</t>
    </rPh>
    <rPh sb="32" eb="34">
      <t>ジッセキ</t>
    </rPh>
    <rPh sb="34" eb="35">
      <t>チ</t>
    </rPh>
    <rPh sb="36" eb="38">
      <t xml:space="preserve">ニュウリョクシテクダサイ </t>
    </rPh>
    <phoneticPr fontId="2"/>
  </si>
  <si>
    <t>◆契約内容を右記に記載：</t>
    <rPh sb="1" eb="3">
      <t>ケイヤク</t>
    </rPh>
    <rPh sb="3" eb="5">
      <t>ナイヨウ</t>
    </rPh>
    <rPh sb="6" eb="8">
      <t>ウキ</t>
    </rPh>
    <rPh sb="9" eb="11">
      <t>キサイ</t>
    </rPh>
    <phoneticPr fontId="2"/>
  </si>
  <si>
    <t>給気・排気</t>
    <rPh sb="0" eb="1">
      <t>キュウ</t>
    </rPh>
    <rPh sb="1" eb="2">
      <t>キ</t>
    </rPh>
    <rPh sb="3" eb="5">
      <t>ハイキ</t>
    </rPh>
    <phoneticPr fontId="2"/>
  </si>
  <si>
    <r>
      <t>３．ダクト内などに設置するブースターファン等は</t>
    </r>
    <r>
      <rPr>
        <sz val="12"/>
        <color rgb="FFFF0000"/>
        <rFont val="メイリオ"/>
        <family val="3"/>
        <charset val="128"/>
      </rPr>
      <t>換気の方法</t>
    </r>
    <r>
      <rPr>
        <sz val="12"/>
        <rFont val="メイリオ"/>
        <family val="3"/>
        <charset val="128"/>
      </rPr>
      <t>として、＜</t>
    </r>
    <r>
      <rPr>
        <sz val="12"/>
        <color rgb="FFFF0000"/>
        <rFont val="メイリオ"/>
        <family val="3"/>
        <charset val="128"/>
      </rPr>
      <t>補器（排気）</t>
    </r>
    <r>
      <rPr>
        <sz val="12"/>
        <rFont val="メイリオ"/>
        <family val="3"/>
        <charset val="128"/>
      </rPr>
      <t>又は</t>
    </r>
    <r>
      <rPr>
        <sz val="12"/>
        <color rgb="FFFF0000"/>
        <rFont val="メイリオ"/>
        <family val="3"/>
        <charset val="128"/>
      </rPr>
      <t>補器（給気）</t>
    </r>
    <r>
      <rPr>
        <sz val="12"/>
        <rFont val="メイリオ"/>
        <family val="3"/>
        <charset val="128"/>
      </rPr>
      <t>＞をプルダウンメニューより選択してください。</t>
    </r>
    <rPh sb="5" eb="6">
      <t>ナイ</t>
    </rPh>
    <rPh sb="9" eb="11">
      <t>セッチ</t>
    </rPh>
    <rPh sb="60" eb="62">
      <t>センタク</t>
    </rPh>
    <phoneticPr fontId="2"/>
  </si>
  <si>
    <r>
      <t>４．記入する設備能力等を確認ができる</t>
    </r>
    <r>
      <rPr>
        <sz val="12"/>
        <color rgb="FFFF0000"/>
        <rFont val="メイリオ"/>
        <family val="3"/>
        <charset val="128"/>
      </rPr>
      <t>仕様書などの参照箇所にマーカーなどの印</t>
    </r>
    <r>
      <rPr>
        <sz val="12"/>
        <rFont val="メイリオ"/>
        <family val="3"/>
        <charset val="128"/>
      </rPr>
      <t>を付けたものを提出してください。</t>
    </r>
    <rPh sb="2" eb="4">
      <t>キニュウ</t>
    </rPh>
    <rPh sb="6" eb="8">
      <t>セツビ</t>
    </rPh>
    <rPh sb="8" eb="10">
      <t>ノウリョク</t>
    </rPh>
    <rPh sb="10" eb="11">
      <t>トウ</t>
    </rPh>
    <rPh sb="12" eb="14">
      <t>カクニン</t>
    </rPh>
    <rPh sb="18" eb="21">
      <t>シヨウショ</t>
    </rPh>
    <rPh sb="24" eb="26">
      <t>サンショウ</t>
    </rPh>
    <rPh sb="26" eb="28">
      <t>カショ</t>
    </rPh>
    <rPh sb="36" eb="37">
      <t>シルシ</t>
    </rPh>
    <rPh sb="38" eb="39">
      <t>ツ</t>
    </rPh>
    <rPh sb="44" eb="46">
      <t>テイシュツ</t>
    </rPh>
    <phoneticPr fontId="2"/>
  </si>
  <si>
    <t>５．換気・空調一体型設備は、「２．換気設備の新旧仕様入力表」に記入してください。</t>
    <rPh sb="2" eb="4">
      <t>カンキ</t>
    </rPh>
    <rPh sb="5" eb="7">
      <t>クウチョウ</t>
    </rPh>
    <rPh sb="7" eb="9">
      <t>イッタイ</t>
    </rPh>
    <rPh sb="9" eb="10">
      <t>カタ</t>
    </rPh>
    <rPh sb="10" eb="12">
      <t>セツビ</t>
    </rPh>
    <rPh sb="17" eb="19">
      <t>カンキ</t>
    </rPh>
    <rPh sb="19" eb="21">
      <t>セツビ</t>
    </rPh>
    <rPh sb="22" eb="24">
      <t>シンキュウ</t>
    </rPh>
    <rPh sb="24" eb="26">
      <t>シヨウ</t>
    </rPh>
    <rPh sb="26" eb="28">
      <t>ニュウリョク</t>
    </rPh>
    <rPh sb="28" eb="29">
      <t>ヒョウ</t>
    </rPh>
    <rPh sb="31" eb="33">
      <t>キニュウ</t>
    </rPh>
    <phoneticPr fontId="2"/>
  </si>
  <si>
    <r>
      <t>６．換気設備の換気量及び消費電力は、カタログ等に記載された</t>
    </r>
    <r>
      <rPr>
        <sz val="12"/>
        <color rgb="FFFF0000"/>
        <rFont val="メイリオ"/>
        <family val="3"/>
        <charset val="128"/>
      </rPr>
      <t>常時使用できる</t>
    </r>
    <r>
      <rPr>
        <sz val="12"/>
        <rFont val="メイリオ"/>
        <family val="3"/>
        <charset val="128"/>
      </rPr>
      <t>＜最大風量時</t>
    </r>
    <r>
      <rPr>
        <sz val="12"/>
        <color rgb="FFFF0000"/>
        <rFont val="メイリオ"/>
        <family val="3"/>
        <charset val="128"/>
      </rPr>
      <t>（強）</t>
    </r>
    <r>
      <rPr>
        <sz val="12"/>
        <rFont val="メイリオ"/>
        <family val="3"/>
        <charset val="128"/>
      </rPr>
      <t>の値＞を記入してください。</t>
    </r>
    <rPh sb="2" eb="4">
      <t>カンキ</t>
    </rPh>
    <rPh sb="4" eb="6">
      <t>セツビ</t>
    </rPh>
    <rPh sb="7" eb="9">
      <t>カンキ</t>
    </rPh>
    <rPh sb="9" eb="10">
      <t>リョウ</t>
    </rPh>
    <rPh sb="10" eb="11">
      <t>オヨ</t>
    </rPh>
    <rPh sb="12" eb="14">
      <t>ショウヒ</t>
    </rPh>
    <rPh sb="14" eb="16">
      <t>デンリョク</t>
    </rPh>
    <rPh sb="22" eb="23">
      <t>トウ</t>
    </rPh>
    <rPh sb="24" eb="26">
      <t>キサイ</t>
    </rPh>
    <rPh sb="29" eb="31">
      <t>ジョウジ</t>
    </rPh>
    <rPh sb="31" eb="33">
      <t>シヨウ</t>
    </rPh>
    <rPh sb="37" eb="39">
      <t>サイダイ</t>
    </rPh>
    <rPh sb="39" eb="41">
      <t>フウリョウ</t>
    </rPh>
    <rPh sb="41" eb="42">
      <t>ジ</t>
    </rPh>
    <rPh sb="43" eb="44">
      <t>キョウ</t>
    </rPh>
    <rPh sb="46" eb="47">
      <t>アタイ</t>
    </rPh>
    <rPh sb="49" eb="51">
      <t>キニュウ</t>
    </rPh>
    <phoneticPr fontId="2"/>
  </si>
  <si>
    <t>７．空調設備又は換気・空調一体型設備を記入する場合は、次の①～③の各項目から該当する要件を「設備要件」欄に記入してください。</t>
    <rPh sb="2" eb="4">
      <t>クウチョウ</t>
    </rPh>
    <rPh sb="4" eb="6">
      <t>セツビ</t>
    </rPh>
    <rPh sb="6" eb="7">
      <t>マタ</t>
    </rPh>
    <rPh sb="8" eb="10">
      <t>カンキ</t>
    </rPh>
    <rPh sb="11" eb="13">
      <t>クウチョウ</t>
    </rPh>
    <rPh sb="13" eb="16">
      <t>イッタイガタ</t>
    </rPh>
    <rPh sb="16" eb="18">
      <t>セツビ</t>
    </rPh>
    <rPh sb="19" eb="21">
      <t>キニュウ</t>
    </rPh>
    <rPh sb="23" eb="25">
      <t>バアイ</t>
    </rPh>
    <rPh sb="53" eb="55">
      <t>キニュウ</t>
    </rPh>
    <phoneticPr fontId="2"/>
  </si>
  <si>
    <t>８．中央熱源式空調機を更新する場合は、公社までご相談ください。</t>
    <rPh sb="2" eb="4">
      <t>チュウオウ</t>
    </rPh>
    <rPh sb="4" eb="6">
      <t>ネツゲン</t>
    </rPh>
    <rPh sb="6" eb="7">
      <t>シキ</t>
    </rPh>
    <rPh sb="7" eb="9">
      <t>クウチョウ</t>
    </rPh>
    <rPh sb="9" eb="10">
      <t>キ</t>
    </rPh>
    <rPh sb="11" eb="13">
      <t>コウシン</t>
    </rPh>
    <rPh sb="15" eb="17">
      <t>バアイ</t>
    </rPh>
    <rPh sb="19" eb="21">
      <t>コウシャ</t>
    </rPh>
    <rPh sb="24" eb="26">
      <t>ソウダン</t>
    </rPh>
    <phoneticPr fontId="2"/>
  </si>
  <si>
    <r>
      <t>　　なお、給気と排気の</t>
    </r>
    <r>
      <rPr>
        <sz val="12"/>
        <color rgb="FFFF0000"/>
        <rFont val="メイリオ"/>
        <family val="3"/>
        <charset val="128"/>
      </rPr>
      <t>換気量が相違する設備</t>
    </r>
    <r>
      <rPr>
        <sz val="12"/>
        <rFont val="メイリオ"/>
        <family val="3"/>
        <charset val="128"/>
      </rPr>
      <t>は、入力方法を公社にお問い合わせください。</t>
    </r>
    <rPh sb="5" eb="7">
      <t>キュウキ</t>
    </rPh>
    <rPh sb="8" eb="10">
      <t>ハイキ</t>
    </rPh>
    <rPh sb="11" eb="14">
      <t>カンキリョウ</t>
    </rPh>
    <rPh sb="15" eb="17">
      <t>ソウイ</t>
    </rPh>
    <rPh sb="19" eb="21">
      <t>セツビ</t>
    </rPh>
    <rPh sb="23" eb="25">
      <t>ニュウリョク</t>
    </rPh>
    <rPh sb="25" eb="27">
      <t>ホウホウ</t>
    </rPh>
    <rPh sb="28" eb="30">
      <t>コウシャ</t>
    </rPh>
    <rPh sb="32" eb="33">
      <t>ト</t>
    </rPh>
    <rPh sb="34" eb="35">
      <t>ア</t>
    </rPh>
    <phoneticPr fontId="2"/>
  </si>
  <si>
    <t>＜給気・排気＞を１の筐体で行う設備の各数値は、排気、給気の両方に加算されます。なお、補器の数値は加算されません。</t>
    <rPh sb="1" eb="3">
      <t>キュウキ</t>
    </rPh>
    <rPh sb="4" eb="6">
      <t>ハイキ</t>
    </rPh>
    <rPh sb="10" eb="12">
      <t>キョウタイ</t>
    </rPh>
    <rPh sb="13" eb="14">
      <t>オコナ</t>
    </rPh>
    <rPh sb="15" eb="17">
      <t>セツビ</t>
    </rPh>
    <rPh sb="18" eb="19">
      <t>カク</t>
    </rPh>
    <rPh sb="19" eb="21">
      <t>スウチ</t>
    </rPh>
    <rPh sb="23" eb="25">
      <t>ハイキ</t>
    </rPh>
    <rPh sb="26" eb="28">
      <t>キュウキ</t>
    </rPh>
    <rPh sb="29" eb="31">
      <t>リョウホウ</t>
    </rPh>
    <rPh sb="32" eb="34">
      <t>カサン</t>
    </rPh>
    <rPh sb="42" eb="44">
      <t>ホキ</t>
    </rPh>
    <rPh sb="45" eb="47">
      <t>スウチ</t>
    </rPh>
    <rPh sb="48" eb="50">
      <t>カサン</t>
    </rPh>
    <phoneticPr fontId="2"/>
  </si>
  <si>
    <t>換気量が既存設備より減少する場合、セルが＜黄色＞、文字が＜朱色＞になります。</t>
    <rPh sb="0" eb="3">
      <t>カンキリョウ</t>
    </rPh>
    <rPh sb="4" eb="6">
      <t>キゾン</t>
    </rPh>
    <rPh sb="6" eb="8">
      <t>セツビ</t>
    </rPh>
    <rPh sb="10" eb="12">
      <t>ゲンショウ</t>
    </rPh>
    <rPh sb="14" eb="16">
      <t>バアイ</t>
    </rPh>
    <rPh sb="21" eb="23">
      <t>キイロ</t>
    </rPh>
    <rPh sb="25" eb="27">
      <t>モジ</t>
    </rPh>
    <rPh sb="29" eb="31">
      <t>シュイロ</t>
    </rPh>
    <phoneticPr fontId="2"/>
  </si>
  <si>
    <t>はい</t>
  </si>
  <si>
    <t>年度を選択</t>
  </si>
  <si>
    <t>機械換気（換気扇等）</t>
  </si>
  <si>
    <t>室①</t>
    <rPh sb="0" eb="1">
      <t>シツ</t>
    </rPh>
    <phoneticPr fontId="12"/>
  </si>
  <si>
    <t>室③</t>
    <rPh sb="0" eb="1">
      <t>シツ</t>
    </rPh>
    <phoneticPr fontId="12"/>
  </si>
  <si>
    <t>AAA-500a</t>
  </si>
  <si>
    <t>BBB-850b</t>
  </si>
  <si>
    <t>○○○○</t>
  </si>
  <si>
    <t>B1</t>
  </si>
  <si>
    <t>BBB-600a</t>
  </si>
  <si>
    <t>DD-30dd</t>
  </si>
  <si>
    <t>EE-30ee</t>
  </si>
  <si>
    <t>●●●</t>
  </si>
  <si>
    <t>kW</t>
  </si>
  <si>
    <t>＜給気・排気＞の台数は、排気設備に加算されます。なお、補器の台数は加算されません。</t>
    <rPh sb="1" eb="3">
      <t>キュウキ</t>
    </rPh>
    <rPh sb="4" eb="6">
      <t>ハイキ</t>
    </rPh>
    <rPh sb="8" eb="10">
      <t>ダイスウ</t>
    </rPh>
    <rPh sb="12" eb="14">
      <t>ハイキ</t>
    </rPh>
    <rPh sb="14" eb="16">
      <t>セツビ</t>
    </rPh>
    <rPh sb="17" eb="19">
      <t>カサン</t>
    </rPh>
    <rPh sb="27" eb="29">
      <t>ホキ</t>
    </rPh>
    <rPh sb="30" eb="32">
      <t>ダイスウ</t>
    </rPh>
    <rPh sb="33" eb="35">
      <t>カサン</t>
    </rPh>
    <phoneticPr fontId="2"/>
  </si>
  <si>
    <t>設置台数（給排気は、排気に加算）</t>
    <rPh sb="0" eb="2">
      <t>セッチ</t>
    </rPh>
    <rPh sb="2" eb="4">
      <t>ダイスウ</t>
    </rPh>
    <rPh sb="5" eb="8">
      <t>キュウハイキ</t>
    </rPh>
    <rPh sb="10" eb="12">
      <t>ハイキ</t>
    </rPh>
    <rPh sb="13" eb="15">
      <t>カサン</t>
    </rPh>
    <phoneticPr fontId="12"/>
  </si>
  <si>
    <t>A1、A3、A5</t>
    <phoneticPr fontId="12"/>
  </si>
  <si>
    <t>室②</t>
    <rPh sb="0" eb="1">
      <t>シツ</t>
    </rPh>
    <phoneticPr fontId="12"/>
  </si>
  <si>
    <t>室①、②</t>
    <rPh sb="0" eb="1">
      <t>シツ</t>
    </rPh>
    <phoneticPr fontId="12"/>
  </si>
  <si>
    <t>BBB-852b</t>
  </si>
  <si>
    <t>CCC-851b</t>
    <phoneticPr fontId="12"/>
  </si>
  <si>
    <t>A2</t>
    <phoneticPr fontId="12"/>
  </si>
  <si>
    <t>A4、A6</t>
    <phoneticPr fontId="12"/>
  </si>
  <si>
    <t>A7、A8</t>
    <phoneticPr fontId="12"/>
  </si>
  <si>
    <t>室①、②、④</t>
    <rPh sb="0" eb="1">
      <t>シツ</t>
    </rPh>
    <phoneticPr fontId="12"/>
  </si>
  <si>
    <t>室①、②</t>
    <rPh sb="0" eb="1">
      <t>シツ</t>
    </rPh>
    <phoneticPr fontId="12"/>
  </si>
  <si>
    <t>B3</t>
    <phoneticPr fontId="12"/>
  </si>
  <si>
    <t>B5</t>
    <phoneticPr fontId="12"/>
  </si>
  <si>
    <t>室④</t>
    <phoneticPr fontId="12"/>
  </si>
  <si>
    <t>室②</t>
    <phoneticPr fontId="12"/>
  </si>
  <si>
    <t>B2</t>
    <phoneticPr fontId="12"/>
  </si>
  <si>
    <t>室③</t>
    <phoneticPr fontId="12"/>
  </si>
  <si>
    <t>B4、B6</t>
    <phoneticPr fontId="12"/>
  </si>
  <si>
    <t>BBB-520a</t>
    <phoneticPr fontId="12"/>
  </si>
  <si>
    <t>ABC-550c</t>
    <phoneticPr fontId="12"/>
  </si>
  <si>
    <t>室①、室②</t>
    <rPh sb="0" eb="1">
      <t>シツ</t>
    </rPh>
    <rPh sb="3" eb="4">
      <t>シツ</t>
    </rPh>
    <phoneticPr fontId="12"/>
  </si>
  <si>
    <t>C1</t>
    <phoneticPr fontId="12"/>
  </si>
  <si>
    <t>〇▽□</t>
    <phoneticPr fontId="12"/>
  </si>
  <si>
    <t>D1、D2</t>
    <phoneticPr fontId="12"/>
  </si>
  <si>
    <r>
      <t>AAAA160BBB（</t>
    </r>
    <r>
      <rPr>
        <sz val="12"/>
        <color rgb="FFFF0000"/>
        <rFont val="メイリオ"/>
        <family val="3"/>
        <charset val="128"/>
      </rPr>
      <t>ABCD160EF</t>
    </r>
    <r>
      <rPr>
        <sz val="12"/>
        <color theme="1"/>
        <rFont val="メイリオ"/>
        <family val="2"/>
        <charset val="128"/>
      </rPr>
      <t>）</t>
    </r>
    <phoneticPr fontId="12"/>
  </si>
  <si>
    <r>
      <t>CCCC80DDD（</t>
    </r>
    <r>
      <rPr>
        <sz val="12"/>
        <color rgb="FFFF0000"/>
        <rFont val="メイリオ"/>
        <family val="3"/>
        <charset val="128"/>
      </rPr>
      <t>GHIJ80KL</t>
    </r>
    <r>
      <rPr>
        <sz val="12"/>
        <color theme="1"/>
        <rFont val="メイリオ"/>
        <family val="2"/>
        <charset val="128"/>
      </rPr>
      <t>）</t>
    </r>
    <phoneticPr fontId="12"/>
  </si>
  <si>
    <t>3/8～4/7</t>
  </si>
  <si>
    <t>4/8～5/7</t>
  </si>
  <si>
    <t>5/8～6/7</t>
  </si>
  <si>
    <t>6/8～7/7</t>
  </si>
  <si>
    <t>7/8～8/7</t>
  </si>
  <si>
    <t>8/8～9/7</t>
  </si>
  <si>
    <t>9/8～10/7</t>
  </si>
  <si>
    <t>10/8～11/7</t>
  </si>
  <si>
    <t>11/8～12/7</t>
  </si>
  <si>
    <t>12/8～1/7</t>
  </si>
  <si>
    <t>1/8～2/7</t>
  </si>
  <si>
    <t>2/8～3/7</t>
  </si>
  <si>
    <t>3/11～4/10</t>
  </si>
  <si>
    <t>4/11～5/13</t>
  </si>
  <si>
    <t>5/14～6/10</t>
  </si>
  <si>
    <t>6/11～7/9</t>
  </si>
  <si>
    <t>7/10～8/11</t>
  </si>
  <si>
    <t>8/12～9/9</t>
  </si>
  <si>
    <t>9/10～10/12</t>
  </si>
  <si>
    <t>10/13～11/10</t>
  </si>
  <si>
    <t>11/11～12/10</t>
  </si>
  <si>
    <t>12/11～1/13</t>
  </si>
  <si>
    <t>1/14～2/9</t>
  </si>
  <si>
    <t>2/10～3/10</t>
  </si>
  <si>
    <t>2021年度</t>
  </si>
  <si>
    <t>4月2日～5月1日</t>
    <rPh sb="1" eb="2">
      <t>ガツ</t>
    </rPh>
    <rPh sb="3" eb="4">
      <t>ニチ</t>
    </rPh>
    <rPh sb="6" eb="7">
      <t>ガツ</t>
    </rPh>
    <rPh sb="8" eb="9">
      <t>ニチ</t>
    </rPh>
    <phoneticPr fontId="2"/>
  </si>
  <si>
    <t>5月2日～6月1日</t>
    <rPh sb="1" eb="2">
      <t>ガツ</t>
    </rPh>
    <rPh sb="3" eb="4">
      <t>ニチ</t>
    </rPh>
    <rPh sb="6" eb="7">
      <t>ガツ</t>
    </rPh>
    <rPh sb="8" eb="9">
      <t>ニチ</t>
    </rPh>
    <phoneticPr fontId="2"/>
  </si>
  <si>
    <t>6月2日～7月1日</t>
    <rPh sb="1" eb="2">
      <t>ガツ</t>
    </rPh>
    <rPh sb="3" eb="4">
      <t>ニチ</t>
    </rPh>
    <rPh sb="6" eb="7">
      <t>ガツ</t>
    </rPh>
    <rPh sb="8" eb="9">
      <t>ニチ</t>
    </rPh>
    <phoneticPr fontId="2"/>
  </si>
  <si>
    <t>7月2日～8月1日</t>
    <rPh sb="1" eb="2">
      <t>ガツ</t>
    </rPh>
    <rPh sb="3" eb="4">
      <t>ニチ</t>
    </rPh>
    <rPh sb="6" eb="7">
      <t>ガツ</t>
    </rPh>
    <rPh sb="8" eb="9">
      <t>ニチ</t>
    </rPh>
    <phoneticPr fontId="2"/>
  </si>
  <si>
    <t>8月2日～9月1日</t>
    <rPh sb="1" eb="2">
      <t>ガツ</t>
    </rPh>
    <rPh sb="3" eb="4">
      <t>ニチ</t>
    </rPh>
    <rPh sb="6" eb="7">
      <t>ガツ</t>
    </rPh>
    <rPh sb="8" eb="9">
      <t>ニチ</t>
    </rPh>
    <phoneticPr fontId="2"/>
  </si>
  <si>
    <t>9月2日～10月1日</t>
    <rPh sb="1" eb="2">
      <t>ガツ</t>
    </rPh>
    <rPh sb="3" eb="4">
      <t>ニチ</t>
    </rPh>
    <rPh sb="7" eb="8">
      <t>ガツ</t>
    </rPh>
    <rPh sb="9" eb="10">
      <t>ニチ</t>
    </rPh>
    <phoneticPr fontId="2"/>
  </si>
  <si>
    <t>10月2日～11月1日</t>
    <rPh sb="2" eb="3">
      <t>ガツ</t>
    </rPh>
    <rPh sb="4" eb="5">
      <t>ニチ</t>
    </rPh>
    <rPh sb="8" eb="9">
      <t>ガツ</t>
    </rPh>
    <rPh sb="10" eb="11">
      <t>ニチ</t>
    </rPh>
    <phoneticPr fontId="2"/>
  </si>
  <si>
    <t>11月2日～12月1日</t>
    <rPh sb="2" eb="3">
      <t>ガツ</t>
    </rPh>
    <rPh sb="4" eb="5">
      <t>ニチ</t>
    </rPh>
    <rPh sb="8" eb="9">
      <t>ガツ</t>
    </rPh>
    <rPh sb="10" eb="11">
      <t>ニチ</t>
    </rPh>
    <phoneticPr fontId="2"/>
  </si>
  <si>
    <t>12月2日～1月1日</t>
    <rPh sb="2" eb="3">
      <t>ガツ</t>
    </rPh>
    <rPh sb="4" eb="5">
      <t>ニチ</t>
    </rPh>
    <rPh sb="7" eb="8">
      <t>ガツ</t>
    </rPh>
    <rPh sb="9" eb="10">
      <t>ニチ</t>
    </rPh>
    <phoneticPr fontId="2"/>
  </si>
  <si>
    <t>1月2日～2月1日</t>
    <rPh sb="1" eb="2">
      <t>ガツ</t>
    </rPh>
    <rPh sb="3" eb="4">
      <t>ニチ</t>
    </rPh>
    <rPh sb="6" eb="7">
      <t>ガツ</t>
    </rPh>
    <rPh sb="8" eb="9">
      <t>ニチ</t>
    </rPh>
    <phoneticPr fontId="2"/>
  </si>
  <si>
    <t>2月2日～3月1日</t>
    <rPh sb="1" eb="2">
      <t>ガツ</t>
    </rPh>
    <rPh sb="3" eb="4">
      <t>ニチ</t>
    </rPh>
    <rPh sb="6" eb="7">
      <t>ガツ</t>
    </rPh>
    <rPh sb="8" eb="9">
      <t>ニチ</t>
    </rPh>
    <phoneticPr fontId="2"/>
  </si>
  <si>
    <t>3月2日～4月1日</t>
    <rPh sb="1" eb="2">
      <t>ガツ</t>
    </rPh>
    <rPh sb="3" eb="4">
      <t>ニチ</t>
    </rPh>
    <rPh sb="6" eb="7">
      <t>ガツ</t>
    </rPh>
    <rPh sb="8" eb="9">
      <t>ニチ</t>
    </rPh>
    <phoneticPr fontId="2"/>
  </si>
  <si>
    <t>4月8日～5月10日</t>
    <rPh sb="1" eb="2">
      <t>ガツ</t>
    </rPh>
    <rPh sb="3" eb="4">
      <t>ニチ</t>
    </rPh>
    <rPh sb="6" eb="7">
      <t>ガツ</t>
    </rPh>
    <rPh sb="9" eb="10">
      <t>ニチ</t>
    </rPh>
    <phoneticPr fontId="2"/>
  </si>
  <si>
    <t>5月11日～6月7日</t>
    <rPh sb="1" eb="2">
      <t>ガツ</t>
    </rPh>
    <rPh sb="4" eb="5">
      <t>ニチ</t>
    </rPh>
    <rPh sb="7" eb="8">
      <t>ガツ</t>
    </rPh>
    <rPh sb="9" eb="10">
      <t>ニチ</t>
    </rPh>
    <phoneticPr fontId="2"/>
  </si>
  <si>
    <t>6月8日～7月6日</t>
    <rPh sb="1" eb="2">
      <t>ガツ</t>
    </rPh>
    <rPh sb="3" eb="4">
      <t>ニチ</t>
    </rPh>
    <rPh sb="6" eb="7">
      <t>ガツ</t>
    </rPh>
    <rPh sb="8" eb="9">
      <t>ニチ</t>
    </rPh>
    <phoneticPr fontId="2"/>
  </si>
  <si>
    <t>7月7日～8月5日</t>
    <rPh sb="1" eb="2">
      <t>ガツ</t>
    </rPh>
    <rPh sb="3" eb="4">
      <t>ニチ</t>
    </rPh>
    <rPh sb="6" eb="7">
      <t>ガツ</t>
    </rPh>
    <rPh sb="8" eb="9">
      <t>ニチ</t>
    </rPh>
    <phoneticPr fontId="2"/>
  </si>
  <si>
    <t>8月6日～9月6日</t>
    <rPh sb="1" eb="2">
      <t>ガツ</t>
    </rPh>
    <rPh sb="3" eb="4">
      <t>ニチ</t>
    </rPh>
    <rPh sb="6" eb="7">
      <t>ガツ</t>
    </rPh>
    <rPh sb="8" eb="9">
      <t>ニチ</t>
    </rPh>
    <phoneticPr fontId="2"/>
  </si>
  <si>
    <t>9月7日～10月6日</t>
    <rPh sb="1" eb="2">
      <t>ガツ</t>
    </rPh>
    <rPh sb="3" eb="4">
      <t>ニチ</t>
    </rPh>
    <rPh sb="7" eb="8">
      <t>ガツ</t>
    </rPh>
    <rPh sb="9" eb="10">
      <t>ニチ</t>
    </rPh>
    <phoneticPr fontId="2"/>
  </si>
  <si>
    <t>10月7日～11月5日</t>
    <rPh sb="2" eb="3">
      <t>ガツ</t>
    </rPh>
    <rPh sb="4" eb="5">
      <t>ニチ</t>
    </rPh>
    <rPh sb="8" eb="9">
      <t>ガツ</t>
    </rPh>
    <rPh sb="10" eb="11">
      <t>ニチ</t>
    </rPh>
    <phoneticPr fontId="2"/>
  </si>
  <si>
    <t>11月6日～12月7日</t>
    <rPh sb="2" eb="3">
      <t>ガツ</t>
    </rPh>
    <rPh sb="4" eb="5">
      <t>ニチ</t>
    </rPh>
    <rPh sb="8" eb="9">
      <t>ガツ</t>
    </rPh>
    <rPh sb="10" eb="11">
      <t>ニチ</t>
    </rPh>
    <phoneticPr fontId="2"/>
  </si>
  <si>
    <t>12月8日～1月8日</t>
    <rPh sb="2" eb="3">
      <t>ガツ</t>
    </rPh>
    <rPh sb="4" eb="5">
      <t>ニチ</t>
    </rPh>
    <rPh sb="7" eb="8">
      <t>ガツ</t>
    </rPh>
    <rPh sb="9" eb="10">
      <t>ニチ</t>
    </rPh>
    <phoneticPr fontId="2"/>
  </si>
  <si>
    <t>1月9日～2月4日</t>
    <rPh sb="1" eb="2">
      <t>ガツ</t>
    </rPh>
    <rPh sb="3" eb="4">
      <t>ニチ</t>
    </rPh>
    <rPh sb="6" eb="7">
      <t>ガツ</t>
    </rPh>
    <rPh sb="8" eb="9">
      <t>ニチ</t>
    </rPh>
    <phoneticPr fontId="2"/>
  </si>
  <si>
    <t>2月5日～3月7日</t>
    <rPh sb="1" eb="2">
      <t>ガツ</t>
    </rPh>
    <rPh sb="3" eb="4">
      <t>ニチ</t>
    </rPh>
    <rPh sb="6" eb="7">
      <t>ガツ</t>
    </rPh>
    <rPh sb="8" eb="9">
      <t>ニチ</t>
    </rPh>
    <phoneticPr fontId="2"/>
  </si>
  <si>
    <t>3月8日～4月6日</t>
    <rPh sb="1" eb="2">
      <t>ガツ</t>
    </rPh>
    <rPh sb="3" eb="4">
      <t>ニチ</t>
    </rPh>
    <rPh sb="6" eb="7">
      <t>ガツ</t>
    </rPh>
    <rPh sb="8" eb="9">
      <t>ニチ</t>
    </rPh>
    <phoneticPr fontId="2"/>
  </si>
  <si>
    <t>　　高圧契約</t>
    <rPh sb="2" eb="4">
      <t>コウアツ</t>
    </rPh>
    <rPh sb="4" eb="6">
      <t>ケイヤク</t>
    </rPh>
    <phoneticPr fontId="2"/>
  </si>
  <si>
    <t>　　従量電灯契約</t>
    <rPh sb="2" eb="4">
      <t>ジュウリョウ</t>
    </rPh>
    <rPh sb="4" eb="6">
      <t>デントウ</t>
    </rPh>
    <rPh sb="6" eb="8">
      <t>ケイヤク</t>
    </rPh>
    <phoneticPr fontId="2"/>
  </si>
  <si>
    <t>いいえ</t>
  </si>
  <si>
    <r>
      <t>※</t>
    </r>
    <r>
      <rPr>
        <sz val="18"/>
        <rFont val="游ゴシック"/>
        <family val="3"/>
        <charset val="128"/>
        <scheme val="minor"/>
      </rPr>
      <t>各シート説明（一部抜粋）</t>
    </r>
    <rPh sb="1" eb="2">
      <t>カク</t>
    </rPh>
    <rPh sb="5" eb="7">
      <t>セツメイ</t>
    </rPh>
    <rPh sb="8" eb="10">
      <t>イチブ</t>
    </rPh>
    <rPh sb="10" eb="12">
      <t>バッスイ</t>
    </rPh>
    <phoneticPr fontId="45"/>
  </si>
  <si>
    <r>
      <t>１．建屋内で</t>
    </r>
    <r>
      <rPr>
        <sz val="12"/>
        <color rgb="FFFF0000"/>
        <rFont val="メイリオ"/>
        <family val="3"/>
        <charset val="128"/>
      </rPr>
      <t>壁等で区切られた部屋</t>
    </r>
    <r>
      <rPr>
        <sz val="12"/>
        <rFont val="メイリオ"/>
        <family val="3"/>
        <charset val="128"/>
      </rPr>
      <t>を＜</t>
    </r>
    <r>
      <rPr>
        <sz val="12"/>
        <color rgb="FFFF0000"/>
        <rFont val="メイリオ"/>
        <family val="3"/>
        <charset val="128"/>
      </rPr>
      <t>１室</t>
    </r>
    <r>
      <rPr>
        <sz val="12"/>
        <rFont val="メイリオ"/>
        <family val="3"/>
        <charset val="128"/>
      </rPr>
      <t>＞として記入してください。</t>
    </r>
    <rPh sb="6" eb="7">
      <t>カベ</t>
    </rPh>
    <rPh sb="7" eb="8">
      <t>トウ</t>
    </rPh>
    <phoneticPr fontId="2"/>
  </si>
  <si>
    <r>
      <t>２．＜</t>
    </r>
    <r>
      <rPr>
        <sz val="12"/>
        <color rgb="FFFF0000"/>
        <rFont val="メイリオ"/>
        <family val="3"/>
        <charset val="128"/>
      </rPr>
      <t>１室</t>
    </r>
    <r>
      <rPr>
        <sz val="12"/>
        <rFont val="メイリオ"/>
        <family val="3"/>
        <charset val="128"/>
      </rPr>
      <t>＞に複数の換気設備がある場合は、その合計を記入してください。</t>
    </r>
    <rPh sb="4" eb="5">
      <t>シツ</t>
    </rPh>
    <rPh sb="7" eb="9">
      <t>フクスウ</t>
    </rPh>
    <rPh sb="10" eb="12">
      <t>カンキ</t>
    </rPh>
    <rPh sb="12" eb="14">
      <t>セツビ</t>
    </rPh>
    <rPh sb="17" eb="19">
      <t>バアイ</t>
    </rPh>
    <rPh sb="23" eb="25">
      <t>ゴウケイ</t>
    </rPh>
    <rPh sb="26" eb="28">
      <t>キニュウ</t>
    </rPh>
    <phoneticPr fontId="2"/>
  </si>
  <si>
    <r>
      <t>　　なお、＜</t>
    </r>
    <r>
      <rPr>
        <sz val="12"/>
        <color rgb="FFFF0000"/>
        <rFont val="メイリオ"/>
        <family val="3"/>
        <charset val="128"/>
      </rPr>
      <t>１室</t>
    </r>
    <r>
      <rPr>
        <sz val="12"/>
        <rFont val="メイリオ"/>
        <family val="3"/>
        <charset val="128"/>
      </rPr>
      <t>＞に給気と排気の機械換気設備がある場合は</t>
    </r>
    <r>
      <rPr>
        <sz val="12"/>
        <color rgb="FFFF0000"/>
        <rFont val="メイリオ"/>
        <family val="3"/>
        <charset val="128"/>
      </rPr>
      <t>換気量の多い給気又は排気設備</t>
    </r>
    <r>
      <rPr>
        <sz val="12"/>
        <rFont val="メイリオ"/>
        <family val="3"/>
        <charset val="128"/>
      </rPr>
      <t>の有効換気量を記入してください。</t>
    </r>
    <rPh sb="28" eb="31">
      <t>カンキリョウ</t>
    </rPh>
    <rPh sb="32" eb="33">
      <t>オオ</t>
    </rPh>
    <rPh sb="34" eb="36">
      <t>キュウキ</t>
    </rPh>
    <rPh sb="36" eb="37">
      <t>マタ</t>
    </rPh>
    <rPh sb="38" eb="40">
      <t>ハイキ</t>
    </rPh>
    <rPh sb="40" eb="42">
      <t>セツビ</t>
    </rPh>
    <rPh sb="43" eb="45">
      <t>ユウコウ</t>
    </rPh>
    <rPh sb="45" eb="48">
      <t>カンキリョウ</t>
    </rPh>
    <rPh sb="49" eb="51">
      <t>キニュウ</t>
    </rPh>
    <phoneticPr fontId="2"/>
  </si>
  <si>
    <r>
      <t>２．＜</t>
    </r>
    <r>
      <rPr>
        <sz val="12"/>
        <color rgb="FFFF0000"/>
        <rFont val="メイリオ"/>
        <family val="3"/>
        <charset val="128"/>
      </rPr>
      <t>１の筐体</t>
    </r>
    <r>
      <rPr>
        <sz val="12"/>
        <rFont val="メイリオ"/>
        <family val="3"/>
        <charset val="128"/>
      </rPr>
      <t>＞で給気・排気の両方を行う設備の換気の方法は、＜</t>
    </r>
    <r>
      <rPr>
        <sz val="12"/>
        <color rgb="FFFF0000"/>
        <rFont val="メイリオ"/>
        <family val="3"/>
        <charset val="128"/>
      </rPr>
      <t>給気・排気</t>
    </r>
    <r>
      <rPr>
        <sz val="12"/>
        <rFont val="メイリオ"/>
        <family val="3"/>
        <charset val="128"/>
      </rPr>
      <t>＞を選択してください。</t>
    </r>
    <rPh sb="5" eb="7">
      <t>キョウタイ</t>
    </rPh>
    <rPh sb="9" eb="11">
      <t>キュウキ</t>
    </rPh>
    <rPh sb="12" eb="14">
      <t>ハイキ</t>
    </rPh>
    <rPh sb="15" eb="17">
      <t>リョウホウ</t>
    </rPh>
    <rPh sb="18" eb="19">
      <t>オコナ</t>
    </rPh>
    <rPh sb="20" eb="22">
      <t>セツビ</t>
    </rPh>
    <rPh sb="23" eb="25">
      <t>カンキ</t>
    </rPh>
    <rPh sb="26" eb="28">
      <t>ホウホウ</t>
    </rPh>
    <rPh sb="38" eb="40">
      <t>センタク</t>
    </rPh>
    <phoneticPr fontId="2"/>
  </si>
  <si>
    <r>
      <t>　・契約内容欄には、</t>
    </r>
    <r>
      <rPr>
        <sz val="10"/>
        <color rgb="FFFF0000"/>
        <rFont val="メイリオ"/>
        <family val="3"/>
        <charset val="128"/>
      </rPr>
      <t>契約のプラン名や種別</t>
    </r>
    <r>
      <rPr>
        <sz val="10"/>
        <rFont val="メイリオ"/>
        <family val="3"/>
        <charset val="128"/>
      </rPr>
      <t>（従量電灯、低圧電力、動力など）を記載すること。</t>
    </r>
    <rPh sb="2" eb="4">
      <t>ケイヤク</t>
    </rPh>
    <rPh sb="4" eb="6">
      <t>ナイヨウ</t>
    </rPh>
    <rPh sb="6" eb="7">
      <t>ラン</t>
    </rPh>
    <rPh sb="10" eb="12">
      <t>ケイヤク</t>
    </rPh>
    <rPh sb="16" eb="17">
      <t>ナ</t>
    </rPh>
    <rPh sb="18" eb="20">
      <t>シュベツ</t>
    </rPh>
    <rPh sb="21" eb="23">
      <t>ジュウリョウ</t>
    </rPh>
    <rPh sb="23" eb="25">
      <t>デントウ</t>
    </rPh>
    <rPh sb="26" eb="28">
      <t>テイアツ</t>
    </rPh>
    <rPh sb="28" eb="30">
      <t>デンリョク</t>
    </rPh>
    <rPh sb="31" eb="33">
      <t>ドウリョク</t>
    </rPh>
    <rPh sb="37" eb="39">
      <t>キサイ</t>
    </rPh>
    <phoneticPr fontId="2"/>
  </si>
  <si>
    <t>プルダウンメニューから該当するものを選択してください。</t>
    <rPh sb="11" eb="13">
      <t>ガイトウ</t>
    </rPh>
    <rPh sb="18" eb="20">
      <t>センタク</t>
    </rPh>
    <phoneticPr fontId="2"/>
  </si>
  <si>
    <t>数式により自動計算するため、入力できません。また、エラーメッセージを表示します。</t>
    <rPh sb="0" eb="2">
      <t>スウシキ</t>
    </rPh>
    <rPh sb="5" eb="7">
      <t>ジドウ</t>
    </rPh>
    <rPh sb="7" eb="9">
      <t>ケイサン</t>
    </rPh>
    <rPh sb="14" eb="16">
      <t>ニュウリョク</t>
    </rPh>
    <rPh sb="34" eb="36">
      <t>ヒョウジ</t>
    </rPh>
    <phoneticPr fontId="2"/>
  </si>
  <si>
    <r>
      <t>セルに適切な＜</t>
    </r>
    <r>
      <rPr>
        <sz val="12"/>
        <color rgb="FFFF0000"/>
        <rFont val="メイリオ"/>
        <family val="3"/>
        <charset val="128"/>
      </rPr>
      <t>数値</t>
    </r>
    <r>
      <rPr>
        <sz val="12"/>
        <color theme="1"/>
        <rFont val="メイリオ"/>
        <family val="3"/>
        <charset val="128"/>
      </rPr>
      <t>＞を入力してください。</t>
    </r>
    <rPh sb="3" eb="5">
      <t>テキセツ</t>
    </rPh>
    <rPh sb="7" eb="9">
      <t>スウチ</t>
    </rPh>
    <rPh sb="11" eb="13">
      <t>ニュウリョク</t>
    </rPh>
    <phoneticPr fontId="2"/>
  </si>
  <si>
    <r>
      <t>セルに適切な＜</t>
    </r>
    <r>
      <rPr>
        <sz val="12"/>
        <color rgb="FFFF0000"/>
        <rFont val="メイリオ"/>
        <family val="3"/>
        <charset val="128"/>
      </rPr>
      <t>月日、数値、金額等</t>
    </r>
    <r>
      <rPr>
        <sz val="12"/>
        <color theme="1"/>
        <rFont val="メイリオ"/>
        <family val="3"/>
        <charset val="128"/>
      </rPr>
      <t>＞を入力してください。</t>
    </r>
    <rPh sb="3" eb="5">
      <t>テキセツ</t>
    </rPh>
    <rPh sb="7" eb="9">
      <t>ツキヒ</t>
    </rPh>
    <rPh sb="10" eb="12">
      <t>スウチ</t>
    </rPh>
    <rPh sb="13" eb="15">
      <t>キンガク</t>
    </rPh>
    <rPh sb="15" eb="16">
      <t>トウ</t>
    </rPh>
    <rPh sb="18" eb="20">
      <t>ニュウリョク</t>
    </rPh>
    <phoneticPr fontId="2"/>
  </si>
  <si>
    <r>
      <t>セルに適切な＜</t>
    </r>
    <r>
      <rPr>
        <sz val="12"/>
        <color rgb="FFFF0000"/>
        <rFont val="メイリオ"/>
        <family val="3"/>
        <charset val="128"/>
      </rPr>
      <t>数値、型番等</t>
    </r>
    <r>
      <rPr>
        <sz val="12"/>
        <color theme="1"/>
        <rFont val="メイリオ"/>
        <family val="3"/>
        <charset val="128"/>
      </rPr>
      <t>＞を入力してください。</t>
    </r>
    <rPh sb="3" eb="5">
      <t>テキセツ</t>
    </rPh>
    <rPh sb="7" eb="9">
      <t>スウチ</t>
    </rPh>
    <rPh sb="10" eb="12">
      <t>カタバン</t>
    </rPh>
    <rPh sb="12" eb="13">
      <t>トウ</t>
    </rPh>
    <rPh sb="15" eb="17">
      <t>ニュウリョク</t>
    </rPh>
    <phoneticPr fontId="2"/>
  </si>
  <si>
    <t>※</t>
    <phoneticPr fontId="2"/>
  </si>
  <si>
    <t>年間総稼働時間の最大は、＜365日✕24時間/日＝8,760時間＞とする。</t>
    <rPh sb="8" eb="10">
      <t>サイダイ</t>
    </rPh>
    <rPh sb="16" eb="17">
      <t>ヒ</t>
    </rPh>
    <rPh sb="20" eb="22">
      <t>ジカン</t>
    </rPh>
    <rPh sb="23" eb="24">
      <t>ヒ</t>
    </rPh>
    <rPh sb="30" eb="32">
      <t>ジカン</t>
    </rPh>
    <phoneticPr fontId="2"/>
  </si>
  <si>
    <t>　　　②：省エネルギー基準達成率（JIS C9901）114％以上であるもの。</t>
    <rPh sb="31" eb="33">
      <t>イジョウ</t>
    </rPh>
    <phoneticPr fontId="2"/>
  </si>
  <si>
    <t>R4_Ver8.2</t>
    <phoneticPr fontId="2"/>
  </si>
  <si>
    <r>
      <t>※</t>
    </r>
    <r>
      <rPr>
        <sz val="18"/>
        <rFont val="游ゴシック"/>
        <family val="3"/>
        <charset val="128"/>
        <scheme val="minor"/>
      </rPr>
      <t>青色のシートが"</t>
    </r>
    <r>
      <rPr>
        <sz val="18"/>
        <color rgb="FFFF0000"/>
        <rFont val="游ゴシック"/>
        <family val="3"/>
        <charset val="128"/>
        <scheme val="minor"/>
      </rPr>
      <t>適合例</t>
    </r>
    <r>
      <rPr>
        <sz val="18"/>
        <rFont val="游ゴシック"/>
        <family val="3"/>
        <charset val="128"/>
        <scheme val="minor"/>
      </rPr>
      <t>"となります。その他は、"入力不足例"と”不適合例”となります。</t>
    </r>
    <rPh sb="1" eb="3">
      <t>アオイロ</t>
    </rPh>
    <rPh sb="9" eb="12">
      <t>テキゴウレイ</t>
    </rPh>
    <rPh sb="21" eb="22">
      <t>ホカ</t>
    </rPh>
    <rPh sb="25" eb="29">
      <t>ニュウリョクブソク</t>
    </rPh>
    <rPh sb="29" eb="30">
      <t>レイ</t>
    </rPh>
    <rPh sb="33" eb="36">
      <t>フテキゴウ</t>
    </rPh>
    <rPh sb="36" eb="37">
      <t>レイ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</si>
</sst>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
    <numFmt numFmtId="177" formatCode="#,##0_);[Red]\(#,##0\)"/>
    <numFmt numFmtId="178" formatCode="0.0%"/>
    <numFmt numFmtId="179" formatCode="0.00_);[Red]\(0.00\)"/>
    <numFmt numFmtId="180" formatCode="#,##0.00_ "/>
    <numFmt numFmtId="181" formatCode="#,##0_ ;[Red]\-#,##0\ "/>
    <numFmt numFmtId="182" formatCode="#,##0.000_);[Red]\(#,##0.000\)"/>
    <numFmt numFmtId="183" formatCode="#,##0.0000_);[Red]\(#,##0.0000\)"/>
    <numFmt numFmtId="184" formatCode="#,##0.00_);[Red]\(#,##0.00\)"/>
    <numFmt numFmtId="185" formatCode="#,##0.000000_);[Red]\(#,##0.000000\)"/>
    <numFmt numFmtId="186" formatCode="#,##0.0_);[Red]\(#,##0.0\)"/>
    <numFmt numFmtId="187" formatCode="#,##0_ "/>
    <numFmt numFmtId="188" formatCode="#,##0.0_ "/>
    <numFmt numFmtId="189" formatCode="#,##0.0_ ;[Red]\-#,##0.0\ "/>
    <numFmt numFmtId="190" formatCode="#,##0.00_ ;[Red]\-#,##0.00\ "/>
    <numFmt numFmtId="191" formatCode="0.00_ ;[Red]\-0.00\ "/>
  </numFmts>
  <fonts count="46" x14ac:knownFonts="1">
    <font>
      <sz val="12"/>
      <color theme="1"/>
      <name val="メイリオ"/>
      <family val="2"/>
      <charset val="128"/>
    </font>
    <font>
      <sz val="12"/>
      <color theme="1"/>
      <name val="メイリオ"/>
      <family val="2"/>
      <charset val="128"/>
    </font>
    <font>
      <sz val="6"/>
      <name val="メイリオ"/>
      <family val="2"/>
      <charset val="128"/>
    </font>
    <font>
      <sz val="14"/>
      <color theme="1"/>
      <name val="メイリオ"/>
      <family val="2"/>
      <charset val="128"/>
    </font>
    <font>
      <sz val="10"/>
      <color theme="1"/>
      <name val="メイリオ"/>
      <family val="2"/>
      <charset val="128"/>
    </font>
    <font>
      <sz val="12"/>
      <name val="メイリオ"/>
      <family val="3"/>
      <charset val="128"/>
    </font>
    <font>
      <sz val="10"/>
      <color theme="1"/>
      <name val="メイリオ"/>
      <family val="3"/>
      <charset val="128"/>
    </font>
    <font>
      <sz val="12"/>
      <color theme="1"/>
      <name val="メイリオ"/>
      <family val="3"/>
      <charset val="128"/>
    </font>
    <font>
      <sz val="12"/>
      <name val="メイリオ"/>
      <family val="2"/>
      <charset val="128"/>
    </font>
    <font>
      <vertAlign val="superscript"/>
      <sz val="12"/>
      <color theme="1"/>
      <name val="メイリオ"/>
      <family val="3"/>
      <charset val="128"/>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sz val="10"/>
      <color rgb="FFFF0000"/>
      <name val="メイリオ"/>
      <family val="3"/>
      <charset val="128"/>
    </font>
    <font>
      <sz val="9"/>
      <color theme="1"/>
      <name val="ＭＳ 明朝"/>
      <family val="1"/>
      <charset val="128"/>
    </font>
    <font>
      <sz val="12"/>
      <color rgb="FFFF0000"/>
      <name val="メイリオ"/>
      <family val="2"/>
      <charset val="128"/>
    </font>
    <font>
      <sz val="12"/>
      <color rgb="FFFF0000"/>
      <name val="メイリオ"/>
      <family val="3"/>
      <charset val="128"/>
    </font>
    <font>
      <sz val="11"/>
      <color theme="1"/>
      <name val="メイリオ"/>
      <family val="2"/>
      <charset val="128"/>
    </font>
    <font>
      <vertAlign val="superscript"/>
      <sz val="11"/>
      <color theme="1"/>
      <name val="メイリオ"/>
      <family val="3"/>
      <charset val="128"/>
    </font>
    <font>
      <sz val="14"/>
      <color theme="1"/>
      <name val="メイリオ"/>
      <family val="3"/>
      <charset val="128"/>
    </font>
    <font>
      <sz val="16"/>
      <name val="メイリオ"/>
      <family val="3"/>
      <charset val="128"/>
    </font>
    <font>
      <sz val="12"/>
      <color indexed="10"/>
      <name val="メイリオ"/>
      <family val="3"/>
      <charset val="128"/>
    </font>
    <font>
      <sz val="11"/>
      <color theme="0"/>
      <name val="メイリオ"/>
      <family val="3"/>
      <charset val="128"/>
    </font>
    <font>
      <sz val="12"/>
      <color indexed="81"/>
      <name val="メイリオ"/>
      <family val="3"/>
      <charset val="128"/>
    </font>
    <font>
      <sz val="9"/>
      <name val="メイリオ"/>
      <family val="3"/>
      <charset val="128"/>
    </font>
    <font>
      <sz val="14"/>
      <color rgb="FFFF0000"/>
      <name val="メイリオ"/>
      <family val="3"/>
      <charset val="128"/>
    </font>
    <font>
      <sz val="16"/>
      <color indexed="10"/>
      <name val="メイリオ"/>
      <family val="3"/>
      <charset val="128"/>
    </font>
    <font>
      <sz val="12"/>
      <color indexed="32"/>
      <name val="メイリオ"/>
      <family val="3"/>
      <charset val="128"/>
    </font>
    <font>
      <sz val="11"/>
      <name val="ＭＳ 明朝"/>
      <family val="1"/>
      <charset val="128"/>
    </font>
    <font>
      <b/>
      <sz val="14"/>
      <color rgb="FFFF0000"/>
      <name val="メイリオ"/>
      <family val="3"/>
      <charset val="128"/>
    </font>
    <font>
      <sz val="10"/>
      <name val="メイリオ"/>
      <family val="3"/>
      <charset val="128"/>
    </font>
    <font>
      <sz val="9"/>
      <color theme="1"/>
      <name val="メイリオ"/>
      <family val="3"/>
      <charset val="128"/>
    </font>
    <font>
      <sz val="20"/>
      <color theme="1"/>
      <name val="メイリオ"/>
      <family val="3"/>
      <charset val="128"/>
    </font>
    <font>
      <sz val="11"/>
      <color rgb="FFFF0000"/>
      <name val="ＭＳ 明朝"/>
      <family val="1"/>
      <charset val="128"/>
    </font>
    <font>
      <sz val="11"/>
      <color rgb="FFFF0000"/>
      <name val="游ゴシック"/>
      <family val="2"/>
      <charset val="128"/>
      <scheme val="minor"/>
    </font>
    <font>
      <b/>
      <sz val="10"/>
      <color rgb="FFFF0000"/>
      <name val="メイリオ"/>
      <family val="3"/>
      <charset val="128"/>
    </font>
    <font>
      <b/>
      <sz val="11"/>
      <color rgb="FFFF0000"/>
      <name val="メイリオ"/>
      <family val="3"/>
      <charset val="128"/>
    </font>
    <font>
      <b/>
      <sz val="9"/>
      <color rgb="FFFF0000"/>
      <name val="メイリオ"/>
      <family val="3"/>
      <charset val="128"/>
    </font>
    <font>
      <sz val="11"/>
      <name val="メイリオ"/>
      <family val="3"/>
      <charset val="128"/>
    </font>
    <font>
      <sz val="16"/>
      <color theme="1"/>
      <name val="メイリオ"/>
      <family val="3"/>
      <charset val="128"/>
    </font>
    <font>
      <sz val="18"/>
      <name val="メイリオ"/>
      <family val="3"/>
      <charset val="128"/>
    </font>
    <font>
      <b/>
      <sz val="12"/>
      <color theme="1"/>
      <name val="メイリオ"/>
      <family val="3"/>
      <charset val="128"/>
    </font>
    <font>
      <sz val="18"/>
      <color rgb="FFFF0000"/>
      <name val="游ゴシック"/>
      <family val="3"/>
      <charset val="128"/>
      <scheme val="minor"/>
    </font>
    <font>
      <sz val="18"/>
      <name val="游ゴシック"/>
      <family val="3"/>
      <charset val="128"/>
      <scheme val="minor"/>
    </font>
    <font>
      <sz val="6"/>
      <name val="游ゴシック"/>
      <family val="3"/>
      <charset val="128"/>
      <scheme val="minor"/>
    </font>
  </fonts>
  <fills count="1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0"/>
        <bgColor indexed="64"/>
      </patternFill>
    </fill>
    <fill>
      <patternFill patternType="solid">
        <fgColor theme="1" tint="0.499984740745262"/>
        <bgColor indexed="64"/>
      </patternFill>
    </fill>
    <fill>
      <patternFill patternType="solid">
        <fgColor rgb="FFCCFFCC"/>
        <bgColor indexed="64"/>
      </patternFill>
    </fill>
    <fill>
      <patternFill patternType="solid">
        <fgColor rgb="FFCCECFF"/>
        <bgColor indexed="64"/>
      </patternFill>
    </fill>
    <fill>
      <patternFill patternType="solid">
        <fgColor rgb="FF66FF33"/>
        <bgColor indexed="64"/>
      </patternFill>
    </fill>
    <fill>
      <patternFill patternType="solid">
        <fgColor rgb="FFFFFF99"/>
        <bgColor indexed="64"/>
      </patternFill>
    </fill>
    <fill>
      <patternFill patternType="solid">
        <fgColor rgb="FFD9FFFF"/>
        <bgColor indexed="64"/>
      </patternFill>
    </fill>
    <fill>
      <patternFill patternType="solid">
        <fgColor rgb="FFFFFFC5"/>
        <bgColor indexed="64"/>
      </patternFill>
    </fill>
    <fill>
      <patternFill patternType="solid">
        <fgColor rgb="FFFFBD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auto="1"/>
      </left>
      <right style="thin">
        <color auto="1"/>
      </right>
      <top style="dotted">
        <color auto="1"/>
      </top>
      <bottom style="dotted">
        <color auto="1"/>
      </bottom>
      <diagonal/>
    </border>
    <border>
      <left/>
      <right style="thin">
        <color indexed="64"/>
      </right>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right style="thin">
        <color indexed="64"/>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auto="1"/>
      </left>
      <right style="thin">
        <color auto="1"/>
      </right>
      <top/>
      <bottom style="dotted">
        <color auto="1"/>
      </bottom>
      <diagonal/>
    </border>
    <border>
      <left style="thick">
        <color rgb="FF00B050"/>
      </left>
      <right style="thick">
        <color rgb="FF00B050"/>
      </right>
      <top style="thick">
        <color rgb="FF00B050"/>
      </top>
      <bottom style="thin">
        <color indexed="64"/>
      </bottom>
      <diagonal/>
    </border>
    <border>
      <left style="thick">
        <color rgb="FF00B050"/>
      </left>
      <right style="thick">
        <color rgb="FF00B050"/>
      </right>
      <top style="thin">
        <color auto="1"/>
      </top>
      <bottom style="dotted">
        <color auto="1"/>
      </bottom>
      <diagonal/>
    </border>
    <border>
      <left style="thick">
        <color rgb="FF00B050"/>
      </left>
      <right style="thick">
        <color rgb="FF00B050"/>
      </right>
      <top style="dotted">
        <color auto="1"/>
      </top>
      <bottom style="thick">
        <color rgb="FF00B05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auto="1"/>
      </left>
      <right style="thin">
        <color auto="1"/>
      </right>
      <top/>
      <bottom style="hair">
        <color auto="1"/>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auto="1"/>
      </top>
      <bottom style="hair">
        <color auto="1"/>
      </bottom>
      <diagonal/>
    </border>
    <border>
      <left style="thick">
        <color rgb="FFFF0000"/>
      </left>
      <right style="thick">
        <color rgb="FFFF0000"/>
      </right>
      <top style="hair">
        <color auto="1"/>
      </top>
      <bottom style="hair">
        <color auto="1"/>
      </bottom>
      <diagonal/>
    </border>
    <border>
      <left/>
      <right style="thick">
        <color rgb="FFFF0000"/>
      </right>
      <top style="thick">
        <color rgb="FFFF0000"/>
      </top>
      <bottom style="thin">
        <color indexed="64"/>
      </bottom>
      <diagonal/>
    </border>
    <border>
      <left/>
      <right style="thin">
        <color indexed="64"/>
      </right>
      <top style="thick">
        <color rgb="FFFF0000"/>
      </top>
      <bottom style="thin">
        <color indexed="64"/>
      </bottom>
      <diagonal/>
    </border>
    <border>
      <left style="thin">
        <color auto="1"/>
      </left>
      <right style="thick">
        <color rgb="FFFF0000"/>
      </right>
      <top style="thick">
        <color rgb="FFFF0000"/>
      </top>
      <bottom style="thick">
        <color rgb="FFFF0000"/>
      </bottom>
      <diagonal/>
    </border>
    <border>
      <left/>
      <right/>
      <top style="thick">
        <color rgb="FFFF0000"/>
      </top>
      <bottom style="thin">
        <color indexed="64"/>
      </bottom>
      <diagonal/>
    </border>
    <border>
      <left style="thin">
        <color indexed="64"/>
      </left>
      <right/>
      <top style="thin">
        <color indexed="64"/>
      </top>
      <bottom style="thick">
        <color rgb="FFFF0000"/>
      </bottom>
      <diagonal/>
    </border>
    <border>
      <left style="thin">
        <color indexed="64"/>
      </left>
      <right/>
      <top style="thick">
        <color rgb="FFFF0000"/>
      </top>
      <bottom style="thin">
        <color indexed="64"/>
      </bottom>
      <diagonal/>
    </border>
    <border>
      <left/>
      <right/>
      <top style="thick">
        <color rgb="FF00B050"/>
      </top>
      <bottom style="thick">
        <color rgb="FF00B050"/>
      </bottom>
      <diagonal/>
    </border>
    <border>
      <left style="thick">
        <color rgb="FF00B050"/>
      </left>
      <right style="thick">
        <color rgb="FF00B050"/>
      </right>
      <top style="thin">
        <color auto="1"/>
      </top>
      <bottom style="thick">
        <color rgb="FF00B050"/>
      </bottom>
      <diagonal/>
    </border>
    <border>
      <left style="thick">
        <color rgb="FF00B050"/>
      </left>
      <right style="thick">
        <color rgb="FF00B050"/>
      </right>
      <top style="dotted">
        <color auto="1"/>
      </top>
      <bottom style="dotted">
        <color auto="1"/>
      </bottom>
      <diagonal/>
    </border>
    <border>
      <left style="thick">
        <color rgb="FF00B050"/>
      </left>
      <right style="thick">
        <color rgb="FF00B050"/>
      </right>
      <top/>
      <bottom style="dotted">
        <color auto="1"/>
      </bottom>
      <diagonal/>
    </border>
    <border>
      <left style="thick">
        <color rgb="FFFF0000"/>
      </left>
      <right style="thick">
        <color rgb="FFFF0000"/>
      </right>
      <top style="dotted">
        <color auto="1"/>
      </top>
      <bottom style="thick">
        <color rgb="FFFF0000"/>
      </bottom>
      <diagonal/>
    </border>
    <border>
      <left style="thick">
        <color rgb="FFFF0000"/>
      </left>
      <right style="thick">
        <color rgb="FFFF0000"/>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ck">
        <color rgb="FFFF0000"/>
      </left>
      <right style="thick">
        <color rgb="FFFF0000"/>
      </right>
      <top/>
      <bottom style="thick">
        <color rgb="FFFF0000"/>
      </bottom>
      <diagonal/>
    </border>
    <border>
      <left/>
      <right style="thick">
        <color rgb="FFFF0000"/>
      </right>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503">
    <xf numFmtId="0" fontId="0" fillId="0" borderId="0" xfId="0">
      <alignment vertical="center"/>
    </xf>
    <xf numFmtId="0" fontId="0" fillId="2" borderId="5" xfId="0" applyFill="1" applyBorder="1" applyAlignment="1" applyProtection="1">
      <alignment horizontal="center" vertical="center" shrinkToFit="1"/>
      <protection locked="0"/>
    </xf>
    <xf numFmtId="0" fontId="4" fillId="2" borderId="5" xfId="0" applyFont="1" applyFill="1" applyBorder="1" applyAlignment="1" applyProtection="1">
      <alignment vertical="center" wrapText="1"/>
      <protection locked="0"/>
    </xf>
    <xf numFmtId="0" fontId="11" fillId="0" borderId="0" xfId="3" applyFont="1">
      <alignment vertical="center"/>
    </xf>
    <xf numFmtId="0" fontId="11" fillId="2" borderId="21" xfId="3" applyFont="1" applyFill="1" applyBorder="1" applyAlignment="1" applyProtection="1">
      <alignment horizontal="center" vertical="center"/>
      <protection locked="0"/>
    </xf>
    <xf numFmtId="182" fontId="11" fillId="0" borderId="0" xfId="3" applyNumberFormat="1" applyFont="1">
      <alignment vertical="center"/>
    </xf>
    <xf numFmtId="184" fontId="11" fillId="0" borderId="0" xfId="3" applyNumberFormat="1" applyFont="1">
      <alignment vertical="center"/>
    </xf>
    <xf numFmtId="177" fontId="11" fillId="0" borderId="0" xfId="3" applyNumberFormat="1" applyFont="1">
      <alignment vertical="center"/>
    </xf>
    <xf numFmtId="183" fontId="11" fillId="0" borderId="0" xfId="3" applyNumberFormat="1" applyFont="1">
      <alignment vertical="center"/>
    </xf>
    <xf numFmtId="185" fontId="11" fillId="0" borderId="0" xfId="3" applyNumberFormat="1" applyFont="1">
      <alignment vertical="center"/>
    </xf>
    <xf numFmtId="184" fontId="11" fillId="0" borderId="23" xfId="3" applyNumberFormat="1" applyFont="1" applyBorder="1">
      <alignment vertical="center"/>
    </xf>
    <xf numFmtId="184" fontId="11" fillId="0" borderId="24" xfId="3" applyNumberFormat="1" applyFont="1" applyBorder="1">
      <alignment vertical="center"/>
    </xf>
    <xf numFmtId="186" fontId="11" fillId="0" borderId="0" xfId="3" applyNumberFormat="1" applyFont="1">
      <alignment vertical="center"/>
    </xf>
    <xf numFmtId="184" fontId="11" fillId="0" borderId="25" xfId="3" applyNumberFormat="1" applyFont="1" applyBorder="1">
      <alignment vertical="center"/>
    </xf>
    <xf numFmtId="184" fontId="11" fillId="0" borderId="8" xfId="3" applyNumberFormat="1" applyFont="1" applyBorder="1">
      <alignment vertical="center"/>
    </xf>
    <xf numFmtId="184" fontId="11" fillId="3" borderId="26" xfId="3" applyNumberFormat="1" applyFont="1" applyFill="1" applyBorder="1" applyAlignment="1">
      <alignment horizontal="center" vertical="center"/>
    </xf>
    <xf numFmtId="184" fontId="11" fillId="2" borderId="27" xfId="3" applyNumberFormat="1" applyFont="1" applyFill="1" applyBorder="1" applyAlignment="1">
      <alignment horizontal="center" vertical="center"/>
    </xf>
    <xf numFmtId="182" fontId="11" fillId="3" borderId="26" xfId="3" applyNumberFormat="1" applyFont="1" applyFill="1" applyBorder="1" applyAlignment="1">
      <alignment horizontal="center" vertical="center"/>
    </xf>
    <xf numFmtId="182" fontId="11" fillId="2" borderId="27" xfId="3" applyNumberFormat="1" applyFont="1" applyFill="1" applyBorder="1" applyAlignment="1">
      <alignment horizontal="center" vertical="center"/>
    </xf>
    <xf numFmtId="182" fontId="11" fillId="0" borderId="8" xfId="3" applyNumberFormat="1" applyFont="1" applyBorder="1">
      <alignment vertical="center"/>
    </xf>
    <xf numFmtId="182" fontId="11" fillId="0" borderId="0" xfId="3" applyNumberFormat="1" applyFont="1" applyAlignment="1">
      <alignment vertical="center"/>
    </xf>
    <xf numFmtId="0" fontId="0" fillId="2" borderId="5" xfId="0" applyNumberFormat="1" applyFill="1" applyBorder="1" applyAlignment="1" applyProtection="1">
      <alignment horizontal="center" vertical="center" shrinkToFit="1"/>
      <protection locked="0"/>
    </xf>
    <xf numFmtId="178" fontId="8" fillId="2" borderId="5" xfId="2" applyNumberFormat="1" applyFont="1" applyFill="1" applyBorder="1" applyAlignment="1" applyProtection="1">
      <alignment horizontal="center" vertical="center"/>
      <protection locked="0"/>
    </xf>
    <xf numFmtId="0" fontId="0" fillId="0" borderId="0" xfId="0" applyProtection="1">
      <alignment vertical="center"/>
      <protection hidden="1"/>
    </xf>
    <xf numFmtId="0" fontId="0" fillId="0" borderId="0" xfId="0"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0" fillId="3" borderId="1" xfId="0" applyFill="1" applyBorder="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1" fillId="0" borderId="0" xfId="0" applyFont="1" applyAlignment="1" applyProtection="1">
      <alignment vertical="center" wrapText="1"/>
      <protection hidden="1"/>
    </xf>
    <xf numFmtId="0" fontId="0" fillId="0" borderId="11" xfId="0"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179" fontId="0" fillId="3" borderId="1" xfId="1" applyNumberFormat="1" applyFont="1" applyFill="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10" fillId="0" borderId="0" xfId="3" applyProtection="1">
      <alignment vertical="center"/>
      <protection hidden="1"/>
    </xf>
    <xf numFmtId="0" fontId="0" fillId="0" borderId="14" xfId="0" quotePrefix="1" applyBorder="1" applyAlignment="1" applyProtection="1">
      <alignment horizontal="center" vertical="center"/>
      <protection hidden="1"/>
    </xf>
    <xf numFmtId="0" fontId="0" fillId="0" borderId="0" xfId="0" applyBorder="1" applyAlignment="1" applyProtection="1">
      <alignment vertical="center" wrapText="1"/>
      <protection hidden="1"/>
    </xf>
    <xf numFmtId="176" fontId="0" fillId="0" borderId="0" xfId="0" applyNumberFormat="1" applyFill="1" applyBorder="1" applyProtection="1">
      <alignment vertical="center"/>
      <protection hidden="1"/>
    </xf>
    <xf numFmtId="0" fontId="0" fillId="0" borderId="0" xfId="0" applyNumberFormat="1" applyProtection="1">
      <alignment vertical="center"/>
      <protection hidden="1"/>
    </xf>
    <xf numFmtId="0" fontId="7" fillId="0" borderId="0" xfId="3" applyFont="1" applyProtection="1">
      <alignment vertical="center"/>
      <protection hidden="1"/>
    </xf>
    <xf numFmtId="177" fontId="0" fillId="0" borderId="0" xfId="0" applyNumberFormat="1" applyProtection="1">
      <alignment vertical="center"/>
      <protection hidden="1"/>
    </xf>
    <xf numFmtId="186" fontId="0" fillId="0" borderId="1" xfId="4"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177" fontId="10" fillId="0" borderId="1" xfId="3"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7" fillId="0" borderId="0" xfId="3" applyFont="1" applyAlignment="1" applyProtection="1">
      <alignment vertical="center"/>
      <protection hidden="1"/>
    </xf>
    <xf numFmtId="0" fontId="18" fillId="0" borderId="0" xfId="0" applyFont="1" applyProtection="1">
      <alignment vertical="center"/>
      <protection hidden="1"/>
    </xf>
    <xf numFmtId="0" fontId="11" fillId="0" borderId="0" xfId="0" applyFont="1" applyProtection="1">
      <alignment vertical="center"/>
      <protection hidden="1"/>
    </xf>
    <xf numFmtId="0" fontId="18" fillId="0" borderId="0" xfId="0" applyFont="1" applyAlignment="1" applyProtection="1">
      <alignment vertical="center"/>
      <protection hidden="1"/>
    </xf>
    <xf numFmtId="0" fontId="11" fillId="0" borderId="1" xfId="3" applyFont="1" applyBorder="1">
      <alignment vertical="center"/>
    </xf>
    <xf numFmtId="0" fontId="0" fillId="0" borderId="0" xfId="0" applyFont="1" applyAlignment="1" applyProtection="1">
      <alignment vertical="center"/>
      <protection hidden="1"/>
    </xf>
    <xf numFmtId="0" fontId="7" fillId="0" borderId="0" xfId="0" applyFont="1" applyProtection="1">
      <alignment vertical="center"/>
      <protection hidden="1"/>
    </xf>
    <xf numFmtId="0" fontId="7" fillId="2"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0" fontId="7" fillId="0" borderId="0" xfId="0" applyNumberFormat="1" applyFont="1" applyProtection="1">
      <alignment vertical="center"/>
      <protection hidden="1"/>
    </xf>
    <xf numFmtId="0" fontId="7" fillId="3" borderId="1" xfId="0" applyFont="1" applyFill="1" applyBorder="1" applyProtection="1">
      <alignment vertical="center"/>
      <protection hidden="1"/>
    </xf>
    <xf numFmtId="184" fontId="11" fillId="6" borderId="5" xfId="3" applyNumberFormat="1" applyFont="1" applyFill="1" applyBorder="1">
      <alignment vertical="center"/>
    </xf>
    <xf numFmtId="0" fontId="14" fillId="0" borderId="0" xfId="3" applyFont="1" applyProtection="1">
      <alignment vertical="center"/>
      <protection hidden="1"/>
    </xf>
    <xf numFmtId="0" fontId="11" fillId="0" borderId="0" xfId="3" applyFont="1" applyProtection="1">
      <alignment vertical="center"/>
      <protection hidden="1"/>
    </xf>
    <xf numFmtId="0" fontId="20" fillId="0" borderId="0" xfId="3" applyFont="1" applyProtection="1">
      <alignment vertical="center"/>
      <protection hidden="1"/>
    </xf>
    <xf numFmtId="0" fontId="13" fillId="0" borderId="0" xfId="3" applyFont="1" applyProtection="1">
      <alignment vertical="center"/>
      <protection hidden="1"/>
    </xf>
    <xf numFmtId="0" fontId="13" fillId="0" borderId="22" xfId="3" applyFont="1" applyBorder="1" applyAlignment="1" applyProtection="1">
      <alignment vertical="center"/>
      <protection hidden="1"/>
    </xf>
    <xf numFmtId="55" fontId="11" fillId="0" borderId="17" xfId="3" applyNumberFormat="1" applyFont="1" applyBorder="1" applyAlignment="1" applyProtection="1">
      <alignment horizontal="center" vertical="center" wrapText="1"/>
      <protection hidden="1"/>
    </xf>
    <xf numFmtId="0" fontId="11" fillId="0" borderId="17" xfId="3" applyFont="1" applyBorder="1" applyAlignment="1" applyProtection="1">
      <alignment horizontal="center" vertical="center"/>
      <protection hidden="1"/>
    </xf>
    <xf numFmtId="0" fontId="11" fillId="0" borderId="13" xfId="3" applyFont="1" applyBorder="1" applyAlignment="1" applyProtection="1">
      <alignment horizontal="center" vertical="center" wrapText="1"/>
      <protection hidden="1"/>
    </xf>
    <xf numFmtId="0" fontId="11" fillId="0" borderId="19" xfId="3" applyFont="1" applyFill="1" applyBorder="1" applyAlignment="1" applyProtection="1">
      <alignment horizontal="center" vertical="center" wrapText="1"/>
      <protection hidden="1"/>
    </xf>
    <xf numFmtId="0" fontId="11" fillId="0" borderId="31" xfId="3" applyFont="1" applyBorder="1" applyAlignment="1" applyProtection="1">
      <alignment horizontal="center" vertical="center" wrapText="1"/>
      <protection hidden="1"/>
    </xf>
    <xf numFmtId="0" fontId="11" fillId="0" borderId="16" xfId="3" applyFont="1" applyBorder="1" applyAlignment="1" applyProtection="1">
      <alignment horizontal="center" vertical="center"/>
      <protection hidden="1"/>
    </xf>
    <xf numFmtId="0" fontId="11" fillId="0" borderId="20" xfId="3" applyFont="1" applyBorder="1" applyAlignment="1" applyProtection="1">
      <alignment horizontal="center" vertical="center"/>
      <protection hidden="1"/>
    </xf>
    <xf numFmtId="181" fontId="11" fillId="3" borderId="30" xfId="4" applyNumberFormat="1" applyFont="1" applyFill="1" applyBorder="1" applyAlignment="1" applyProtection="1">
      <alignment vertical="center" shrinkToFit="1"/>
      <protection hidden="1"/>
    </xf>
    <xf numFmtId="0" fontId="11" fillId="0" borderId="0" xfId="3" applyNumberFormat="1" applyFont="1" applyProtection="1">
      <alignment vertical="center"/>
      <protection hidden="1"/>
    </xf>
    <xf numFmtId="38" fontId="11" fillId="0" borderId="0" xfId="3" applyNumberFormat="1" applyFont="1" applyProtection="1">
      <alignment vertical="center"/>
      <protection hidden="1"/>
    </xf>
    <xf numFmtId="0" fontId="11" fillId="2" borderId="22" xfId="3" applyFont="1" applyFill="1" applyBorder="1" applyAlignment="1" applyProtection="1">
      <alignment horizontal="center" vertical="center"/>
      <protection locked="0"/>
    </xf>
    <xf numFmtId="0" fontId="17" fillId="0" borderId="0" xfId="3" applyFont="1" applyProtection="1">
      <alignment vertical="center"/>
      <protection hidden="1"/>
    </xf>
    <xf numFmtId="0" fontId="0" fillId="0" borderId="4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0" xfId="0" applyBorder="1" applyAlignment="1" applyProtection="1">
      <alignment horizontal="center" vertical="center" wrapText="1"/>
      <protection hidden="1"/>
    </xf>
    <xf numFmtId="0" fontId="0" fillId="0" borderId="10" xfId="0" applyFill="1" applyBorder="1" applyAlignment="1" applyProtection="1">
      <alignment horizontal="center" vertical="center" wrapText="1"/>
      <protection hidden="1"/>
    </xf>
    <xf numFmtId="182" fontId="10" fillId="0" borderId="0" xfId="3" applyNumberFormat="1" applyProtection="1">
      <alignment vertical="center"/>
      <protection hidden="1"/>
    </xf>
    <xf numFmtId="182" fontId="10" fillId="0" borderId="0" xfId="3" applyNumberFormat="1" applyAlignment="1" applyProtection="1">
      <alignment horizontal="right" vertical="center"/>
      <protection hidden="1"/>
    </xf>
    <xf numFmtId="182" fontId="11" fillId="0" borderId="0" xfId="3" applyNumberFormat="1" applyFont="1" applyAlignment="1">
      <alignment horizontal="right" vertical="center"/>
    </xf>
    <xf numFmtId="0" fontId="11" fillId="4" borderId="15" xfId="3" applyNumberFormat="1" applyFont="1" applyFill="1" applyBorder="1" applyAlignment="1" applyProtection="1">
      <alignment horizontal="center" vertical="center" shrinkToFit="1"/>
      <protection locked="0"/>
    </xf>
    <xf numFmtId="0" fontId="11" fillId="4" borderId="36" xfId="3"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center" wrapText="1"/>
      <protection locked="0"/>
    </xf>
    <xf numFmtId="0" fontId="0" fillId="0" borderId="1" xfId="0" applyFont="1" applyBorder="1" applyAlignment="1" applyProtection="1">
      <alignment horizontal="center" vertical="center" wrapText="1" shrinkToFi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shrinkToFit="1"/>
      <protection hidden="1"/>
    </xf>
    <xf numFmtId="0" fontId="7" fillId="0" borderId="0" xfId="3" applyFont="1" applyFill="1" applyProtection="1">
      <alignmen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20" fillId="0" borderId="28" xfId="3" applyFont="1" applyBorder="1" applyAlignment="1" applyProtection="1">
      <alignment vertical="center"/>
      <protection hidden="1"/>
    </xf>
    <xf numFmtId="0" fontId="20" fillId="0" borderId="0" xfId="3" applyFont="1" applyBorder="1" applyAlignment="1" applyProtection="1">
      <alignment vertical="center"/>
      <protection hidden="1"/>
    </xf>
    <xf numFmtId="0" fontId="7" fillId="3" borderId="1" xfId="3"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3" applyFont="1" applyAlignment="1" applyProtection="1">
      <alignment horizontal="center" vertical="center"/>
      <protection hidden="1"/>
    </xf>
    <xf numFmtId="0" fontId="7" fillId="2" borderId="1" xfId="3" applyFont="1" applyFill="1" applyBorder="1" applyAlignment="1" applyProtection="1">
      <alignment horizontal="center" vertical="center" wrapText="1" shrinkToFit="1"/>
      <protection locked="0"/>
    </xf>
    <xf numFmtId="188" fontId="7" fillId="4" borderId="1" xfId="3" applyNumberFormat="1" applyFont="1" applyFill="1" applyBorder="1" applyProtection="1">
      <alignment vertical="center"/>
      <protection locked="0"/>
    </xf>
    <xf numFmtId="0" fontId="7" fillId="2" borderId="1" xfId="3" applyFont="1" applyFill="1" applyBorder="1" applyAlignment="1" applyProtection="1">
      <alignment horizontal="center" vertical="center"/>
      <protection locked="0"/>
    </xf>
    <xf numFmtId="187" fontId="7" fillId="4" borderId="1" xfId="3" applyNumberFormat="1" applyFont="1" applyFill="1" applyBorder="1" applyAlignment="1" applyProtection="1">
      <alignment horizontal="right" vertical="center"/>
      <protection locked="0"/>
    </xf>
    <xf numFmtId="186" fontId="20" fillId="0" borderId="0" xfId="3" applyNumberFormat="1" applyFont="1">
      <alignment vertical="center"/>
    </xf>
    <xf numFmtId="0" fontId="11" fillId="0" borderId="1" xfId="3" applyFont="1" applyBorder="1" applyAlignment="1" applyProtection="1">
      <alignment vertical="center"/>
      <protection hidden="1"/>
    </xf>
    <xf numFmtId="0" fontId="16" fillId="0" borderId="0" xfId="0" applyFont="1" applyBorder="1" applyAlignment="1" applyProtection="1">
      <alignment vertical="center"/>
      <protection hidden="1"/>
    </xf>
    <xf numFmtId="0" fontId="0" fillId="0" borderId="0" xfId="0" applyBorder="1" applyAlignment="1" applyProtection="1">
      <alignment horizontal="center" vertical="center" wrapText="1"/>
      <protection hidden="1"/>
    </xf>
    <xf numFmtId="0" fontId="16" fillId="0" borderId="0" xfId="0" applyFont="1" applyAlignment="1" applyProtection="1">
      <alignment vertical="center"/>
      <protection hidden="1"/>
    </xf>
    <xf numFmtId="0" fontId="0" fillId="0" borderId="0" xfId="0" applyBorder="1" applyAlignment="1" applyProtection="1">
      <alignment horizontal="center" vertical="center" shrinkToFit="1"/>
      <protection hidden="1"/>
    </xf>
    <xf numFmtId="0" fontId="11" fillId="0" borderId="0" xfId="3" applyFont="1" applyFill="1" applyProtection="1">
      <alignment vertical="center"/>
      <protection hidden="1"/>
    </xf>
    <xf numFmtId="0" fontId="23" fillId="0" borderId="40" xfId="3" applyFont="1" applyBorder="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16" fillId="0" borderId="0" xfId="0" applyFont="1" applyBorder="1" applyAlignment="1" applyProtection="1">
      <alignment vertical="top" wrapText="1"/>
      <protection hidden="1"/>
    </xf>
    <xf numFmtId="0" fontId="23" fillId="0" borderId="0" xfId="3" applyFont="1" applyProtection="1">
      <alignment vertical="center"/>
      <protection hidden="1"/>
    </xf>
    <xf numFmtId="189" fontId="8" fillId="4" borderId="5" xfId="2" applyNumberFormat="1" applyFont="1" applyFill="1" applyBorder="1" applyProtection="1">
      <alignment vertical="center"/>
      <protection locked="0"/>
    </xf>
    <xf numFmtId="189" fontId="8" fillId="4" borderId="1" xfId="2" applyNumberFormat="1" applyFont="1" applyFill="1" applyBorder="1" applyProtection="1">
      <alignment vertical="center"/>
      <protection locked="0"/>
    </xf>
    <xf numFmtId="0" fontId="0" fillId="0" borderId="0" xfId="0" applyAlignment="1" applyProtection="1">
      <alignment horizontal="left" vertical="center"/>
      <protection hidden="1"/>
    </xf>
    <xf numFmtId="182" fontId="11" fillId="8" borderId="0" xfId="3" applyNumberFormat="1" applyFont="1" applyFill="1">
      <alignment vertical="center"/>
    </xf>
    <xf numFmtId="0" fontId="11" fillId="0" borderId="1" xfId="3" applyFont="1" applyBorder="1" applyAlignment="1">
      <alignment vertical="center"/>
    </xf>
    <xf numFmtId="0" fontId="20" fillId="0" borderId="28" xfId="3" applyFont="1" applyBorder="1" applyAlignment="1" applyProtection="1">
      <alignment horizontal="right"/>
      <protection hidden="1"/>
    </xf>
    <xf numFmtId="0" fontId="0" fillId="0" borderId="0" xfId="0" applyAlignment="1" applyProtection="1">
      <alignment horizontal="right"/>
      <protection hidden="1"/>
    </xf>
    <xf numFmtId="0" fontId="18" fillId="0" borderId="0" xfId="0" applyFont="1" applyAlignment="1" applyProtection="1">
      <alignment horizontal="right" vertical="top"/>
      <protection hidden="1"/>
    </xf>
    <xf numFmtId="0" fontId="11" fillId="0" borderId="0" xfId="3" applyFont="1" applyBorder="1" applyAlignment="1" applyProtection="1">
      <alignment horizontal="right" vertical="top"/>
      <protection hidden="1"/>
    </xf>
    <xf numFmtId="0" fontId="18" fillId="0" borderId="0" xfId="0" applyFont="1" applyBorder="1" applyAlignment="1" applyProtection="1">
      <alignment horizontal="right" vertical="top"/>
      <protection hidden="1"/>
    </xf>
    <xf numFmtId="0" fontId="11" fillId="7" borderId="0" xfId="3" applyFont="1" applyFill="1" applyProtection="1">
      <alignment vertical="center"/>
      <protection hidden="1"/>
    </xf>
    <xf numFmtId="0" fontId="0" fillId="7" borderId="0" xfId="0" applyFill="1" applyProtection="1">
      <alignment vertical="center"/>
      <protection hidden="1"/>
    </xf>
    <xf numFmtId="0" fontId="5" fillId="0" borderId="0" xfId="3" applyFont="1" applyProtection="1">
      <alignment vertical="center"/>
      <protection hidden="1"/>
    </xf>
    <xf numFmtId="0" fontId="0" fillId="6" borderId="0" xfId="0" applyFill="1" applyBorder="1" applyAlignment="1" applyProtection="1">
      <alignment horizontal="center" vertical="center" wrapText="1"/>
      <protection hidden="1"/>
    </xf>
    <xf numFmtId="0" fontId="7" fillId="0" borderId="0" xfId="0" applyFont="1" applyBorder="1" applyAlignment="1" applyProtection="1">
      <alignment horizontal="left" vertical="center" wrapText="1" shrinkToFit="1"/>
      <protection hidden="1"/>
    </xf>
    <xf numFmtId="0" fontId="7" fillId="0" borderId="0" xfId="0" applyFont="1" applyBorder="1" applyAlignment="1" applyProtection="1">
      <alignment horizontal="center" vertical="center" wrapText="1" shrinkToFit="1"/>
      <protection hidden="1"/>
    </xf>
    <xf numFmtId="0" fontId="0" fillId="0" borderId="0" xfId="0" applyAlignment="1" applyProtection="1">
      <alignment horizontal="center" vertical="center"/>
      <protection hidden="1"/>
    </xf>
    <xf numFmtId="0" fontId="7" fillId="6" borderId="0" xfId="0" applyFont="1" applyFill="1" applyBorder="1" applyAlignment="1" applyProtection="1">
      <alignment horizontal="left" vertical="center" wrapText="1" shrinkToFit="1"/>
      <protection hidden="1"/>
    </xf>
    <xf numFmtId="0" fontId="7" fillId="6" borderId="0" xfId="0" applyFont="1" applyFill="1" applyBorder="1" applyAlignment="1" applyProtection="1">
      <alignment horizontal="center" vertical="center" wrapText="1" shrinkToFit="1"/>
      <protection hidden="1"/>
    </xf>
    <xf numFmtId="0" fontId="29" fillId="0" borderId="0" xfId="0" applyFont="1" applyFill="1" applyProtection="1">
      <alignment vertical="center"/>
      <protection hidden="1"/>
    </xf>
    <xf numFmtId="0" fontId="30" fillId="0" borderId="0" xfId="0" applyFont="1" applyFill="1" applyAlignment="1" applyProtection="1">
      <alignment vertical="center"/>
      <protection hidden="1"/>
    </xf>
    <xf numFmtId="0" fontId="0" fillId="0" borderId="0" xfId="0" applyFill="1" applyProtection="1">
      <alignment vertical="center"/>
      <protection hidden="1"/>
    </xf>
    <xf numFmtId="0" fontId="7" fillId="0" borderId="0" xfId="0" quotePrefix="1" applyFont="1" applyProtection="1">
      <alignment vertical="center"/>
      <protection hidden="1"/>
    </xf>
    <xf numFmtId="0" fontId="0" fillId="0" borderId="28"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center" vertical="center" shrinkToFit="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7" fillId="0" borderId="1" xfId="3" quotePrefix="1" applyFont="1" applyBorder="1" applyAlignment="1" applyProtection="1">
      <alignment horizontal="center" vertical="center"/>
      <protection hidden="1"/>
    </xf>
    <xf numFmtId="0" fontId="20" fillId="0" borderId="0" xfId="3"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0" borderId="0" xfId="0" applyBorder="1" applyAlignment="1" applyProtection="1">
      <alignment horizontal="center" vertical="center"/>
      <protection hidden="1"/>
    </xf>
    <xf numFmtId="0" fontId="4" fillId="2" borderId="11" xfId="0" applyFont="1" applyFill="1" applyBorder="1" applyAlignment="1" applyProtection="1">
      <alignment vertical="center" wrapText="1"/>
      <protection locked="0"/>
    </xf>
    <xf numFmtId="0" fontId="0" fillId="2" borderId="50" xfId="0" applyNumberFormat="1" applyFill="1" applyBorder="1" applyAlignment="1" applyProtection="1">
      <alignment horizontal="center" vertical="center" shrinkToFit="1"/>
      <protection locked="0"/>
    </xf>
    <xf numFmtId="0" fontId="0" fillId="0" borderId="28" xfId="0" applyBorder="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0" fillId="0" borderId="36" xfId="0" applyFill="1" applyBorder="1" applyAlignment="1" applyProtection="1">
      <alignment vertical="center"/>
      <protection hidden="1"/>
    </xf>
    <xf numFmtId="0" fontId="0" fillId="0" borderId="36" xfId="0" applyFill="1" applyBorder="1" applyAlignment="1" applyProtection="1">
      <alignment horizontal="left" vertical="center" shrinkToFit="1"/>
      <protection locked="0"/>
    </xf>
    <xf numFmtId="0" fontId="0" fillId="0" borderId="0" xfId="0" applyFill="1" applyBorder="1" applyProtection="1">
      <alignment vertical="center"/>
      <protection hidden="1"/>
    </xf>
    <xf numFmtId="184" fontId="11" fillId="0" borderId="0" xfId="3" applyNumberFormat="1" applyFont="1" applyBorder="1">
      <alignment vertical="center"/>
    </xf>
    <xf numFmtId="186" fontId="0" fillId="0" borderId="49" xfId="4" applyNumberFormat="1" applyFont="1" applyBorder="1" applyProtection="1">
      <alignment vertical="center"/>
      <protection hidden="1"/>
    </xf>
    <xf numFmtId="0" fontId="11" fillId="0" borderId="18" xfId="3" applyFont="1" applyFill="1" applyBorder="1" applyAlignment="1" applyProtection="1">
      <alignment horizontal="center" vertical="center"/>
      <protection hidden="1"/>
    </xf>
    <xf numFmtId="0" fontId="5" fillId="0" borderId="0" xfId="3" applyFont="1" applyAlignment="1" applyProtection="1">
      <alignment vertical="center"/>
      <protection hidden="1"/>
    </xf>
    <xf numFmtId="0" fontId="5" fillId="7" borderId="0" xfId="3" applyFont="1" applyFill="1" applyProtection="1">
      <alignment vertical="center"/>
      <protection hidden="1"/>
    </xf>
    <xf numFmtId="0" fontId="31" fillId="0" borderId="0" xfId="3" applyFont="1" applyProtection="1">
      <alignment vertical="center"/>
      <protection hidden="1"/>
    </xf>
    <xf numFmtId="0" fontId="31" fillId="0" borderId="0" xfId="3" applyFont="1" applyFill="1" applyProtection="1">
      <alignment vertical="center"/>
      <protection hidden="1"/>
    </xf>
    <xf numFmtId="0" fontId="11" fillId="0" borderId="18" xfId="3" applyFont="1" applyBorder="1" applyAlignment="1" applyProtection="1">
      <alignment horizontal="center" vertical="center" wrapText="1"/>
      <protection hidden="1"/>
    </xf>
    <xf numFmtId="0" fontId="11" fillId="0" borderId="20" xfId="3" applyFont="1" applyFill="1" applyBorder="1" applyAlignment="1" applyProtection="1">
      <alignment vertical="center"/>
      <protection hidden="1"/>
    </xf>
    <xf numFmtId="181" fontId="11" fillId="4" borderId="32" xfId="4" applyNumberFormat="1" applyFont="1" applyFill="1" applyBorder="1" applyAlignment="1" applyProtection="1">
      <alignment horizontal="right" vertical="center" shrinkToFit="1"/>
      <protection locked="0"/>
    </xf>
    <xf numFmtId="181" fontId="11" fillId="4" borderId="34" xfId="4" applyNumberFormat="1" applyFont="1" applyFill="1" applyBorder="1" applyAlignment="1" applyProtection="1">
      <alignment horizontal="right" vertical="center" shrinkToFit="1"/>
      <protection locked="0"/>
    </xf>
    <xf numFmtId="181" fontId="11" fillId="4" borderId="38" xfId="4" applyNumberFormat="1" applyFont="1" applyFill="1" applyBorder="1" applyAlignment="1" applyProtection="1">
      <alignment horizontal="right" vertical="center" shrinkToFit="1"/>
      <protection locked="0"/>
    </xf>
    <xf numFmtId="181" fontId="11" fillId="3" borderId="30" xfId="4" applyNumberFormat="1" applyFont="1" applyFill="1" applyBorder="1" applyAlignment="1" applyProtection="1">
      <alignment horizontal="right" vertical="center" shrinkToFit="1"/>
      <protection hidden="1"/>
    </xf>
    <xf numFmtId="181" fontId="23" fillId="7" borderId="40" xfId="3" applyNumberFormat="1" applyFont="1" applyFill="1" applyBorder="1" applyAlignment="1" applyProtection="1">
      <alignment horizontal="right" vertical="center"/>
      <protection hidden="1"/>
    </xf>
    <xf numFmtId="189" fontId="0" fillId="4" borderId="5" xfId="0" applyNumberFormat="1" applyFill="1" applyBorder="1" applyProtection="1">
      <alignment vertical="center"/>
      <protection locked="0"/>
    </xf>
    <xf numFmtId="189" fontId="0" fillId="4" borderId="5" xfId="1" applyNumberFormat="1" applyFont="1" applyFill="1" applyBorder="1" applyProtection="1">
      <alignment vertical="center"/>
      <protection locked="0"/>
    </xf>
    <xf numFmtId="189" fontId="0" fillId="4" borderId="1" xfId="1" applyNumberFormat="1" applyFont="1" applyFill="1" applyBorder="1" applyProtection="1">
      <alignment vertical="center"/>
      <protection locked="0"/>
    </xf>
    <xf numFmtId="181" fontId="0" fillId="3" borderId="12" xfId="0" applyNumberFormat="1" applyFill="1" applyBorder="1" applyProtection="1">
      <alignment vertical="center"/>
      <protection hidden="1"/>
    </xf>
    <xf numFmtId="190" fontId="0" fillId="4" borderId="1" xfId="0" applyNumberFormat="1" applyFill="1" applyBorder="1" applyProtection="1">
      <alignment vertical="center"/>
      <protection locked="0"/>
    </xf>
    <xf numFmtId="190" fontId="8" fillId="4" borderId="1" xfId="2" applyNumberFormat="1" applyFont="1" applyFill="1" applyBorder="1" applyProtection="1">
      <alignment vertical="center"/>
      <protection locked="0"/>
    </xf>
    <xf numFmtId="189" fontId="0" fillId="4" borderId="1" xfId="0" applyNumberFormat="1" applyFill="1" applyBorder="1" applyProtection="1">
      <alignment vertical="center"/>
      <protection locked="0"/>
    </xf>
    <xf numFmtId="191" fontId="0" fillId="4" borderId="1" xfId="0" applyNumberFormat="1" applyFill="1" applyBorder="1" applyProtection="1">
      <alignment vertical="center"/>
      <protection locked="0"/>
    </xf>
    <xf numFmtId="190" fontId="0" fillId="4" borderId="2" xfId="0" applyNumberFormat="1" applyFill="1" applyBorder="1" applyProtection="1">
      <alignment vertical="center"/>
      <protection locked="0"/>
    </xf>
    <xf numFmtId="189" fontId="0" fillId="4" borderId="14" xfId="0" applyNumberFormat="1" applyFill="1" applyBorder="1" applyProtection="1">
      <alignment vertical="center"/>
      <protection locked="0"/>
    </xf>
    <xf numFmtId="0" fontId="5" fillId="0" borderId="0" xfId="3" applyFont="1" applyFill="1" applyProtection="1">
      <alignment vertical="center"/>
      <protection hidden="1"/>
    </xf>
    <xf numFmtId="0" fontId="0" fillId="9" borderId="0" xfId="0" applyFill="1" applyAlignment="1" applyProtection="1">
      <alignment horizontal="center" vertical="center"/>
      <protection hidden="1"/>
    </xf>
    <xf numFmtId="0" fontId="7" fillId="0" borderId="0"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horizontal="center" vertical="center" wrapText="1" shrinkToFit="1"/>
      <protection hidden="1"/>
    </xf>
    <xf numFmtId="190" fontId="0" fillId="3" borderId="1" xfId="4" applyNumberFormat="1" applyFont="1" applyFill="1" applyBorder="1" applyAlignment="1" applyProtection="1">
      <alignment horizontal="right" vertical="center" shrinkToFit="1"/>
      <protection hidden="1"/>
    </xf>
    <xf numFmtId="190" fontId="0" fillId="3" borderId="4" xfId="0" applyNumberFormat="1" applyFill="1" applyBorder="1" applyAlignment="1" applyProtection="1">
      <alignment vertical="center" shrinkToFit="1"/>
      <protection hidden="1"/>
    </xf>
    <xf numFmtId="190" fontId="8" fillId="3" borderId="5" xfId="2" applyNumberFormat="1" applyFont="1" applyFill="1" applyBorder="1" applyAlignment="1" applyProtection="1">
      <alignment horizontal="right" vertical="center" shrinkToFit="1"/>
      <protection hidden="1"/>
    </xf>
    <xf numFmtId="190" fontId="0" fillId="3" borderId="9" xfId="0" applyNumberFormat="1" applyFill="1" applyBorder="1" applyAlignment="1" applyProtection="1">
      <alignment vertical="center" shrinkToFit="1"/>
      <protection hidden="1"/>
    </xf>
    <xf numFmtId="190" fontId="0" fillId="3" borderId="5" xfId="4" applyNumberFormat="1" applyFont="1" applyFill="1" applyBorder="1" applyAlignment="1" applyProtection="1">
      <alignment horizontal="right" vertical="center" shrinkToFit="1"/>
      <protection hidden="1"/>
    </xf>
    <xf numFmtId="0" fontId="3" fillId="0" borderId="0" xfId="0" applyFont="1" applyProtection="1">
      <alignment vertical="center"/>
      <protection hidden="1"/>
    </xf>
    <xf numFmtId="0" fontId="34" fillId="0" borderId="0" xfId="0" applyFont="1" applyFill="1" applyAlignment="1" applyProtection="1">
      <alignment horizontal="center" vertical="center"/>
      <protection hidden="1"/>
    </xf>
    <xf numFmtId="0" fontId="34" fillId="0" borderId="0" xfId="0" applyFont="1" applyFill="1" applyProtection="1">
      <alignment vertical="center"/>
      <protection hidden="1"/>
    </xf>
    <xf numFmtId="0" fontId="16" fillId="0" borderId="0" xfId="0" applyFont="1" applyProtection="1">
      <alignment vertical="center"/>
      <protection hidden="1"/>
    </xf>
    <xf numFmtId="0" fontId="35" fillId="0" borderId="0" xfId="3" applyFont="1" applyProtection="1">
      <alignment vertical="center"/>
      <protection hidden="1"/>
    </xf>
    <xf numFmtId="0" fontId="16" fillId="0" borderId="0" xfId="0" applyFont="1" applyAlignment="1" applyProtection="1">
      <alignment horizontal="center" vertical="center"/>
      <protection hidden="1"/>
    </xf>
    <xf numFmtId="181" fontId="11" fillId="0" borderId="0" xfId="3" applyNumberFormat="1" applyFont="1" applyProtection="1">
      <alignment vertical="center"/>
      <protection hidden="1"/>
    </xf>
    <xf numFmtId="0" fontId="11" fillId="0" borderId="0" xfId="3" applyFont="1" applyBorder="1" applyAlignment="1" applyProtection="1">
      <alignment horizontal="center" vertical="center" wrapText="1"/>
      <protection hidden="1"/>
    </xf>
    <xf numFmtId="0" fontId="11" fillId="10" borderId="0" xfId="3" applyFont="1" applyFill="1" applyBorder="1" applyAlignment="1" applyProtection="1">
      <alignment horizontal="center" vertical="center" wrapText="1"/>
      <protection hidden="1"/>
    </xf>
    <xf numFmtId="181" fontId="11" fillId="0" borderId="0" xfId="3" applyNumberFormat="1" applyFont="1" applyBorder="1" applyAlignment="1" applyProtection="1">
      <alignment horizontal="center" vertical="center" wrapText="1"/>
      <protection hidden="1"/>
    </xf>
    <xf numFmtId="0" fontId="0" fillId="0" borderId="0" xfId="0" quotePrefix="1" applyProtection="1">
      <alignment vertical="center"/>
      <protection hidden="1"/>
    </xf>
    <xf numFmtId="182" fontId="11" fillId="5" borderId="0" xfId="3" applyNumberFormat="1" applyFont="1" applyFill="1">
      <alignment vertical="center"/>
    </xf>
    <xf numFmtId="182" fontId="11" fillId="6" borderId="0" xfId="3" applyNumberFormat="1" applyFont="1" applyFill="1">
      <alignment vertical="center"/>
    </xf>
    <xf numFmtId="0" fontId="0" fillId="9" borderId="0" xfId="0" applyFill="1" applyBorder="1" applyAlignment="1" applyProtection="1">
      <alignment horizontal="center" vertical="center" wrapText="1"/>
      <protection hidden="1"/>
    </xf>
    <xf numFmtId="0" fontId="39" fillId="0" borderId="0" xfId="3" applyFont="1" applyProtection="1">
      <alignment vertical="center"/>
      <protection hidden="1"/>
    </xf>
    <xf numFmtId="181" fontId="0" fillId="4" borderId="5" xfId="0" applyNumberFormat="1" applyFill="1" applyBorder="1" applyAlignment="1" applyProtection="1">
      <alignment horizontal="right" vertical="center" shrinkToFit="1"/>
      <protection locked="0"/>
    </xf>
    <xf numFmtId="181" fontId="0" fillId="4" borderId="5" xfId="0" applyNumberFormat="1" applyFill="1" applyBorder="1" applyAlignment="1" applyProtection="1">
      <alignment horizontal="right" vertical="center"/>
      <protection locked="0"/>
    </xf>
    <xf numFmtId="0" fontId="7" fillId="0" borderId="0" xfId="3" applyFont="1" applyAlignment="1" applyProtection="1">
      <alignment horizontal="center" vertical="center"/>
      <protection hidden="1"/>
    </xf>
    <xf numFmtId="0" fontId="7" fillId="12" borderId="0" xfId="3" applyFont="1" applyFill="1" applyAlignment="1" applyProtection="1">
      <alignment horizontal="center" vertical="center"/>
      <protection hidden="1"/>
    </xf>
    <xf numFmtId="188" fontId="7" fillId="3" borderId="1" xfId="3" applyNumberFormat="1" applyFont="1" applyFill="1" applyBorder="1" applyAlignment="1" applyProtection="1">
      <alignment horizontal="center" vertical="center"/>
      <protection hidden="1"/>
    </xf>
    <xf numFmtId="0" fontId="5" fillId="0" borderId="0" xfId="3" applyFont="1" applyAlignment="1" applyProtection="1">
      <alignment horizontal="center" vertical="center"/>
      <protection hidden="1"/>
    </xf>
    <xf numFmtId="181" fontId="0" fillId="3" borderId="21" xfId="0" applyNumberFormat="1" applyFill="1" applyBorder="1" applyProtection="1">
      <alignment vertical="center"/>
      <protection hidden="1"/>
    </xf>
    <xf numFmtId="181" fontId="0" fillId="3" borderId="57" xfId="0" applyNumberFormat="1" applyFill="1" applyBorder="1" applyProtection="1">
      <alignment vertical="center"/>
      <protection hidden="1"/>
    </xf>
    <xf numFmtId="189" fontId="0" fillId="4" borderId="10" xfId="0" applyNumberFormat="1" applyFill="1" applyBorder="1" applyProtection="1">
      <alignment vertical="center"/>
      <protection locked="0"/>
    </xf>
    <xf numFmtId="0" fontId="0" fillId="0" borderId="49" xfId="0" applyBorder="1" applyAlignment="1" applyProtection="1">
      <alignment horizontal="center" vertical="center"/>
      <protection hidden="1"/>
    </xf>
    <xf numFmtId="0" fontId="4" fillId="2" borderId="10" xfId="0" applyFont="1" applyFill="1" applyBorder="1" applyAlignment="1" applyProtection="1">
      <alignment horizontal="left" vertical="center" wrapText="1"/>
      <protection locked="0"/>
    </xf>
    <xf numFmtId="181" fontId="0" fillId="4" borderId="10" xfId="0" applyNumberFormat="1" applyFill="1" applyBorder="1" applyAlignment="1" applyProtection="1">
      <alignment horizontal="right" vertical="center"/>
      <protection locked="0"/>
    </xf>
    <xf numFmtId="189" fontId="0" fillId="4" borderId="3" xfId="1" applyNumberFormat="1" applyFont="1" applyFill="1" applyBorder="1" applyProtection="1">
      <alignment vertical="center"/>
      <protection locked="0"/>
    </xf>
    <xf numFmtId="0" fontId="0" fillId="0" borderId="60" xfId="0" quotePrefix="1" applyBorder="1" applyAlignment="1" applyProtection="1">
      <alignment horizontal="center" vertical="center"/>
      <protection hidden="1"/>
    </xf>
    <xf numFmtId="0" fontId="0" fillId="0" borderId="61" xfId="0" quotePrefix="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57" xfId="0" applyFill="1" applyBorder="1" applyAlignment="1" applyProtection="1">
      <alignment horizontal="center" vertical="center"/>
      <protection hidden="1"/>
    </xf>
    <xf numFmtId="0" fontId="0" fillId="0" borderId="58" xfId="0" quotePrefix="1" applyBorder="1" applyAlignment="1" applyProtection="1">
      <alignment horizontal="center" vertical="center"/>
      <protection hidden="1"/>
    </xf>
    <xf numFmtId="0" fontId="0" fillId="0" borderId="59" xfId="0" quotePrefix="1" applyBorder="1" applyAlignment="1" applyProtection="1">
      <alignment horizontal="center" vertical="center"/>
      <protection hidden="1"/>
    </xf>
    <xf numFmtId="0" fontId="0" fillId="0" borderId="21" xfId="0" quotePrefix="1" applyBorder="1" applyAlignment="1" applyProtection="1">
      <alignment horizontal="center" vertical="center"/>
      <protection hidden="1"/>
    </xf>
    <xf numFmtId="0" fontId="0" fillId="0" borderId="57" xfId="0" quotePrefix="1" applyBorder="1" applyAlignment="1" applyProtection="1">
      <alignment horizontal="center" vertical="center"/>
      <protection hidden="1"/>
    </xf>
    <xf numFmtId="0" fontId="0" fillId="2" borderId="5" xfId="0" applyFont="1" applyFill="1" applyBorder="1" applyAlignment="1" applyProtection="1">
      <alignment horizontal="center" vertical="center" shrinkToFit="1"/>
      <protection locked="0"/>
    </xf>
    <xf numFmtId="0" fontId="17" fillId="0" borderId="0" xfId="3" applyFont="1" applyAlignment="1" applyProtection="1">
      <alignment vertical="center"/>
      <protection hidden="1"/>
    </xf>
    <xf numFmtId="182" fontId="11" fillId="13" borderId="0" xfId="3" applyNumberFormat="1" applyFont="1" applyFill="1">
      <alignment vertical="center"/>
    </xf>
    <xf numFmtId="56" fontId="11" fillId="4" borderId="15" xfId="3" applyNumberFormat="1" applyFont="1" applyFill="1" applyBorder="1" applyAlignment="1" applyProtection="1">
      <alignment horizontal="center" vertical="center" shrinkToFit="1"/>
      <protection locked="0"/>
    </xf>
    <xf numFmtId="181" fontId="0" fillId="0" borderId="19" xfId="0" quotePrefix="1" applyNumberFormat="1" applyBorder="1" applyAlignment="1" applyProtection="1">
      <alignment horizontal="right" vertical="center"/>
      <protection hidden="1"/>
    </xf>
    <xf numFmtId="181" fontId="0" fillId="0" borderId="62" xfId="0" quotePrefix="1" applyNumberFormat="1" applyBorder="1" applyAlignment="1" applyProtection="1">
      <alignment horizontal="right" vertical="center"/>
      <protection hidden="1"/>
    </xf>
    <xf numFmtId="181" fontId="0" fillId="0" borderId="60" xfId="0" quotePrefix="1" applyNumberFormat="1" applyBorder="1" applyAlignment="1" applyProtection="1">
      <alignment horizontal="right" vertical="center"/>
      <protection hidden="1"/>
    </xf>
    <xf numFmtId="181" fontId="0" fillId="0" borderId="61" xfId="0" quotePrefix="1" applyNumberFormat="1" applyBorder="1" applyAlignment="1" applyProtection="1">
      <alignment horizontal="right" vertical="center"/>
      <protection hidden="1"/>
    </xf>
    <xf numFmtId="0" fontId="0" fillId="13" borderId="0" xfId="0"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82" fontId="13" fillId="0" borderId="0" xfId="3" applyNumberFormat="1" applyFont="1">
      <alignment vertical="center"/>
    </xf>
    <xf numFmtId="189" fontId="0" fillId="3" borderId="58" xfId="0" applyNumberFormat="1" applyFill="1" applyBorder="1" applyProtection="1">
      <alignment vertical="center"/>
      <protection hidden="1"/>
    </xf>
    <xf numFmtId="189" fontId="0" fillId="3" borderId="59" xfId="0" applyNumberFormat="1" applyFill="1" applyBorder="1" applyProtection="1">
      <alignment vertical="center"/>
      <protection hidden="1"/>
    </xf>
    <xf numFmtId="189" fontId="0" fillId="3" borderId="60" xfId="0" applyNumberFormat="1" applyFill="1" applyBorder="1" applyProtection="1">
      <alignment vertical="center"/>
      <protection hidden="1"/>
    </xf>
    <xf numFmtId="189" fontId="0" fillId="3" borderId="61" xfId="0" applyNumberFormat="1" applyFill="1" applyBorder="1" applyProtection="1">
      <alignment vertical="center"/>
      <protection hidden="1"/>
    </xf>
    <xf numFmtId="0" fontId="0" fillId="0" borderId="1" xfId="0" applyBorder="1" applyAlignment="1" applyProtection="1">
      <alignment horizontal="center" vertical="center" wrapText="1"/>
      <protection hidden="1"/>
    </xf>
    <xf numFmtId="0" fontId="16" fillId="0" borderId="0" xfId="0" applyFont="1" applyBorder="1" applyAlignment="1" applyProtection="1">
      <alignment horizontal="center" vertical="center" wrapText="1"/>
      <protection hidden="1"/>
    </xf>
    <xf numFmtId="0" fontId="11" fillId="2" borderId="1"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187" fontId="7" fillId="4" borderId="3" xfId="3" applyNumberFormat="1" applyFont="1" applyFill="1" applyBorder="1" applyAlignment="1" applyProtection="1">
      <alignment horizontal="right" vertical="center"/>
      <protection locked="0"/>
    </xf>
    <xf numFmtId="0" fontId="7" fillId="2" borderId="5" xfId="3" applyFont="1" applyFill="1" applyBorder="1" applyAlignment="1" applyProtection="1">
      <alignment horizontal="center" vertical="center"/>
      <protection locked="0"/>
    </xf>
    <xf numFmtId="187" fontId="7" fillId="4" borderId="5" xfId="3" applyNumberFormat="1" applyFont="1" applyFill="1" applyBorder="1" applyAlignment="1" applyProtection="1">
      <alignment horizontal="right" vertical="center"/>
      <protection locked="0"/>
    </xf>
    <xf numFmtId="188" fontId="7" fillId="4" borderId="2" xfId="3" applyNumberFormat="1" applyFont="1" applyFill="1" applyBorder="1" applyProtection="1">
      <alignment vertical="center"/>
      <protection locked="0"/>
    </xf>
    <xf numFmtId="187" fontId="7" fillId="4" borderId="2" xfId="3" applyNumberFormat="1" applyFont="1" applyFill="1" applyBorder="1" applyAlignment="1" applyProtection="1">
      <alignment horizontal="right" vertical="center"/>
      <protection locked="0"/>
    </xf>
    <xf numFmtId="187" fontId="7" fillId="4" borderId="14" xfId="3" applyNumberFormat="1" applyFont="1" applyFill="1" applyBorder="1" applyAlignment="1" applyProtection="1">
      <alignment horizontal="right" vertical="center"/>
      <protection locked="0"/>
    </xf>
    <xf numFmtId="0" fontId="7" fillId="2" borderId="63" xfId="3" applyFont="1" applyFill="1" applyBorder="1" applyAlignment="1" applyProtection="1">
      <alignment horizontal="center" vertical="center"/>
      <protection locked="0"/>
    </xf>
    <xf numFmtId="187" fontId="7" fillId="4" borderId="63" xfId="3" applyNumberFormat="1" applyFont="1" applyFill="1" applyBorder="1" applyAlignment="1" applyProtection="1">
      <alignment horizontal="right" vertical="center"/>
      <protection locked="0"/>
    </xf>
    <xf numFmtId="188" fontId="7" fillId="3" borderId="14" xfId="3" applyNumberFormat="1" applyFont="1" applyFill="1" applyBorder="1" applyAlignment="1" applyProtection="1">
      <alignment horizontal="center" vertical="center"/>
      <protection hidden="1"/>
    </xf>
    <xf numFmtId="187" fontId="7" fillId="4" borderId="67" xfId="3" applyNumberFormat="1" applyFont="1" applyFill="1" applyBorder="1" applyAlignment="1" applyProtection="1">
      <alignment horizontal="right" vertical="center"/>
      <protection locked="0"/>
    </xf>
    <xf numFmtId="187" fontId="7" fillId="4" borderId="68" xfId="3" applyNumberFormat="1" applyFont="1" applyFill="1" applyBorder="1" applyAlignment="1" applyProtection="1">
      <alignment horizontal="right" vertical="center"/>
      <protection locked="0"/>
    </xf>
    <xf numFmtId="187" fontId="7" fillId="4" borderId="69" xfId="3" applyNumberFormat="1" applyFont="1" applyFill="1" applyBorder="1" applyAlignment="1" applyProtection="1">
      <alignment horizontal="right" vertical="center"/>
      <protection locked="0"/>
    </xf>
    <xf numFmtId="187" fontId="7" fillId="4" borderId="70" xfId="3" applyNumberFormat="1" applyFont="1" applyFill="1" applyBorder="1" applyAlignment="1" applyProtection="1">
      <alignment horizontal="right" vertical="center"/>
      <protection locked="0"/>
    </xf>
    <xf numFmtId="187" fontId="7" fillId="4" borderId="71" xfId="3" applyNumberFormat="1" applyFont="1" applyFill="1" applyBorder="1" applyAlignment="1" applyProtection="1">
      <alignment horizontal="right" vertical="center"/>
      <protection locked="0"/>
    </xf>
    <xf numFmtId="187" fontId="7" fillId="4" borderId="72" xfId="3" applyNumberFormat="1" applyFont="1" applyFill="1" applyBorder="1" applyAlignment="1" applyProtection="1">
      <alignment horizontal="right" vertical="center"/>
      <protection locked="0"/>
    </xf>
    <xf numFmtId="0" fontId="7" fillId="3" borderId="5" xfId="3" applyFont="1" applyFill="1" applyBorder="1" applyAlignment="1" applyProtection="1">
      <alignment horizontal="center" vertical="center"/>
      <protection hidden="1"/>
    </xf>
    <xf numFmtId="188" fontId="7" fillId="3" borderId="2" xfId="3" applyNumberFormat="1" applyFont="1" applyFill="1" applyBorder="1" applyAlignment="1" applyProtection="1">
      <alignment horizontal="center" vertical="center"/>
      <protection hidden="1"/>
    </xf>
    <xf numFmtId="0" fontId="7" fillId="3" borderId="67" xfId="3" applyFont="1" applyFill="1" applyBorder="1" applyAlignment="1" applyProtection="1">
      <alignment horizontal="center" vertical="center"/>
      <protection hidden="1"/>
    </xf>
    <xf numFmtId="0" fontId="7" fillId="3" borderId="68" xfId="3" applyFont="1" applyFill="1" applyBorder="1" applyAlignment="1" applyProtection="1">
      <alignment horizontal="center" vertical="center"/>
      <protection hidden="1"/>
    </xf>
    <xf numFmtId="0" fontId="7" fillId="3" borderId="69" xfId="3" applyFont="1" applyFill="1" applyBorder="1" applyAlignment="1" applyProtection="1">
      <alignment horizontal="center" vertical="center"/>
      <protection hidden="1"/>
    </xf>
    <xf numFmtId="0" fontId="7" fillId="3" borderId="70" xfId="3" applyFont="1" applyFill="1" applyBorder="1" applyAlignment="1" applyProtection="1">
      <alignment horizontal="center" vertical="center"/>
      <protection hidden="1"/>
    </xf>
    <xf numFmtId="0" fontId="7" fillId="3" borderId="71" xfId="3" applyFont="1" applyFill="1" applyBorder="1" applyAlignment="1" applyProtection="1">
      <alignment horizontal="center" vertical="center"/>
      <protection hidden="1"/>
    </xf>
    <xf numFmtId="0" fontId="7" fillId="3" borderId="72" xfId="3" applyFont="1" applyFill="1" applyBorder="1" applyAlignment="1" applyProtection="1">
      <alignment horizontal="center" vertical="center"/>
      <protection hidden="1"/>
    </xf>
    <xf numFmtId="187" fontId="7" fillId="4" borderId="15" xfId="3" applyNumberFormat="1" applyFont="1" applyFill="1" applyBorder="1" applyAlignment="1" applyProtection="1">
      <alignment horizontal="right" vertical="center"/>
      <protection locked="0"/>
    </xf>
    <xf numFmtId="188" fontId="7" fillId="3" borderId="29" xfId="3" applyNumberFormat="1" applyFont="1" applyFill="1" applyBorder="1" applyAlignment="1" applyProtection="1">
      <alignment horizontal="center" vertical="center"/>
      <protection hidden="1"/>
    </xf>
    <xf numFmtId="0" fontId="7" fillId="3" borderId="3" xfId="3" applyFont="1" applyFill="1" applyBorder="1" applyAlignment="1" applyProtection="1">
      <alignment horizontal="center" vertical="center"/>
      <protection hidden="1"/>
    </xf>
    <xf numFmtId="188" fontId="7" fillId="3" borderId="11" xfId="3" applyNumberFormat="1" applyFont="1" applyFill="1" applyBorder="1" applyAlignment="1" applyProtection="1">
      <alignment horizontal="center" vertical="center"/>
      <protection hidden="1"/>
    </xf>
    <xf numFmtId="188" fontId="7" fillId="3" borderId="15" xfId="3" applyNumberFormat="1" applyFont="1" applyFill="1" applyBorder="1" applyAlignment="1" applyProtection="1">
      <alignment horizontal="center" vertical="center"/>
      <protection hidden="1"/>
    </xf>
    <xf numFmtId="188" fontId="7" fillId="3" borderId="73" xfId="3" applyNumberFormat="1" applyFont="1" applyFill="1" applyBorder="1" applyAlignment="1" applyProtection="1">
      <alignment horizontal="center" vertical="center"/>
      <protection hidden="1"/>
    </xf>
    <xf numFmtId="0" fontId="7" fillId="3" borderId="74" xfId="3" applyFont="1" applyFill="1" applyBorder="1" applyAlignment="1" applyProtection="1">
      <alignment horizontal="center" vertical="center"/>
      <protection hidden="1"/>
    </xf>
    <xf numFmtId="0" fontId="7" fillId="3" borderId="75" xfId="3" applyFon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4" fillId="2" borderId="50" xfId="0" applyFont="1" applyFill="1" applyBorder="1" applyAlignment="1" applyProtection="1">
      <alignment horizontal="left" vertical="center" wrapText="1"/>
      <protection locked="0"/>
    </xf>
    <xf numFmtId="0" fontId="0" fillId="0" borderId="78"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190" fontId="0" fillId="4" borderId="5" xfId="0" applyNumberFormat="1" applyFill="1" applyBorder="1" applyProtection="1">
      <alignment vertical="center"/>
      <protection locked="0"/>
    </xf>
    <xf numFmtId="0" fontId="0" fillId="2" borderId="11" xfId="0" applyNumberFormat="1" applyFill="1" applyBorder="1" applyAlignment="1" applyProtection="1">
      <alignment horizontal="center" vertical="center" shrinkToFit="1"/>
      <protection locked="0"/>
    </xf>
    <xf numFmtId="178" fontId="8" fillId="2" borderId="50" xfId="2" applyNumberFormat="1" applyFont="1" applyFill="1" applyBorder="1" applyAlignment="1" applyProtection="1">
      <alignment horizontal="center" vertical="center"/>
      <protection locked="0"/>
    </xf>
    <xf numFmtId="189" fontId="0" fillId="4" borderId="88" xfId="0" applyNumberFormat="1" applyFill="1" applyBorder="1" applyProtection="1">
      <alignment vertical="center"/>
      <protection locked="0"/>
    </xf>
    <xf numFmtId="189" fontId="0" fillId="4" borderId="74" xfId="0" applyNumberFormat="1" applyFill="1" applyBorder="1" applyProtection="1">
      <alignment vertical="center"/>
      <protection locked="0"/>
    </xf>
    <xf numFmtId="190" fontId="0" fillId="4" borderId="74" xfId="0" applyNumberFormat="1" applyFill="1" applyBorder="1" applyProtection="1">
      <alignment vertical="center"/>
      <protection locked="0"/>
    </xf>
    <xf numFmtId="190" fontId="0" fillId="4" borderId="75" xfId="0" applyNumberFormat="1" applyFill="1" applyBorder="1" applyProtection="1">
      <alignment vertical="center"/>
      <protection locked="0"/>
    </xf>
    <xf numFmtId="0" fontId="4" fillId="2" borderId="50" xfId="0" applyFont="1" applyFill="1" applyBorder="1" applyAlignment="1" applyProtection="1">
      <alignment vertical="center" wrapText="1"/>
      <protection locked="0"/>
    </xf>
    <xf numFmtId="0" fontId="0" fillId="0" borderId="3" xfId="0" applyBorder="1" applyAlignment="1" applyProtection="1">
      <alignment horizontal="center" vertical="center" wrapText="1"/>
      <protection hidden="1"/>
    </xf>
    <xf numFmtId="190" fontId="8" fillId="4" borderId="5" xfId="2" applyNumberFormat="1" applyFont="1" applyFill="1" applyBorder="1" applyProtection="1">
      <alignment vertical="center"/>
      <protection locked="0"/>
    </xf>
    <xf numFmtId="190" fontId="8" fillId="4" borderId="74" xfId="2" applyNumberFormat="1" applyFont="1" applyFill="1" applyBorder="1" applyProtection="1">
      <alignment vertical="center"/>
      <protection locked="0"/>
    </xf>
    <xf numFmtId="190" fontId="8" fillId="4" borderId="75" xfId="2" applyNumberFormat="1" applyFont="1" applyFill="1" applyBorder="1" applyProtection="1">
      <alignment vertical="center"/>
      <protection locked="0"/>
    </xf>
    <xf numFmtId="181" fontId="0" fillId="4" borderId="11" xfId="0" applyNumberFormat="1" applyFill="1" applyBorder="1" applyAlignment="1" applyProtection="1">
      <alignment horizontal="right" vertical="center"/>
      <protection locked="0"/>
    </xf>
    <xf numFmtId="189" fontId="0" fillId="4" borderId="50" xfId="0" applyNumberFormat="1" applyFill="1" applyBorder="1" applyProtection="1">
      <alignment vertical="center"/>
      <protection locked="0"/>
    </xf>
    <xf numFmtId="189" fontId="0" fillId="4" borderId="67" xfId="0" applyNumberFormat="1" applyFill="1" applyBorder="1" applyProtection="1">
      <alignment vertical="center"/>
      <protection locked="0"/>
    </xf>
    <xf numFmtId="189" fontId="0" fillId="4" borderId="91" xfId="0" applyNumberFormat="1" applyFill="1" applyBorder="1" applyProtection="1">
      <alignment vertical="center"/>
      <protection locked="0"/>
    </xf>
    <xf numFmtId="189" fontId="0" fillId="4" borderId="70" xfId="1" applyNumberFormat="1" applyFont="1" applyFill="1" applyBorder="1" applyProtection="1">
      <alignment vertical="center"/>
      <protection locked="0"/>
    </xf>
    <xf numFmtId="189" fontId="0" fillId="4" borderId="72" xfId="1" applyNumberFormat="1" applyFont="1" applyFill="1" applyBorder="1" applyProtection="1">
      <alignment vertical="center"/>
      <protection locked="0"/>
    </xf>
    <xf numFmtId="189" fontId="0" fillId="4" borderId="92" xfId="0" applyNumberFormat="1" applyFill="1" applyBorder="1" applyProtection="1">
      <alignment vertical="center"/>
      <protection locked="0"/>
    </xf>
    <xf numFmtId="189" fontId="0" fillId="4" borderId="71" xfId="1" applyNumberFormat="1" applyFont="1" applyFill="1" applyBorder="1" applyProtection="1">
      <alignment vertical="center"/>
      <protection locked="0"/>
    </xf>
    <xf numFmtId="179" fontId="0" fillId="3" borderId="42" xfId="1" applyNumberFormat="1" applyFont="1" applyFill="1" applyBorder="1" applyAlignment="1" applyProtection="1">
      <alignment horizontal="center" vertical="center"/>
      <protection hidden="1"/>
    </xf>
    <xf numFmtId="179" fontId="0" fillId="3" borderId="15" xfId="1" applyNumberFormat="1" applyFont="1" applyFill="1" applyBorder="1" applyAlignment="1" applyProtection="1">
      <alignment horizontal="center" vertical="center"/>
      <protection hidden="1"/>
    </xf>
    <xf numFmtId="189" fontId="8" fillId="4" borderId="67" xfId="2" applyNumberFormat="1" applyFont="1" applyFill="1" applyBorder="1" applyProtection="1">
      <alignment vertical="center"/>
      <protection locked="0"/>
    </xf>
    <xf numFmtId="189" fontId="8" fillId="4" borderId="68" xfId="2" applyNumberFormat="1" applyFont="1" applyFill="1" applyBorder="1" applyProtection="1">
      <alignment vertical="center"/>
      <protection locked="0"/>
    </xf>
    <xf numFmtId="189" fontId="8" fillId="4" borderId="69" xfId="2" applyNumberFormat="1" applyFont="1" applyFill="1" applyBorder="1" applyProtection="1">
      <alignment vertical="center"/>
      <protection locked="0"/>
    </xf>
    <xf numFmtId="189" fontId="8" fillId="4" borderId="70" xfId="2" applyNumberFormat="1" applyFont="1" applyFill="1" applyBorder="1" applyProtection="1">
      <alignment vertical="center"/>
      <protection locked="0"/>
    </xf>
    <xf numFmtId="189" fontId="8" fillId="4" borderId="71" xfId="2" applyNumberFormat="1" applyFont="1" applyFill="1" applyBorder="1" applyProtection="1">
      <alignment vertical="center"/>
      <protection locked="0"/>
    </xf>
    <xf numFmtId="189" fontId="8" fillId="4" borderId="72" xfId="2" applyNumberFormat="1" applyFont="1" applyFill="1" applyBorder="1" applyProtection="1">
      <alignment vertical="center"/>
      <protection locked="0"/>
    </xf>
    <xf numFmtId="0" fontId="8" fillId="15" borderId="0" xfId="0" applyFont="1" applyFill="1" applyProtection="1">
      <alignment vertical="center"/>
      <protection hidden="1"/>
    </xf>
    <xf numFmtId="0" fontId="5" fillId="15" borderId="0" xfId="0" applyFont="1" applyFill="1" applyProtection="1">
      <alignment vertical="center"/>
      <protection hidden="1"/>
    </xf>
    <xf numFmtId="189" fontId="0" fillId="4" borderId="68" xfId="0" applyNumberFormat="1" applyFill="1" applyBorder="1" applyProtection="1">
      <alignment vertical="center"/>
      <protection locked="0"/>
    </xf>
    <xf numFmtId="189" fontId="0" fillId="4" borderId="94" xfId="0" applyNumberFormat="1" applyFill="1" applyBorder="1" applyProtection="1">
      <alignment vertical="center"/>
      <protection locked="0"/>
    </xf>
    <xf numFmtId="189" fontId="0" fillId="4" borderId="95" xfId="1" applyNumberFormat="1" applyFont="1" applyFill="1" applyBorder="1" applyProtection="1">
      <alignment vertical="center"/>
      <protection locked="0"/>
    </xf>
    <xf numFmtId="189" fontId="0" fillId="4" borderId="69" xfId="0" applyNumberFormat="1" applyFill="1" applyBorder="1" applyProtection="1">
      <alignment vertical="center"/>
      <protection locked="0"/>
    </xf>
    <xf numFmtId="189" fontId="8" fillId="4" borderId="96" xfId="2" applyNumberFormat="1" applyFont="1" applyFill="1" applyBorder="1" applyProtection="1">
      <alignment vertical="center"/>
      <protection locked="0"/>
    </xf>
    <xf numFmtId="189" fontId="8" fillId="4" borderId="95" xfId="2" applyNumberFormat="1" applyFont="1" applyFill="1" applyBorder="1" applyProtection="1">
      <alignment vertical="center"/>
      <protection locked="0"/>
    </xf>
    <xf numFmtId="0" fontId="0" fillId="0" borderId="65" xfId="0"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98"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181" fontId="0" fillId="3" borderId="105" xfId="0" applyNumberFormat="1" applyFill="1" applyBorder="1" applyProtection="1">
      <alignment vertical="center"/>
      <protection hidden="1"/>
    </xf>
    <xf numFmtId="181" fontId="0" fillId="3" borderId="106" xfId="0" applyNumberFormat="1" applyFill="1" applyBorder="1" applyProtection="1">
      <alignment vertical="center"/>
      <protection hidden="1"/>
    </xf>
    <xf numFmtId="189" fontId="0" fillId="3" borderId="107" xfId="0" applyNumberFormat="1" applyFill="1" applyBorder="1" applyProtection="1">
      <alignment vertical="center"/>
      <protection hidden="1"/>
    </xf>
    <xf numFmtId="189" fontId="0" fillId="3" borderId="108" xfId="0" applyNumberFormat="1" applyFill="1" applyBorder="1" applyProtection="1">
      <alignment vertical="center"/>
      <protection hidden="1"/>
    </xf>
    <xf numFmtId="189" fontId="0" fillId="3" borderId="1" xfId="0" applyNumberFormat="1" applyFill="1" applyBorder="1" applyProtection="1">
      <alignment vertical="center"/>
      <protection hidden="1"/>
    </xf>
    <xf numFmtId="0" fontId="11" fillId="0" borderId="14" xfId="3" applyFont="1" applyBorder="1" applyAlignment="1" applyProtection="1">
      <alignment horizontal="center" vertical="center"/>
      <protection hidden="1"/>
    </xf>
    <xf numFmtId="0" fontId="11" fillId="2" borderId="64" xfId="3" applyFont="1" applyFill="1" applyBorder="1" applyAlignment="1" applyProtection="1">
      <alignment horizontal="center" vertical="center"/>
      <protection locked="0"/>
    </xf>
    <xf numFmtId="0" fontId="11" fillId="2" borderId="66" xfId="3" applyFont="1" applyFill="1" applyBorder="1" applyAlignment="1" applyProtection="1">
      <alignment horizontal="center" vertical="center"/>
      <protection locked="0"/>
    </xf>
    <xf numFmtId="55" fontId="11" fillId="0" borderId="109" xfId="3" applyNumberFormat="1" applyFont="1" applyBorder="1" applyAlignment="1" applyProtection="1">
      <alignment horizontal="center" vertical="center" wrapText="1"/>
      <protection hidden="1"/>
    </xf>
    <xf numFmtId="0" fontId="11" fillId="2" borderId="63" xfId="3" applyFont="1" applyFill="1" applyBorder="1" applyAlignment="1" applyProtection="1">
      <alignment horizontal="center" vertical="center"/>
      <protection locked="0"/>
    </xf>
    <xf numFmtId="55" fontId="11" fillId="0" borderId="14" xfId="3" applyNumberFormat="1" applyFont="1" applyBorder="1" applyAlignment="1" applyProtection="1">
      <alignment horizontal="center" vertical="center" wrapText="1"/>
      <protection hidden="1"/>
    </xf>
    <xf numFmtId="189" fontId="0" fillId="4" borderId="3" xfId="0" applyNumberFormat="1" applyFill="1" applyBorder="1" applyProtection="1">
      <alignment vertical="center"/>
      <protection locked="0"/>
    </xf>
    <xf numFmtId="189" fontId="0" fillId="4" borderId="14" xfId="1" applyNumberFormat="1" applyFont="1" applyFill="1" applyBorder="1" applyProtection="1">
      <alignment vertical="center"/>
      <protection locked="0"/>
    </xf>
    <xf numFmtId="189" fontId="0" fillId="4" borderId="63" xfId="0" applyNumberFormat="1" applyFill="1" applyBorder="1" applyProtection="1">
      <alignment vertical="center"/>
      <protection locked="0"/>
    </xf>
    <xf numFmtId="0" fontId="11" fillId="2" borderId="111" xfId="3" applyFont="1" applyFill="1" applyBorder="1" applyAlignment="1" applyProtection="1">
      <alignment horizontal="center" vertical="center"/>
      <protection locked="0"/>
    </xf>
    <xf numFmtId="0" fontId="11" fillId="0" borderId="114" xfId="3" applyFont="1" applyBorder="1" applyAlignment="1" applyProtection="1">
      <alignment horizontal="center" vertical="center" wrapText="1"/>
      <protection hidden="1"/>
    </xf>
    <xf numFmtId="181" fontId="23" fillId="7" borderId="115" xfId="3" applyNumberFormat="1" applyFont="1" applyFill="1" applyBorder="1" applyAlignment="1" applyProtection="1">
      <alignment horizontal="right" vertical="center"/>
      <protection hidden="1"/>
    </xf>
    <xf numFmtId="0" fontId="43" fillId="0" borderId="0" xfId="0" applyFont="1" applyProtection="1">
      <alignment vertical="center"/>
      <protection hidden="1"/>
    </xf>
    <xf numFmtId="177" fontId="10" fillId="0" borderId="3" xfId="3" applyNumberFormat="1" applyBorder="1" applyAlignment="1" applyProtection="1">
      <alignment horizontal="center" vertical="center"/>
      <protection hidden="1"/>
    </xf>
    <xf numFmtId="177" fontId="10" fillId="0" borderId="10" xfId="3" applyNumberFormat="1" applyBorder="1" applyAlignment="1" applyProtection="1">
      <alignment horizontal="center" vertical="center"/>
      <protection hidden="1"/>
    </xf>
    <xf numFmtId="177" fontId="10" fillId="0" borderId="5" xfId="3" applyNumberFormat="1" applyBorder="1" applyAlignment="1" applyProtection="1">
      <alignment horizontal="center" vertical="center"/>
      <protection hidden="1"/>
    </xf>
    <xf numFmtId="177" fontId="10" fillId="0" borderId="1" xfId="3" applyNumberFormat="1" applyBorder="1" applyAlignment="1" applyProtection="1">
      <alignment horizontal="center" vertical="center"/>
      <protection hidden="1"/>
    </xf>
    <xf numFmtId="182" fontId="11" fillId="5" borderId="22" xfId="3" applyNumberFormat="1" applyFont="1" applyFill="1" applyBorder="1" applyAlignment="1">
      <alignment horizontal="center" vertical="center"/>
    </xf>
    <xf numFmtId="0" fontId="33" fillId="3" borderId="64" xfId="3" applyFont="1" applyFill="1" applyBorder="1" applyAlignment="1" applyProtection="1">
      <alignment horizontal="center" vertical="center"/>
      <protection hidden="1"/>
    </xf>
    <xf numFmtId="0" fontId="33" fillId="3" borderId="65" xfId="3" applyFont="1" applyFill="1" applyBorder="1" applyAlignment="1" applyProtection="1">
      <alignment horizontal="center" vertical="center"/>
      <protection hidden="1"/>
    </xf>
    <xf numFmtId="0" fontId="33" fillId="3" borderId="66" xfId="3" applyFont="1" applyFill="1" applyBorder="1" applyAlignment="1" applyProtection="1">
      <alignment horizontal="center" vertical="center"/>
      <protection hidden="1"/>
    </xf>
    <xf numFmtId="0" fontId="7" fillId="3" borderId="3" xfId="3" applyFont="1" applyFill="1" applyBorder="1" applyAlignment="1" applyProtection="1">
      <alignment horizontal="center" vertical="center" wrapText="1"/>
      <protection hidden="1"/>
    </xf>
    <xf numFmtId="0" fontId="7" fillId="3" borderId="10" xfId="3" applyFont="1" applyFill="1" applyBorder="1" applyAlignment="1" applyProtection="1">
      <alignment horizontal="center" vertical="center" wrapText="1"/>
      <protection hidden="1"/>
    </xf>
    <xf numFmtId="0" fontId="7" fillId="0" borderId="3" xfId="3" applyFont="1" applyBorder="1" applyAlignment="1" applyProtection="1">
      <alignment horizontal="center" vertical="center" wrapText="1"/>
      <protection hidden="1"/>
    </xf>
    <xf numFmtId="0" fontId="7" fillId="0" borderId="10" xfId="3" applyFont="1" applyBorder="1" applyAlignment="1" applyProtection="1">
      <alignment horizontal="center" vertical="center" wrapText="1"/>
      <protection hidden="1"/>
    </xf>
    <xf numFmtId="0" fontId="7" fillId="0" borderId="2" xfId="3" applyFont="1" applyBorder="1" applyAlignment="1" applyProtection="1">
      <alignment horizontal="center" vertical="center" wrapText="1"/>
      <protection hidden="1"/>
    </xf>
    <xf numFmtId="0" fontId="7" fillId="0" borderId="14" xfId="3" applyFont="1" applyBorder="1" applyAlignment="1" applyProtection="1">
      <alignment horizontal="center" vertical="center" wrapText="1"/>
      <protection hidden="1"/>
    </xf>
    <xf numFmtId="0" fontId="7" fillId="0" borderId="1" xfId="3" applyFont="1" applyBorder="1" applyAlignment="1" applyProtection="1">
      <alignment horizontal="center" vertical="center"/>
      <protection hidden="1"/>
    </xf>
    <xf numFmtId="0" fontId="7" fillId="0" borderId="1" xfId="3" applyFont="1" applyBorder="1" applyAlignment="1" applyProtection="1">
      <alignment horizontal="center" vertical="center" wrapText="1"/>
      <protection hidden="1"/>
    </xf>
    <xf numFmtId="0" fontId="7" fillId="11" borderId="0" xfId="3" applyFont="1" applyFill="1" applyBorder="1" applyAlignment="1" applyProtection="1">
      <alignment horizontal="right" vertical="center"/>
      <protection hidden="1"/>
    </xf>
    <xf numFmtId="0" fontId="7" fillId="10" borderId="0" xfId="3" applyFont="1" applyFill="1" applyBorder="1" applyAlignment="1" applyProtection="1">
      <alignment horizontal="right" vertical="center"/>
      <protection hidden="1"/>
    </xf>
    <xf numFmtId="0" fontId="7" fillId="10" borderId="49" xfId="3" applyFont="1" applyFill="1" applyBorder="1" applyAlignment="1" applyProtection="1">
      <alignment horizontal="right" vertical="center"/>
      <protection hidden="1"/>
    </xf>
    <xf numFmtId="0" fontId="7" fillId="12" borderId="0" xfId="3" applyFont="1" applyFill="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0" borderId="2" xfId="0" applyFont="1" applyBorder="1" applyAlignment="1" applyProtection="1">
      <alignment horizontal="left" vertical="center" wrapText="1" shrinkToFit="1"/>
      <protection hidden="1"/>
    </xf>
    <xf numFmtId="0" fontId="0" fillId="0" borderId="14" xfId="0" applyFont="1" applyBorder="1" applyAlignment="1" applyProtection="1">
      <alignment horizontal="left" vertical="center" wrapText="1" shrinkToFit="1"/>
      <protection hidden="1"/>
    </xf>
    <xf numFmtId="0" fontId="7" fillId="0" borderId="2" xfId="0" applyFont="1" applyBorder="1" applyAlignment="1" applyProtection="1">
      <alignment horizontal="left" vertical="center" wrapText="1" shrinkToFit="1"/>
      <protection hidden="1"/>
    </xf>
    <xf numFmtId="0" fontId="7" fillId="0" borderId="14" xfId="0" applyFont="1" applyBorder="1" applyAlignment="1" applyProtection="1">
      <alignment horizontal="left" vertical="center" wrapText="1" shrinkToFit="1"/>
      <protection hidden="1"/>
    </xf>
    <xf numFmtId="0" fontId="7" fillId="0" borderId="3" xfId="0" applyFont="1" applyBorder="1" applyAlignment="1" applyProtection="1">
      <alignment vertical="center" wrapText="1" shrinkToFit="1"/>
      <protection hidden="1"/>
    </xf>
    <xf numFmtId="0" fontId="7" fillId="0" borderId="5" xfId="0" applyFont="1" applyBorder="1" applyAlignment="1" applyProtection="1">
      <alignment vertical="center" wrapText="1" shrinkToFit="1"/>
      <protection hidden="1"/>
    </xf>
    <xf numFmtId="0" fontId="7" fillId="0" borderId="3" xfId="0" applyFont="1" applyBorder="1" applyAlignment="1" applyProtection="1">
      <alignment vertical="center" shrinkToFit="1"/>
      <protection hidden="1"/>
    </xf>
    <xf numFmtId="0" fontId="7" fillId="0" borderId="5" xfId="0" applyFont="1" applyBorder="1" applyAlignment="1" applyProtection="1">
      <alignment vertical="center" shrinkToFit="1"/>
      <protection hidden="1"/>
    </xf>
    <xf numFmtId="0" fontId="7" fillId="0" borderId="2"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4" borderId="47" xfId="0" applyFill="1" applyBorder="1" applyAlignment="1" applyProtection="1">
      <alignment horizontal="left" vertical="center" shrinkToFit="1"/>
      <protection locked="0"/>
    </xf>
    <xf numFmtId="0" fontId="0" fillId="0" borderId="84" xfId="0" applyBorder="1" applyAlignment="1" applyProtection="1">
      <alignment horizontal="center" vertical="center" wrapText="1"/>
      <protection hidden="1"/>
    </xf>
    <xf numFmtId="0" fontId="0" fillId="0" borderId="85" xfId="0" applyBorder="1" applyAlignment="1" applyProtection="1">
      <alignment horizontal="center" vertical="center" wrapText="1"/>
      <protection hidden="1"/>
    </xf>
    <xf numFmtId="0" fontId="0" fillId="4" borderId="47" xfId="0" applyFill="1" applyBorder="1" applyAlignment="1" applyProtection="1">
      <alignment horizontal="left" vertical="center" indent="2" shrinkToFit="1"/>
      <protection locked="0"/>
    </xf>
    <xf numFmtId="0" fontId="0" fillId="0" borderId="14"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1" xfId="0"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0" fillId="0" borderId="1" xfId="0" applyBorder="1" applyAlignment="1" applyProtection="1">
      <alignment vertical="center" shrinkToFit="1"/>
      <protection hidden="1"/>
    </xf>
    <xf numFmtId="0" fontId="0" fillId="0" borderId="76" xfId="0" applyBorder="1" applyAlignment="1" applyProtection="1">
      <alignment horizontal="center" vertical="center" wrapText="1"/>
      <protection hidden="1"/>
    </xf>
    <xf numFmtId="0" fontId="0" fillId="0" borderId="77"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4" borderId="52" xfId="0" applyFill="1" applyBorder="1" applyAlignment="1" applyProtection="1">
      <alignment horizontal="left" vertical="center" indent="2" shrinkToFit="1"/>
      <protection locked="0"/>
    </xf>
    <xf numFmtId="0" fontId="0" fillId="4" borderId="46" xfId="0" applyFill="1" applyBorder="1" applyAlignment="1" applyProtection="1">
      <alignment horizontal="left" vertical="center" indent="2" shrinkToFit="1"/>
      <protection locked="0"/>
    </xf>
    <xf numFmtId="0" fontId="0" fillId="4" borderId="54" xfId="0" applyFill="1" applyBorder="1" applyAlignment="1" applyProtection="1">
      <alignment horizontal="left" vertical="center" indent="2" shrinkToFit="1"/>
      <protection locked="0"/>
    </xf>
    <xf numFmtId="0" fontId="42" fillId="4" borderId="46" xfId="0" applyFont="1" applyFill="1" applyBorder="1" applyAlignment="1" applyProtection="1">
      <alignment horizontal="left" vertical="center" indent="2" shrinkToFit="1"/>
      <protection locked="0"/>
    </xf>
    <xf numFmtId="0" fontId="42" fillId="4" borderId="47" xfId="0" applyFont="1" applyFill="1" applyBorder="1" applyAlignment="1" applyProtection="1">
      <alignment horizontal="left" vertical="center" indent="2" shrinkToFit="1"/>
      <protection locked="0"/>
    </xf>
    <xf numFmtId="0" fontId="0" fillId="4" borderId="48" xfId="0" applyFill="1" applyBorder="1" applyAlignment="1" applyProtection="1">
      <alignment horizontal="left" vertical="center" shrinkToFit="1"/>
      <protection locked="0"/>
    </xf>
    <xf numFmtId="0" fontId="0" fillId="5" borderId="51" xfId="0" applyFill="1" applyBorder="1" applyAlignment="1" applyProtection="1">
      <alignment horizontal="left" vertical="center" shrinkToFit="1"/>
      <protection locked="0"/>
    </xf>
    <xf numFmtId="0" fontId="0" fillId="5" borderId="52" xfId="0" applyFill="1" applyBorder="1" applyAlignment="1" applyProtection="1">
      <alignment horizontal="left" vertical="center" shrinkToFit="1"/>
      <protection locked="0"/>
    </xf>
    <xf numFmtId="0" fontId="0" fillId="5" borderId="53" xfId="0" applyFill="1" applyBorder="1" applyAlignment="1" applyProtection="1">
      <alignment horizontal="left" vertical="center" shrinkToFit="1"/>
      <protection locked="0"/>
    </xf>
    <xf numFmtId="0" fontId="0" fillId="5" borderId="54" xfId="0" applyFill="1" applyBorder="1" applyAlignment="1" applyProtection="1">
      <alignment horizontal="left" vertical="center" shrinkToFit="1"/>
      <protection locked="0"/>
    </xf>
    <xf numFmtId="0" fontId="0" fillId="5" borderId="55" xfId="0" applyFill="1" applyBorder="1" applyAlignment="1" applyProtection="1">
      <alignment horizontal="left" vertical="center" shrinkToFit="1"/>
      <protection locked="0"/>
    </xf>
    <xf numFmtId="0" fontId="0" fillId="5" borderId="56" xfId="0" applyFill="1" applyBorder="1" applyAlignment="1" applyProtection="1">
      <alignment horizontal="left" vertical="center" shrinkToFit="1"/>
      <protection locked="0"/>
    </xf>
    <xf numFmtId="0" fontId="7" fillId="0" borderId="14" xfId="0" applyFont="1" applyBorder="1" applyAlignment="1" applyProtection="1">
      <alignment vertical="center" wrapText="1"/>
      <protection hidden="1"/>
    </xf>
    <xf numFmtId="0" fontId="0" fillId="0" borderId="84" xfId="0" applyFont="1" applyBorder="1" applyAlignment="1" applyProtection="1">
      <alignment horizontal="center" vertical="center" wrapText="1"/>
      <protection hidden="1"/>
    </xf>
    <xf numFmtId="0" fontId="0" fillId="0" borderId="85" xfId="0" applyFont="1" applyBorder="1" applyAlignment="1" applyProtection="1">
      <alignment horizontal="center" vertical="center" wrapText="1"/>
      <protection hidden="1"/>
    </xf>
    <xf numFmtId="0" fontId="0" fillId="0" borderId="1" xfId="0" applyFont="1" applyBorder="1" applyAlignment="1" applyProtection="1">
      <alignment vertical="center" wrapText="1" shrinkToFit="1"/>
      <protection hidden="1"/>
    </xf>
    <xf numFmtId="0" fontId="7" fillId="0" borderId="1" xfId="0" applyFont="1" applyBorder="1" applyAlignment="1" applyProtection="1">
      <alignment vertical="center" wrapText="1" shrinkToFit="1"/>
      <protection hidden="1"/>
    </xf>
    <xf numFmtId="0" fontId="5" fillId="0" borderId="43"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0" fillId="0" borderId="3" xfId="0" applyFont="1" applyBorder="1" applyAlignment="1" applyProtection="1">
      <alignment vertical="center" wrapText="1" shrinkToFit="1"/>
      <protection hidden="1"/>
    </xf>
    <xf numFmtId="0" fontId="0" fillId="0" borderId="5" xfId="0" applyFont="1" applyBorder="1" applyAlignment="1" applyProtection="1">
      <alignment vertical="center" wrapText="1" shrinkToFit="1"/>
      <protection hidden="1"/>
    </xf>
    <xf numFmtId="0" fontId="7" fillId="0" borderId="15" xfId="0" applyFont="1" applyBorder="1" applyAlignment="1" applyProtection="1">
      <alignment horizontal="left" vertical="center" wrapText="1"/>
      <protection hidden="1"/>
    </xf>
    <xf numFmtId="0" fontId="7" fillId="0" borderId="1" xfId="0" applyFont="1" applyBorder="1" applyAlignment="1" applyProtection="1">
      <alignment vertical="center" wrapText="1"/>
      <protection hidden="1"/>
    </xf>
    <xf numFmtId="187" fontId="6" fillId="0" borderId="3" xfId="3" applyNumberFormat="1" applyFont="1" applyFill="1" applyBorder="1" applyAlignment="1" applyProtection="1">
      <alignment horizontal="center" vertical="center" wrapText="1" shrinkToFit="1"/>
      <protection hidden="1"/>
    </xf>
    <xf numFmtId="187" fontId="6" fillId="0" borderId="10" xfId="3" applyNumberFormat="1" applyFont="1" applyFill="1" applyBorder="1" applyAlignment="1" applyProtection="1">
      <alignment horizontal="center" vertical="center" shrinkToFit="1"/>
      <protection hidden="1"/>
    </xf>
    <xf numFmtId="0" fontId="0" fillId="4" borderId="52" xfId="0" applyFill="1" applyBorder="1" applyAlignment="1" applyProtection="1">
      <alignment horizontal="left" vertical="center" indent="2" shrinkToFit="1"/>
      <protection hidden="1"/>
    </xf>
    <xf numFmtId="0" fontId="0" fillId="4" borderId="46" xfId="0" applyFill="1" applyBorder="1" applyAlignment="1" applyProtection="1">
      <alignment horizontal="left" vertical="center" indent="2" shrinkToFit="1"/>
      <protection hidden="1"/>
    </xf>
    <xf numFmtId="0" fontId="0" fillId="4" borderId="51" xfId="0" applyFill="1" applyBorder="1" applyAlignment="1" applyProtection="1">
      <alignment horizontal="left" vertical="center" indent="2" shrinkToFit="1"/>
      <protection hidden="1"/>
    </xf>
    <xf numFmtId="0" fontId="40" fillId="3" borderId="64" xfId="3" applyFont="1" applyFill="1" applyBorder="1" applyAlignment="1" applyProtection="1">
      <alignment horizontal="center" vertical="center"/>
      <protection hidden="1"/>
    </xf>
    <xf numFmtId="0" fontId="40" fillId="3" borderId="65" xfId="3" applyFont="1" applyFill="1" applyBorder="1" applyAlignment="1" applyProtection="1">
      <alignment horizontal="center" vertical="center"/>
      <protection hidden="1"/>
    </xf>
    <xf numFmtId="0" fontId="40" fillId="3" borderId="66" xfId="3" applyFont="1" applyFill="1" applyBorder="1" applyAlignment="1" applyProtection="1">
      <alignment horizontal="center" vertical="center"/>
      <protection hidden="1"/>
    </xf>
    <xf numFmtId="0" fontId="20" fillId="3" borderId="64" xfId="3" applyFont="1" applyFill="1" applyBorder="1" applyAlignment="1" applyProtection="1">
      <alignment horizontal="center" vertical="center"/>
      <protection hidden="1"/>
    </xf>
    <xf numFmtId="0" fontId="20" fillId="3" borderId="65" xfId="3" applyFont="1" applyFill="1" applyBorder="1" applyAlignment="1" applyProtection="1">
      <alignment horizontal="center" vertical="center"/>
      <protection hidden="1"/>
    </xf>
    <xf numFmtId="0" fontId="20" fillId="3" borderId="66" xfId="3"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5" borderId="64" xfId="0" applyFill="1" applyBorder="1" applyAlignment="1" applyProtection="1">
      <alignment horizontal="left" vertical="center" indent="2" shrinkToFit="1"/>
      <protection hidden="1"/>
    </xf>
    <xf numFmtId="0" fontId="0" fillId="5" borderId="66" xfId="0" applyFill="1" applyBorder="1" applyAlignment="1" applyProtection="1">
      <alignment horizontal="left" vertical="center" indent="2" shrinkToFit="1"/>
      <protection hidden="1"/>
    </xf>
    <xf numFmtId="0" fontId="0" fillId="5" borderId="103" xfId="0" applyFill="1" applyBorder="1" applyAlignment="1" applyProtection="1">
      <alignment horizontal="left" vertical="center" shrinkToFit="1"/>
      <protection locked="0"/>
    </xf>
    <xf numFmtId="0" fontId="0" fillId="5" borderId="104" xfId="0" applyFill="1" applyBorder="1" applyAlignment="1" applyProtection="1">
      <alignment horizontal="left" vertical="center" shrinkToFit="1"/>
      <protection locked="0"/>
    </xf>
    <xf numFmtId="187" fontId="6" fillId="0" borderId="1" xfId="3" applyNumberFormat="1" applyFont="1" applyBorder="1" applyAlignment="1" applyProtection="1">
      <alignment horizontal="center" vertical="center" wrapText="1" shrinkToFit="1"/>
      <protection hidden="1"/>
    </xf>
    <xf numFmtId="187" fontId="6" fillId="0" borderId="3" xfId="3" applyNumberFormat="1" applyFont="1" applyBorder="1" applyAlignment="1" applyProtection="1">
      <alignment horizontal="center" vertical="center" wrapText="1" shrinkToFit="1"/>
      <protection hidden="1"/>
    </xf>
    <xf numFmtId="189" fontId="11" fillId="4" borderId="2" xfId="4" applyNumberFormat="1" applyFont="1" applyFill="1" applyBorder="1" applyAlignment="1" applyProtection="1">
      <alignment horizontal="right" vertical="center" shrinkToFit="1"/>
      <protection locked="0"/>
    </xf>
    <xf numFmtId="189" fontId="11" fillId="4" borderId="15" xfId="4" applyNumberFormat="1" applyFont="1" applyFill="1" applyBorder="1" applyAlignment="1" applyProtection="1">
      <alignment horizontal="right" vertical="center" shrinkToFit="1"/>
      <protection locked="0"/>
    </xf>
    <xf numFmtId="1" fontId="41" fillId="3" borderId="64" xfId="3" applyNumberFormat="1" applyFont="1" applyFill="1" applyBorder="1" applyAlignment="1" applyProtection="1">
      <alignment horizontal="center" vertical="center" shrinkToFit="1"/>
      <protection hidden="1"/>
    </xf>
    <xf numFmtId="1" fontId="41" fillId="3" borderId="65" xfId="3" applyNumberFormat="1" applyFont="1" applyFill="1" applyBorder="1" applyAlignment="1" applyProtection="1">
      <alignment horizontal="center" vertical="center" shrinkToFit="1"/>
      <protection hidden="1"/>
    </xf>
    <xf numFmtId="1" fontId="41" fillId="3" borderId="66" xfId="3" applyNumberFormat="1" applyFont="1" applyFill="1" applyBorder="1" applyAlignment="1" applyProtection="1">
      <alignment horizontal="center" vertical="center" shrinkToFit="1"/>
      <protection hidden="1"/>
    </xf>
    <xf numFmtId="0" fontId="11" fillId="0" borderId="22" xfId="3" applyFont="1" applyBorder="1" applyAlignment="1" applyProtection="1">
      <alignment horizontal="right" vertical="center"/>
      <protection hidden="1"/>
    </xf>
    <xf numFmtId="0" fontId="39" fillId="0" borderId="64" xfId="3" applyFont="1" applyFill="1" applyBorder="1" applyAlignment="1" applyProtection="1">
      <alignment horizontal="left" vertical="center"/>
      <protection locked="0"/>
    </xf>
    <xf numFmtId="0" fontId="39" fillId="0" borderId="65" xfId="3" applyFont="1" applyFill="1" applyBorder="1" applyAlignment="1" applyProtection="1">
      <alignment horizontal="left" vertical="center"/>
      <protection locked="0"/>
    </xf>
    <xf numFmtId="0" fontId="39" fillId="0" borderId="66" xfId="3" applyFont="1" applyFill="1" applyBorder="1" applyAlignment="1" applyProtection="1">
      <alignment horizontal="left" vertical="center"/>
      <protection locked="0"/>
    </xf>
    <xf numFmtId="189" fontId="11" fillId="4" borderId="35" xfId="4" applyNumberFormat="1" applyFont="1" applyFill="1" applyBorder="1" applyAlignment="1" applyProtection="1">
      <alignment horizontal="right" vertical="center" shrinkToFit="1"/>
      <protection locked="0"/>
    </xf>
    <xf numFmtId="190" fontId="11" fillId="3" borderId="6" xfId="3" applyNumberFormat="1" applyFont="1" applyFill="1" applyBorder="1" applyAlignment="1" applyProtection="1">
      <alignment horizontal="center" vertical="center" wrapText="1"/>
      <protection hidden="1"/>
    </xf>
    <xf numFmtId="190" fontId="11" fillId="3" borderId="33" xfId="3" applyNumberFormat="1" applyFont="1" applyFill="1" applyBorder="1" applyAlignment="1" applyProtection="1">
      <alignment horizontal="center" vertical="center" wrapText="1"/>
      <protection hidden="1"/>
    </xf>
    <xf numFmtId="189" fontId="11" fillId="3" borderId="7" xfId="4" applyNumberFormat="1" applyFont="1" applyFill="1" applyBorder="1" applyAlignment="1" applyProtection="1">
      <alignment horizontal="right" vertical="center" shrinkToFit="1"/>
      <protection hidden="1"/>
    </xf>
    <xf numFmtId="189" fontId="11" fillId="3" borderId="39" xfId="4" applyNumberFormat="1" applyFont="1" applyFill="1" applyBorder="1" applyAlignment="1" applyProtection="1">
      <alignment horizontal="right" vertical="center" shrinkToFit="1"/>
      <protection hidden="1"/>
    </xf>
    <xf numFmtId="180" fontId="11" fillId="3" borderId="18" xfId="3" applyNumberFormat="1" applyFont="1" applyFill="1" applyBorder="1" applyAlignment="1" applyProtection="1">
      <alignment horizontal="center" vertical="center" wrapText="1"/>
      <protection hidden="1"/>
    </xf>
    <xf numFmtId="180" fontId="11" fillId="3" borderId="33" xfId="3" applyNumberFormat="1" applyFont="1" applyFill="1" applyBorder="1" applyAlignment="1" applyProtection="1">
      <alignment horizontal="center" vertical="center" wrapText="1"/>
      <protection hidden="1"/>
    </xf>
    <xf numFmtId="0" fontId="39" fillId="0" borderId="22" xfId="3" applyFont="1" applyFill="1" applyBorder="1" applyAlignment="1" applyProtection="1">
      <alignment horizontal="left" vertical="center"/>
      <protection locked="0"/>
    </xf>
    <xf numFmtId="0" fontId="11" fillId="2" borderId="64" xfId="3" applyFont="1" applyFill="1" applyBorder="1" applyAlignment="1" applyProtection="1">
      <alignment horizontal="center" vertical="center" shrinkToFit="1"/>
      <protection locked="0"/>
    </xf>
    <xf numFmtId="0" fontId="11" fillId="2" borderId="66" xfId="3" applyFont="1" applyFill="1" applyBorder="1" applyAlignment="1" applyProtection="1">
      <alignment horizontal="center" vertical="center" shrinkToFit="1"/>
      <protection locked="0"/>
    </xf>
    <xf numFmtId="180" fontId="11" fillId="3" borderId="6" xfId="3" applyNumberFormat="1" applyFont="1" applyFill="1" applyBorder="1" applyAlignment="1" applyProtection="1">
      <alignment horizontal="center" vertical="center" wrapText="1"/>
      <protection hidden="1"/>
    </xf>
    <xf numFmtId="189" fontId="11" fillId="4" borderId="29" xfId="4" applyNumberFormat="1" applyFont="1" applyFill="1" applyBorder="1" applyAlignment="1" applyProtection="1">
      <alignment horizontal="right" vertical="center" shrinkToFit="1"/>
      <protection locked="0"/>
    </xf>
    <xf numFmtId="189" fontId="11" fillId="4" borderId="37" xfId="4" applyNumberFormat="1" applyFont="1" applyFill="1" applyBorder="1" applyAlignment="1" applyProtection="1">
      <alignment horizontal="right" vertical="center" shrinkToFit="1"/>
      <protection locked="0"/>
    </xf>
    <xf numFmtId="0" fontId="11" fillId="2" borderId="22" xfId="3" applyFont="1" applyFill="1" applyBorder="1" applyAlignment="1" applyProtection="1">
      <alignment horizontal="center" vertical="center" shrinkToFit="1"/>
      <protection locked="0"/>
    </xf>
    <xf numFmtId="0" fontId="39" fillId="0" borderId="28" xfId="3" applyFont="1" applyFill="1" applyBorder="1" applyAlignment="1" applyProtection="1">
      <alignment horizontal="left" vertical="center"/>
      <protection locked="0"/>
    </xf>
    <xf numFmtId="189" fontId="11" fillId="4" borderId="36" xfId="4" applyNumberFormat="1" applyFont="1" applyFill="1" applyBorder="1" applyAlignment="1" applyProtection="1">
      <alignment horizontal="right" vertical="center" shrinkToFit="1"/>
      <protection locked="0"/>
    </xf>
    <xf numFmtId="189" fontId="11" fillId="4" borderId="73" xfId="4" applyNumberFormat="1" applyFont="1" applyFill="1" applyBorder="1" applyAlignment="1" applyProtection="1">
      <alignment horizontal="right" vertical="center" shrinkToFit="1"/>
      <protection locked="0"/>
    </xf>
    <xf numFmtId="189" fontId="11" fillId="4" borderId="110" xfId="4" applyNumberFormat="1" applyFont="1" applyFill="1" applyBorder="1" applyAlignment="1" applyProtection="1">
      <alignment horizontal="right" vertical="center" shrinkToFit="1"/>
      <protection locked="0"/>
    </xf>
    <xf numFmtId="189" fontId="11" fillId="4" borderId="11" xfId="4" applyNumberFormat="1" applyFont="1" applyFill="1" applyBorder="1" applyAlignment="1" applyProtection="1">
      <alignment horizontal="right" vertical="center" shrinkToFit="1"/>
      <protection locked="0"/>
    </xf>
    <xf numFmtId="189" fontId="11" fillId="4" borderId="42" xfId="4" applyNumberFormat="1" applyFont="1" applyFill="1" applyBorder="1" applyAlignment="1" applyProtection="1">
      <alignment horizontal="right" vertical="center" shrinkToFit="1"/>
      <protection locked="0"/>
    </xf>
    <xf numFmtId="189" fontId="11" fillId="3" borderId="112" xfId="4" applyNumberFormat="1" applyFont="1" applyFill="1" applyBorder="1" applyAlignment="1" applyProtection="1">
      <alignment horizontal="right" vertical="center" shrinkToFit="1"/>
      <protection hidden="1"/>
    </xf>
    <xf numFmtId="189" fontId="11" fillId="3" borderId="113" xfId="4" applyNumberFormat="1" applyFont="1" applyFill="1" applyBorder="1" applyAlignment="1" applyProtection="1">
      <alignment horizontal="right" vertical="center" shrinkToFit="1"/>
      <protection hidden="1"/>
    </xf>
    <xf numFmtId="180" fontId="11" fillId="3" borderId="88" xfId="3" applyNumberFormat="1" applyFont="1" applyFill="1" applyBorder="1" applyAlignment="1" applyProtection="1">
      <alignment horizontal="center" vertical="center" wrapText="1"/>
      <protection hidden="1"/>
    </xf>
    <xf numFmtId="180" fontId="11" fillId="3" borderId="75" xfId="3" applyNumberFormat="1" applyFont="1" applyFill="1" applyBorder="1" applyAlignment="1" applyProtection="1">
      <alignment horizontal="center" vertical="center" wrapText="1"/>
      <protection hidden="1"/>
    </xf>
    <xf numFmtId="190" fontId="11" fillId="3" borderId="88" xfId="3" applyNumberFormat="1" applyFont="1" applyFill="1" applyBorder="1" applyAlignment="1" applyProtection="1">
      <alignment horizontal="center" vertical="center" wrapText="1"/>
      <protection hidden="1"/>
    </xf>
    <xf numFmtId="190" fontId="11" fillId="3" borderId="75" xfId="3" applyNumberFormat="1" applyFont="1" applyFill="1" applyBorder="1" applyAlignment="1" applyProtection="1">
      <alignment horizontal="center" vertical="center" wrapText="1"/>
      <protection hidden="1"/>
    </xf>
    <xf numFmtId="1" fontId="21" fillId="3" borderId="1" xfId="3" applyNumberFormat="1" applyFont="1" applyFill="1" applyBorder="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11" fillId="0" borderId="1" xfId="3" applyFont="1" applyBorder="1" applyAlignment="1" applyProtection="1">
      <alignment horizontal="left" vertical="center" indent="1"/>
      <protection hidden="1"/>
    </xf>
    <xf numFmtId="188" fontId="11" fillId="3" borderId="1" xfId="3" applyNumberFormat="1" applyFont="1" applyFill="1" applyBorder="1" applyAlignment="1" applyProtection="1">
      <alignment horizontal="center" vertical="center"/>
      <protection hidden="1"/>
    </xf>
    <xf numFmtId="0" fontId="11" fillId="0" borderId="1" xfId="3" applyFont="1" applyBorder="1" applyAlignment="1" applyProtection="1">
      <alignment horizontal="left" vertical="center" wrapText="1" indent="1"/>
      <protection hidden="1"/>
    </xf>
    <xf numFmtId="188" fontId="11" fillId="4" borderId="1" xfId="3"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wrapText="1"/>
      <protection hidden="1"/>
    </xf>
    <xf numFmtId="0" fontId="16" fillId="0" borderId="42" xfId="0" applyFont="1" applyBorder="1" applyAlignment="1" applyProtection="1">
      <alignment horizontal="center" vertical="center" wrapText="1"/>
      <protection hidden="1"/>
    </xf>
    <xf numFmtId="0" fontId="25" fillId="0" borderId="0" xfId="0" applyFont="1" applyBorder="1" applyAlignment="1" applyProtection="1">
      <alignment vertical="top" wrapText="1"/>
      <protection hidden="1"/>
    </xf>
    <xf numFmtId="0" fontId="18" fillId="0" borderId="0" xfId="0" applyFont="1" applyAlignment="1" applyProtection="1">
      <alignment horizontal="center" vertical="center" shrinkToFit="1"/>
      <protection hidden="1"/>
    </xf>
    <xf numFmtId="0" fontId="18" fillId="0" borderId="42" xfId="0" applyFont="1" applyBorder="1" applyAlignment="1" applyProtection="1">
      <alignment horizontal="center" vertical="center" shrinkToFit="1"/>
      <protection hidden="1"/>
    </xf>
    <xf numFmtId="0" fontId="11" fillId="3" borderId="1" xfId="3" applyFont="1" applyFill="1" applyBorder="1" applyAlignment="1" applyProtection="1">
      <alignment horizontal="center" vertical="center"/>
      <protection hidden="1"/>
    </xf>
    <xf numFmtId="0" fontId="11" fillId="2" borderId="1" xfId="3" applyFont="1" applyFill="1" applyBorder="1" applyAlignment="1" applyProtection="1">
      <alignment horizontal="center" vertical="center"/>
      <protection locked="0"/>
    </xf>
  </cellXfs>
  <cellStyles count="5">
    <cellStyle name="パーセント" xfId="2" builtinId="5"/>
    <cellStyle name="桁区切り" xfId="1" builtinId="6"/>
    <cellStyle name="桁区切り 2" xfId="4"/>
    <cellStyle name="標準" xfId="0" builtinId="0"/>
    <cellStyle name="標準 2" xfId="3"/>
  </cellStyles>
  <dxfs count="281">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fill>
        <patternFill>
          <bgColor rgb="FFE0FFC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C5"/>
        </patternFill>
      </fill>
    </dxf>
    <dxf>
      <fill>
        <patternFill>
          <bgColor rgb="FFFFFF00"/>
        </patternFill>
      </fill>
    </dxf>
    <dxf>
      <fill>
        <patternFill>
          <bgColor theme="0" tint="-4.9989318521683403E-2"/>
        </patternFill>
      </fill>
    </dxf>
    <dxf>
      <font>
        <b/>
        <i val="0"/>
        <color rgb="FFFF0000"/>
      </font>
      <fill>
        <patternFill>
          <bgColor rgb="FFE0FFC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C5"/>
        </patternFill>
      </fill>
    </dxf>
    <dxf>
      <fill>
        <patternFill>
          <bgColor rgb="FFFFFF00"/>
        </patternFill>
      </fill>
    </dxf>
    <dxf>
      <fill>
        <patternFill>
          <bgColor theme="0" tint="-4.9989318521683403E-2"/>
        </patternFill>
      </fill>
    </dxf>
    <dxf>
      <font>
        <b/>
        <i val="0"/>
        <color rgb="FFFF0000"/>
      </font>
      <fill>
        <patternFill>
          <bgColor rgb="FFE0FFC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C5"/>
        </patternFill>
      </fill>
    </dxf>
    <dxf>
      <fill>
        <patternFill>
          <bgColor rgb="FFFFFF00"/>
        </patternFill>
      </fill>
    </dxf>
    <dxf>
      <fill>
        <patternFill>
          <bgColor rgb="FFFFFF00"/>
        </patternFill>
      </fill>
    </dxf>
    <dxf>
      <fill>
        <patternFill>
          <bgColor rgb="FFFFFF00"/>
        </patternFill>
      </fill>
    </dxf>
    <dxf>
      <fill>
        <patternFill>
          <bgColor theme="1"/>
        </patternFill>
      </fill>
    </dxf>
    <dxf>
      <font>
        <b/>
        <i val="0"/>
        <color rgb="FFFF0000"/>
      </font>
      <fill>
        <patternFill>
          <bgColor rgb="FFFFFF85"/>
        </patternFill>
      </fill>
    </dxf>
    <dxf>
      <font>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FFBDFF"/>
        </patternFill>
      </fill>
    </dxf>
    <dxf>
      <fill>
        <patternFill>
          <bgColor rgb="FFD9FFB3"/>
        </patternFill>
      </fill>
    </dxf>
    <dxf>
      <fill>
        <patternFill>
          <bgColor theme="0" tint="-0.24994659260841701"/>
        </patternFill>
      </fill>
    </dxf>
    <dxf>
      <fill>
        <patternFill>
          <bgColor rgb="FFD9FFB3"/>
        </patternFill>
      </fill>
    </dxf>
    <dxf>
      <fill>
        <patternFill>
          <bgColor rgb="FFFFBDFF"/>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B3"/>
        </patternFill>
      </fill>
    </dxf>
    <dxf>
      <fill>
        <patternFill>
          <bgColor theme="1"/>
        </patternFill>
      </fill>
    </dxf>
    <dxf>
      <fill>
        <patternFill>
          <bgColor rgb="FFFFFF00"/>
        </patternFill>
      </fill>
    </dxf>
    <dxf>
      <fill>
        <patternFill>
          <bgColor theme="7"/>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b/>
        <i val="0"/>
        <color rgb="FFFF0000"/>
      </font>
      <fill>
        <patternFill>
          <bgColor rgb="FFF7FECE"/>
        </patternFill>
      </fill>
    </dxf>
    <dxf>
      <font>
        <b/>
        <i val="0"/>
        <color rgb="FFFF0000"/>
      </font>
      <fill>
        <patternFill>
          <bgColor theme="7" tint="0.79998168889431442"/>
        </patternFill>
      </fill>
    </dxf>
    <dxf>
      <font>
        <b/>
        <i val="0"/>
        <color rgb="FFFF0000"/>
      </font>
      <fill>
        <patternFill>
          <bgColor rgb="FFCDFFFF"/>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1"/>
        </patternFill>
      </fill>
    </dxf>
    <dxf>
      <font>
        <b/>
        <i val="0"/>
        <color rgb="FFFF0000"/>
      </font>
      <fill>
        <patternFill>
          <bgColor rgb="FFFFFF85"/>
        </patternFill>
      </fill>
    </dxf>
    <dxf>
      <font>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FFBDFF"/>
        </patternFill>
      </fill>
    </dxf>
    <dxf>
      <fill>
        <patternFill>
          <bgColor rgb="FFD9FFB3"/>
        </patternFill>
      </fill>
    </dxf>
    <dxf>
      <fill>
        <patternFill>
          <bgColor theme="0" tint="-0.24994659260841701"/>
        </patternFill>
      </fill>
    </dxf>
    <dxf>
      <fill>
        <patternFill>
          <bgColor rgb="FFD9FFB3"/>
        </patternFill>
      </fill>
    </dxf>
    <dxf>
      <fill>
        <patternFill>
          <bgColor rgb="FFFFBDFF"/>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B3"/>
        </patternFill>
      </fill>
    </dxf>
    <dxf>
      <fill>
        <patternFill>
          <bgColor theme="1"/>
        </patternFill>
      </fill>
    </dxf>
    <dxf>
      <fill>
        <patternFill>
          <bgColor rgb="FFFFFF00"/>
        </patternFill>
      </fill>
    </dxf>
    <dxf>
      <fill>
        <patternFill>
          <bgColor theme="7"/>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b/>
        <i val="0"/>
        <color rgb="FFFF0000"/>
      </font>
      <fill>
        <patternFill>
          <bgColor rgb="FFF7FECE"/>
        </patternFill>
      </fill>
    </dxf>
    <dxf>
      <font>
        <b/>
        <i val="0"/>
        <color rgb="FFFF0000"/>
      </font>
      <fill>
        <patternFill>
          <bgColor theme="7" tint="0.79998168889431442"/>
        </patternFill>
      </fill>
    </dxf>
    <dxf>
      <font>
        <b/>
        <i val="0"/>
        <color rgb="FFFF0000"/>
      </font>
      <fill>
        <patternFill>
          <bgColor rgb="FFCDFFFF"/>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1"/>
        </patternFill>
      </fill>
    </dxf>
    <dxf>
      <font>
        <b/>
        <i val="0"/>
        <color rgb="FFFF0000"/>
      </font>
      <fill>
        <patternFill>
          <bgColor rgb="FFFFFF85"/>
        </patternFill>
      </fill>
    </dxf>
    <dxf>
      <font>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FFBDFF"/>
        </patternFill>
      </fill>
    </dxf>
    <dxf>
      <fill>
        <patternFill>
          <bgColor rgb="FFD9FFB3"/>
        </patternFill>
      </fill>
    </dxf>
    <dxf>
      <fill>
        <patternFill>
          <bgColor theme="0" tint="-0.24994659260841701"/>
        </patternFill>
      </fill>
    </dxf>
    <dxf>
      <fill>
        <patternFill>
          <bgColor rgb="FFD9FFB3"/>
        </patternFill>
      </fill>
    </dxf>
    <dxf>
      <fill>
        <patternFill>
          <bgColor rgb="FFFFBDFF"/>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B3"/>
        </patternFill>
      </fill>
    </dxf>
    <dxf>
      <fill>
        <patternFill>
          <bgColor theme="1"/>
        </patternFill>
      </fill>
    </dxf>
    <dxf>
      <fill>
        <patternFill>
          <bgColor rgb="FFFFFF00"/>
        </patternFill>
      </fill>
    </dxf>
    <dxf>
      <fill>
        <patternFill>
          <bgColor theme="7"/>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b/>
        <i val="0"/>
        <color rgb="FFFF0000"/>
      </font>
      <fill>
        <patternFill>
          <bgColor rgb="FFF7FECE"/>
        </patternFill>
      </fill>
    </dxf>
    <dxf>
      <font>
        <b/>
        <i val="0"/>
        <color rgb="FFFF0000"/>
      </font>
      <fill>
        <patternFill>
          <bgColor theme="7" tint="0.79998168889431442"/>
        </patternFill>
      </fill>
    </dxf>
    <dxf>
      <font>
        <b/>
        <i val="0"/>
        <color rgb="FFFF0000"/>
      </font>
      <fill>
        <patternFill>
          <bgColor rgb="FFCDFFFF"/>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ont>
        <b/>
        <i val="0"/>
        <color rgb="FFFF0000"/>
      </font>
      <fill>
        <patternFill>
          <bgColor rgb="FFE0FFC1"/>
        </patternFill>
      </fill>
    </dxf>
    <dxf>
      <font>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strike val="0"/>
        <color rgb="FFFF0000"/>
      </font>
    </dxf>
    <dxf>
      <font>
        <color rgb="FFFF0000"/>
      </font>
    </dxf>
    <dxf>
      <font>
        <b/>
        <i val="0"/>
        <color rgb="FFFF0000"/>
      </font>
      <fill>
        <patternFill>
          <bgColor rgb="FFD9FFFF"/>
        </patternFill>
      </fill>
    </dxf>
    <dxf>
      <font>
        <b/>
        <i val="0"/>
        <color rgb="FFFF0000"/>
      </font>
      <fill>
        <patternFill>
          <bgColor rgb="FFFFFFC5"/>
        </patternFill>
      </fill>
    </dxf>
    <dxf>
      <font>
        <color rgb="FFFF0000"/>
      </font>
      <fill>
        <patternFill>
          <bgColor rgb="FFFFFF00"/>
        </patternFill>
      </fill>
    </dxf>
    <dxf>
      <font>
        <color rgb="FFFF0000"/>
      </font>
    </dxf>
    <dxf>
      <font>
        <color rgb="FFFF0000"/>
      </font>
    </dxf>
    <dxf>
      <font>
        <color rgb="FFFF0000"/>
      </font>
      <fill>
        <patternFill>
          <bgColor rgb="FFFFFF00"/>
        </patternFill>
      </fill>
    </dxf>
    <dxf>
      <font>
        <b/>
        <i val="0"/>
        <color rgb="FFFF0000"/>
      </font>
      <fill>
        <patternFill>
          <bgColor rgb="FFE0FFC1"/>
        </patternFill>
      </fill>
    </dxf>
    <dxf>
      <font>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strike val="0"/>
        <color rgb="FFFF0000"/>
      </font>
    </dxf>
    <dxf>
      <font>
        <color rgb="FFFF0000"/>
      </font>
    </dxf>
    <dxf>
      <font>
        <b/>
        <i val="0"/>
        <color rgb="FFFF0000"/>
      </font>
      <fill>
        <patternFill>
          <bgColor rgb="FFD9FFFF"/>
        </patternFill>
      </fill>
    </dxf>
    <dxf>
      <font>
        <b/>
        <i val="0"/>
        <color rgb="FFFF0000"/>
      </font>
      <fill>
        <patternFill>
          <bgColor rgb="FFFFFFC5"/>
        </patternFill>
      </fill>
    </dxf>
    <dxf>
      <font>
        <color rgb="FFFF0000"/>
      </font>
      <fill>
        <patternFill>
          <bgColor rgb="FFFFFF00"/>
        </patternFill>
      </fill>
    </dxf>
    <dxf>
      <font>
        <color rgb="FFFF0000"/>
      </font>
    </dxf>
    <dxf>
      <font>
        <color rgb="FFFF0000"/>
      </font>
    </dxf>
    <dxf>
      <font>
        <color rgb="FFFF0000"/>
      </font>
      <fill>
        <patternFill>
          <bgColor rgb="FFFFFF00"/>
        </patternFill>
      </fill>
    </dxf>
    <dxf>
      <font>
        <b/>
        <i val="0"/>
        <color rgb="FFFF0000"/>
      </font>
      <fill>
        <patternFill>
          <bgColor rgb="FFE0FFC1"/>
        </patternFill>
      </fill>
    </dxf>
    <dxf>
      <font>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strike val="0"/>
        <color rgb="FFFF0000"/>
      </font>
    </dxf>
    <dxf>
      <font>
        <color rgb="FFFF0000"/>
      </font>
    </dxf>
    <dxf>
      <font>
        <b/>
        <i val="0"/>
        <color rgb="FFFF0000"/>
      </font>
      <fill>
        <patternFill>
          <bgColor rgb="FFD9FFFF"/>
        </patternFill>
      </fill>
    </dxf>
    <dxf>
      <font>
        <b/>
        <i val="0"/>
        <color rgb="FFFF0000"/>
      </font>
      <fill>
        <patternFill>
          <bgColor rgb="FFFFFFC5"/>
        </patternFill>
      </fill>
    </dxf>
    <dxf>
      <font>
        <color rgb="FFFF0000"/>
      </font>
      <fill>
        <patternFill>
          <bgColor rgb="FFFFFF00"/>
        </patternFill>
      </fill>
    </dxf>
    <dxf>
      <font>
        <color rgb="FFFF0000"/>
      </font>
    </dxf>
    <dxf>
      <font>
        <color rgb="FFFF0000"/>
      </font>
    </dxf>
    <dxf>
      <font>
        <color rgb="FFFF0000"/>
      </font>
      <fill>
        <patternFill>
          <bgColor rgb="FFFFFF00"/>
        </patternFill>
      </fill>
    </dxf>
  </dxfs>
  <tableStyles count="0" defaultTableStyle="TableStyleMedium2" defaultPivotStyle="PivotStyleLight16"/>
  <colors>
    <mruColors>
      <color rgb="FFFFFFC5"/>
      <color rgb="FFD9FFB3"/>
      <color rgb="FFFFBDFF"/>
      <color rgb="FFECB7FF"/>
      <color rgb="FFE9ABFF"/>
      <color rgb="FFE7A3FF"/>
      <color rgb="FFCCFF99"/>
      <color rgb="FFFFFF85"/>
      <color rgb="FFD9FFFF"/>
      <color rgb="FFE0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2</xdr:row>
      <xdr:rowOff>27214</xdr:rowOff>
    </xdr:from>
    <xdr:to>
      <xdr:col>14</xdr:col>
      <xdr:colOff>652474</xdr:colOff>
      <xdr:row>42</xdr:row>
      <xdr:rowOff>40821</xdr:rowOff>
    </xdr:to>
    <xdr:pic>
      <xdr:nvPicPr>
        <xdr:cNvPr id="12" name="図 1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9" y="653143"/>
          <a:ext cx="11592616" cy="9810749"/>
        </a:xfrm>
        <a:prstGeom prst="rect">
          <a:avLst/>
        </a:prstGeom>
      </xdr:spPr>
    </xdr:pic>
    <xdr:clientData/>
  </xdr:twoCellAnchor>
  <xdr:twoCellAnchor editAs="oneCell">
    <xdr:from>
      <xdr:col>15</xdr:col>
      <xdr:colOff>247650</xdr:colOff>
      <xdr:row>2</xdr:row>
      <xdr:rowOff>161925</xdr:rowOff>
    </xdr:from>
    <xdr:to>
      <xdr:col>30</xdr:col>
      <xdr:colOff>481007</xdr:colOff>
      <xdr:row>4</xdr:row>
      <xdr:rowOff>57205</xdr:rowOff>
    </xdr:to>
    <xdr:pic>
      <xdr:nvPicPr>
        <xdr:cNvPr id="5" name="図 4" descr="画面の領域"/>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19321"/>
        <a:stretch/>
      </xdr:blipFill>
      <xdr:spPr>
        <a:xfrm>
          <a:off x="12371614" y="787854"/>
          <a:ext cx="12888000" cy="385137"/>
        </a:xfrm>
        <a:prstGeom prst="rect">
          <a:avLst/>
        </a:prstGeom>
      </xdr:spPr>
    </xdr:pic>
    <xdr:clientData/>
  </xdr:twoCellAnchor>
  <xdr:twoCellAnchor>
    <xdr:from>
      <xdr:col>16</xdr:col>
      <xdr:colOff>171450</xdr:colOff>
      <xdr:row>4</xdr:row>
      <xdr:rowOff>40481</xdr:rowOff>
    </xdr:from>
    <xdr:to>
      <xdr:col>16</xdr:col>
      <xdr:colOff>491490</xdr:colOff>
      <xdr:row>5</xdr:row>
      <xdr:rowOff>199073</xdr:rowOff>
    </xdr:to>
    <xdr:sp macro="" textlink="">
      <xdr:nvSpPr>
        <xdr:cNvPr id="6" name="右矢印 5"/>
        <xdr:cNvSpPr/>
      </xdr:nvSpPr>
      <xdr:spPr>
        <a:xfrm rot="16200000">
          <a:off x="13025199" y="1207532"/>
          <a:ext cx="406242" cy="320040"/>
        </a:xfrm>
        <a:prstGeom prst="rightArrow">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57151</xdr:colOff>
      <xdr:row>4</xdr:row>
      <xdr:rowOff>19050</xdr:rowOff>
    </xdr:from>
    <xdr:to>
      <xdr:col>22</xdr:col>
      <xdr:colOff>377191</xdr:colOff>
      <xdr:row>5</xdr:row>
      <xdr:rowOff>180023</xdr:rowOff>
    </xdr:to>
    <xdr:sp macro="" textlink="">
      <xdr:nvSpPr>
        <xdr:cNvPr id="7" name="右矢印 6"/>
        <xdr:cNvSpPr/>
      </xdr:nvSpPr>
      <xdr:spPr>
        <a:xfrm rot="16200000">
          <a:off x="17938909" y="1187292"/>
          <a:ext cx="408623" cy="320040"/>
        </a:xfrm>
        <a:prstGeom prst="rightArrow">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123824</xdr:colOff>
      <xdr:row>7</xdr:row>
      <xdr:rowOff>64294</xdr:rowOff>
    </xdr:from>
    <xdr:to>
      <xdr:col>24</xdr:col>
      <xdr:colOff>266699</xdr:colOff>
      <xdr:row>16</xdr:row>
      <xdr:rowOff>28575</xdr:rowOff>
    </xdr:to>
    <xdr:sp macro="" textlink="">
      <xdr:nvSpPr>
        <xdr:cNvPr id="8" name="正方形/長方形 7"/>
        <xdr:cNvSpPr/>
      </xdr:nvSpPr>
      <xdr:spPr>
        <a:xfrm>
          <a:off x="13020674" y="1931194"/>
          <a:ext cx="6848475" cy="2193131"/>
        </a:xfrm>
        <a:prstGeom prst="rect">
          <a:avLst/>
        </a:prstGeom>
        <a:solidFill>
          <a:sysClr val="window" lastClr="FFFFFF"/>
        </a:solidFill>
        <a:ln w="28575" cap="flat" cmpd="sng" algn="ctr">
          <a:solidFill>
            <a:srgbClr val="FF0000"/>
          </a:solidFill>
          <a:prstDash val="solid"/>
          <a:miter lim="800000"/>
          <a:headEnd type="none" w="med" len="med"/>
          <a:tailEnd type="none" w="med" len="me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◇青色の</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適合例”の様に、</a:t>
          </a:r>
          <a:r>
            <a:rPr kumimoji="1" lang="ja-JP" altLang="en-US"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全ての要件を満たした場合</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に申請できます。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換気～比較表（適合例）</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設備仕様入力（適合例）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エネルギー使用量（適合例）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baseline="0">
              <a:effectLst/>
              <a:latin typeface="+mn-lt"/>
              <a:ea typeface="+mn-ea"/>
              <a:cs typeface="+mn-cs"/>
            </a:rPr>
            <a:t>　・</a:t>
          </a:r>
          <a:r>
            <a:rPr kumimoji="1" lang="en-US" altLang="ja-JP" sz="1600" b="0" i="0" baseline="0">
              <a:effectLst/>
              <a:latin typeface="+mn-lt"/>
              <a:ea typeface="+mn-ea"/>
              <a:cs typeface="+mn-cs"/>
            </a:rPr>
            <a:t>5.</a:t>
          </a:r>
          <a:r>
            <a:rPr kumimoji="1" lang="ja-JP" altLang="en-US" sz="1600" b="0" i="0" baseline="0">
              <a:effectLst/>
              <a:latin typeface="+mn-lt"/>
              <a:ea typeface="+mn-ea"/>
              <a:cs typeface="+mn-cs"/>
            </a:rPr>
            <a:t>概算使用量</a:t>
          </a:r>
          <a:r>
            <a:rPr kumimoji="1" lang="ja-JP" altLang="ja-JP" sz="1600" b="0" i="0" baseline="0">
              <a:effectLst/>
              <a:latin typeface="+mn-lt"/>
              <a:ea typeface="+mn-ea"/>
              <a:cs typeface="+mn-cs"/>
            </a:rPr>
            <a:t>（適合例</a:t>
          </a:r>
          <a:r>
            <a:rPr kumimoji="1" lang="ja-JP" altLang="en-US" sz="1600" b="0" i="0" baseline="0">
              <a:effectLst/>
              <a:latin typeface="+mn-lt"/>
              <a:ea typeface="+mn-ea"/>
              <a:cs typeface="+mn-cs"/>
            </a:rPr>
            <a:t>１、２</a:t>
          </a:r>
          <a:r>
            <a:rPr kumimoji="1" lang="ja-JP" altLang="ja-JP" sz="1600" b="0" i="0" baseline="0">
              <a:effectLst/>
              <a:latin typeface="+mn-lt"/>
              <a:ea typeface="+mn-ea"/>
              <a:cs typeface="+mn-cs"/>
            </a:rPr>
            <a:t>）</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123824</xdr:colOff>
      <xdr:row>17</xdr:row>
      <xdr:rowOff>30956</xdr:rowOff>
    </xdr:from>
    <xdr:to>
      <xdr:col>24</xdr:col>
      <xdr:colOff>238124</xdr:colOff>
      <xdr:row>30</xdr:row>
      <xdr:rowOff>71439</xdr:rowOff>
    </xdr:to>
    <xdr:sp macro="" textlink="">
      <xdr:nvSpPr>
        <xdr:cNvPr id="9" name="正方形/長方形 8"/>
        <xdr:cNvSpPr/>
      </xdr:nvSpPr>
      <xdr:spPr>
        <a:xfrm>
          <a:off x="13020674" y="4374356"/>
          <a:ext cx="6819900" cy="3259933"/>
        </a:xfrm>
        <a:prstGeom prst="rect">
          <a:avLst/>
        </a:prstGeom>
        <a:solidFill>
          <a:sysClr val="window" lastClr="FFFFFF"/>
        </a:solidFill>
        <a:ln w="28575" cap="flat" cmpd="sng" algn="ctr">
          <a:solidFill>
            <a:srgbClr val="5B9BD5"/>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◇その他の例は、</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入力不足</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と”不適合”となります。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入力の際の参考にしてください。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換気～比較表（入力不足）</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換気～比較表 （不適合）</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設備仕様入力（入力不足）</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設備仕様入力（不適合）</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エネルギー使用量（入力不足）</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エネルギー使用量（不適合）</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762002</xdr:colOff>
      <xdr:row>4</xdr:row>
      <xdr:rowOff>19050</xdr:rowOff>
    </xdr:from>
    <xdr:to>
      <xdr:col>29</xdr:col>
      <xdr:colOff>243842</xdr:colOff>
      <xdr:row>5</xdr:row>
      <xdr:rowOff>180023</xdr:rowOff>
    </xdr:to>
    <xdr:sp macro="" textlink="">
      <xdr:nvSpPr>
        <xdr:cNvPr id="10" name="右矢印 9"/>
        <xdr:cNvSpPr/>
      </xdr:nvSpPr>
      <xdr:spPr>
        <a:xfrm rot="16200000">
          <a:off x="23672960" y="1187292"/>
          <a:ext cx="408623" cy="320040"/>
        </a:xfrm>
        <a:prstGeom prst="rightArrow">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156481</xdr:colOff>
      <xdr:row>39</xdr:row>
      <xdr:rowOff>122463</xdr:rowOff>
    </xdr:from>
    <xdr:to>
      <xdr:col>14</xdr:col>
      <xdr:colOff>176893</xdr:colOff>
      <xdr:row>41</xdr:row>
      <xdr:rowOff>149678</xdr:rowOff>
    </xdr:to>
    <xdr:sp macro="" textlink="">
      <xdr:nvSpPr>
        <xdr:cNvPr id="11" name="正方形/長方形 10"/>
        <xdr:cNvSpPr/>
      </xdr:nvSpPr>
      <xdr:spPr>
        <a:xfrm>
          <a:off x="1313088" y="9810749"/>
          <a:ext cx="10144126" cy="517072"/>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10</xdr:col>
      <xdr:colOff>449036</xdr:colOff>
      <xdr:row>4</xdr:row>
      <xdr:rowOff>57152</xdr:rowOff>
    </xdr:from>
    <xdr:to>
      <xdr:col>15</xdr:col>
      <xdr:colOff>457200</xdr:colOff>
      <xdr:row>39</xdr:row>
      <xdr:rowOff>108857</xdr:rowOff>
    </xdr:to>
    <xdr:cxnSp macro="">
      <xdr:nvCxnSpPr>
        <xdr:cNvPr id="13" name="直線矢印コネクタ 12"/>
        <xdr:cNvCxnSpPr/>
      </xdr:nvCxnSpPr>
      <xdr:spPr>
        <a:xfrm flipV="1">
          <a:off x="8354786" y="1172938"/>
          <a:ext cx="4226378" cy="8624205"/>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xdr:row>
      <xdr:rowOff>57150</xdr:rowOff>
    </xdr:from>
    <xdr:to>
      <xdr:col>30</xdr:col>
      <xdr:colOff>666750</xdr:colOff>
      <xdr:row>6</xdr:row>
      <xdr:rowOff>76200</xdr:rowOff>
    </xdr:to>
    <xdr:sp macro="" textlink="">
      <xdr:nvSpPr>
        <xdr:cNvPr id="15" name="正方形/長方形 14"/>
        <xdr:cNvSpPr/>
      </xdr:nvSpPr>
      <xdr:spPr>
        <a:xfrm>
          <a:off x="12228739" y="683079"/>
          <a:ext cx="13216618" cy="998764"/>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371475</xdr:colOff>
      <xdr:row>1</xdr:row>
      <xdr:rowOff>69850</xdr:rowOff>
    </xdr:from>
    <xdr:to>
      <xdr:col>11</xdr:col>
      <xdr:colOff>764382</xdr:colOff>
      <xdr:row>17</xdr:row>
      <xdr:rowOff>2381</xdr:rowOff>
    </xdr:to>
    <xdr:sp macro="" textlink="">
      <xdr:nvSpPr>
        <xdr:cNvPr id="2" name="右中かっこ 1"/>
        <xdr:cNvSpPr/>
      </xdr:nvSpPr>
      <xdr:spPr>
        <a:xfrm>
          <a:off x="9382125" y="317500"/>
          <a:ext cx="392907" cy="3894931"/>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68264</xdr:colOff>
      <xdr:row>7</xdr:row>
      <xdr:rowOff>65882</xdr:rowOff>
    </xdr:from>
    <xdr:to>
      <xdr:col>15</xdr:col>
      <xdr:colOff>218283</xdr:colOff>
      <xdr:row>10</xdr:row>
      <xdr:rowOff>240507</xdr:rowOff>
    </xdr:to>
    <xdr:sp macro="" textlink="">
      <xdr:nvSpPr>
        <xdr:cNvPr id="3" name="テキスト ボックス 2"/>
        <xdr:cNvSpPr txBox="1"/>
      </xdr:nvSpPr>
      <xdr:spPr>
        <a:xfrm>
          <a:off x="10012364" y="1799432"/>
          <a:ext cx="2950369" cy="9175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9</xdr:col>
      <xdr:colOff>588871</xdr:colOff>
      <xdr:row>23</xdr:row>
      <xdr:rowOff>225541</xdr:rowOff>
    </xdr:from>
    <xdr:to>
      <xdr:col>16</xdr:col>
      <xdr:colOff>333375</xdr:colOff>
      <xdr:row>24</xdr:row>
      <xdr:rowOff>312740</xdr:rowOff>
    </xdr:to>
    <xdr:sp macro="" textlink="">
      <xdr:nvSpPr>
        <xdr:cNvPr id="4" name="線吹き出し 1 (枠付き) 3"/>
        <xdr:cNvSpPr/>
      </xdr:nvSpPr>
      <xdr:spPr>
        <a:xfrm>
          <a:off x="7732621" y="6740641"/>
          <a:ext cx="6278654" cy="830149"/>
        </a:xfrm>
        <a:prstGeom prst="borderCallout1">
          <a:avLst>
            <a:gd name="adj1" fmla="val -2083"/>
            <a:gd name="adj2" fmla="val 33334"/>
            <a:gd name="adj3" fmla="val -126718"/>
            <a:gd name="adj4" fmla="val 461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400">
              <a:solidFill>
                <a:srgbClr val="FF0000"/>
              </a:solidFill>
              <a:latin typeface="メイリオ" panose="020B0604030504040204" pitchFamily="50" charset="-128"/>
              <a:ea typeface="メイリオ" panose="020B0604030504040204" pitchFamily="50" charset="-128"/>
            </a:rPr>
            <a:t>必要換気量に係る要件を満たしています。</a:t>
          </a:r>
          <a:r>
            <a:rPr kumimoji="1" lang="ja-JP" altLang="en-US" sz="14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8</xdr:col>
      <xdr:colOff>231775</xdr:colOff>
      <xdr:row>31</xdr:row>
      <xdr:rowOff>101600</xdr:rowOff>
    </xdr:from>
    <xdr:to>
      <xdr:col>8</xdr:col>
      <xdr:colOff>554832</xdr:colOff>
      <xdr:row>34</xdr:row>
      <xdr:rowOff>546100</xdr:rowOff>
    </xdr:to>
    <xdr:sp macro="" textlink="">
      <xdr:nvSpPr>
        <xdr:cNvPr id="6" name="右中かっこ 5"/>
        <xdr:cNvSpPr/>
      </xdr:nvSpPr>
      <xdr:spPr>
        <a:xfrm>
          <a:off x="6442075" y="11760200"/>
          <a:ext cx="323057" cy="23304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761321</xdr:colOff>
      <xdr:row>32</xdr:row>
      <xdr:rowOff>146844</xdr:rowOff>
    </xdr:from>
    <xdr:to>
      <xdr:col>13</xdr:col>
      <xdr:colOff>507321</xdr:colOff>
      <xdr:row>33</xdr:row>
      <xdr:rowOff>461963</xdr:rowOff>
    </xdr:to>
    <xdr:sp macro="" textlink="">
      <xdr:nvSpPr>
        <xdr:cNvPr id="7" name="テキスト ボックス 6"/>
        <xdr:cNvSpPr txBox="1"/>
      </xdr:nvSpPr>
      <xdr:spPr>
        <a:xfrm>
          <a:off x="6971621" y="12434094"/>
          <a:ext cx="4413250" cy="94376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要件の判定欄です。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要件を満たす場合、”</a:t>
          </a:r>
          <a:r>
            <a:rPr kumimoji="1" lang="ja-JP" altLang="en-US" sz="1400">
              <a:solidFill>
                <a:srgbClr val="FF0000"/>
              </a:solidFill>
              <a:latin typeface="メイリオ" panose="020B0604030504040204" pitchFamily="50" charset="-128"/>
              <a:ea typeface="メイリオ" panose="020B0604030504040204" pitchFamily="50" charset="-128"/>
            </a:rPr>
            <a:t>適合</a:t>
          </a:r>
          <a:r>
            <a:rPr kumimoji="1" lang="ja-JP" altLang="en-US" sz="1400">
              <a:latin typeface="メイリオ" panose="020B0604030504040204" pitchFamily="50" charset="-128"/>
              <a:ea typeface="メイリオ" panose="020B0604030504040204" pitchFamily="50" charset="-128"/>
            </a:rPr>
            <a:t>”　と表示されます。</a:t>
          </a:r>
        </a:p>
      </xdr:txBody>
    </xdr:sp>
    <xdr:clientData/>
  </xdr:twoCellAnchor>
  <xdr:twoCellAnchor>
    <xdr:from>
      <xdr:col>15</xdr:col>
      <xdr:colOff>860425</xdr:colOff>
      <xdr:row>1</xdr:row>
      <xdr:rowOff>0</xdr:rowOff>
    </xdr:from>
    <xdr:to>
      <xdr:col>19</xdr:col>
      <xdr:colOff>590550</xdr:colOff>
      <xdr:row>7</xdr:row>
      <xdr:rowOff>222250</xdr:rowOff>
    </xdr:to>
    <xdr:sp macro="" textlink="">
      <xdr:nvSpPr>
        <xdr:cNvPr id="8" name="テキスト ボックス 7"/>
        <xdr:cNvSpPr txBox="1"/>
      </xdr:nvSpPr>
      <xdr:spPr>
        <a:xfrm>
          <a:off x="13604875" y="247650"/>
          <a:ext cx="3463925" cy="17081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適合例</a:t>
          </a:r>
        </a:p>
      </xdr:txBody>
    </xdr:sp>
    <xdr:clientData/>
  </xdr:twoCellAnchor>
  <xdr:twoCellAnchor>
    <xdr:from>
      <xdr:col>8</xdr:col>
      <xdr:colOff>184438</xdr:colOff>
      <xdr:row>29</xdr:row>
      <xdr:rowOff>81972</xdr:rowOff>
    </xdr:from>
    <xdr:to>
      <xdr:col>8</xdr:col>
      <xdr:colOff>641638</xdr:colOff>
      <xdr:row>30</xdr:row>
      <xdr:rowOff>595744</xdr:rowOff>
    </xdr:to>
    <xdr:sp macro="" textlink="">
      <xdr:nvSpPr>
        <xdr:cNvPr id="9" name="右中かっこ 8"/>
        <xdr:cNvSpPr/>
      </xdr:nvSpPr>
      <xdr:spPr>
        <a:xfrm>
          <a:off x="6394738" y="10483272"/>
          <a:ext cx="457200" cy="1142422"/>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852530</xdr:colOff>
      <xdr:row>29</xdr:row>
      <xdr:rowOff>133642</xdr:rowOff>
    </xdr:from>
    <xdr:to>
      <xdr:col>14</xdr:col>
      <xdr:colOff>641639</xdr:colOff>
      <xdr:row>30</xdr:row>
      <xdr:rowOff>525318</xdr:rowOff>
    </xdr:to>
    <xdr:sp macro="" textlink="">
      <xdr:nvSpPr>
        <xdr:cNvPr id="10" name="テキスト ボックス 9"/>
        <xdr:cNvSpPr txBox="1"/>
      </xdr:nvSpPr>
      <xdr:spPr>
        <a:xfrm>
          <a:off x="7062830" y="10534942"/>
          <a:ext cx="5389809" cy="1020326"/>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有効換気量は、</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ダクトなどの</a:t>
          </a:r>
          <a:r>
            <a:rPr kumimoji="1" lang="ja-JP" altLang="en-US" sz="1400">
              <a:solidFill>
                <a:srgbClr val="FF0000"/>
              </a:solidFill>
              <a:latin typeface="メイリオ" panose="020B0604030504040204" pitchFamily="50" charset="-128"/>
              <a:ea typeface="メイリオ" panose="020B0604030504040204" pitchFamily="50" charset="-128"/>
            </a:rPr>
            <a:t>圧力損失・静圧等</a:t>
          </a:r>
          <a:r>
            <a:rPr kumimoji="1" lang="ja-JP" altLang="en-US" sz="1400">
              <a:solidFill>
                <a:sysClr val="windowText" lastClr="000000"/>
              </a:solidFill>
              <a:latin typeface="メイリオ" panose="020B0604030504040204" pitchFamily="50" charset="-128"/>
              <a:ea typeface="メイリオ" panose="020B0604030504040204" pitchFamily="50" charset="-128"/>
            </a:rPr>
            <a:t>を考慮した換気量になります。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1</xdr:row>
      <xdr:rowOff>38100</xdr:rowOff>
    </xdr:from>
    <xdr:to>
      <xdr:col>11</xdr:col>
      <xdr:colOff>792957</xdr:colOff>
      <xdr:row>16</xdr:row>
      <xdr:rowOff>218281</xdr:rowOff>
    </xdr:to>
    <xdr:sp macro="" textlink="">
      <xdr:nvSpPr>
        <xdr:cNvPr id="2" name="右中かっこ 1"/>
        <xdr:cNvSpPr/>
      </xdr:nvSpPr>
      <xdr:spPr>
        <a:xfrm>
          <a:off x="9410700" y="285750"/>
          <a:ext cx="392907" cy="3894931"/>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96839</xdr:colOff>
      <xdr:row>7</xdr:row>
      <xdr:rowOff>34132</xdr:rowOff>
    </xdr:from>
    <xdr:to>
      <xdr:col>15</xdr:col>
      <xdr:colOff>246858</xdr:colOff>
      <xdr:row>10</xdr:row>
      <xdr:rowOff>208757</xdr:rowOff>
    </xdr:to>
    <xdr:sp macro="" textlink="">
      <xdr:nvSpPr>
        <xdr:cNvPr id="3" name="テキスト ボックス 2"/>
        <xdr:cNvSpPr txBox="1"/>
      </xdr:nvSpPr>
      <xdr:spPr>
        <a:xfrm>
          <a:off x="10040939" y="1767682"/>
          <a:ext cx="2950369" cy="9175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8</xdr:col>
      <xdr:colOff>260351</xdr:colOff>
      <xdr:row>31</xdr:row>
      <xdr:rowOff>69850</xdr:rowOff>
    </xdr:from>
    <xdr:to>
      <xdr:col>8</xdr:col>
      <xdr:colOff>571501</xdr:colOff>
      <xdr:row>34</xdr:row>
      <xdr:rowOff>590550</xdr:rowOff>
    </xdr:to>
    <xdr:sp macro="" textlink="">
      <xdr:nvSpPr>
        <xdr:cNvPr id="5" name="右中かっこ 4"/>
        <xdr:cNvSpPr/>
      </xdr:nvSpPr>
      <xdr:spPr>
        <a:xfrm>
          <a:off x="6470651" y="11728450"/>
          <a:ext cx="311150" cy="24066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789896</xdr:colOff>
      <xdr:row>32</xdr:row>
      <xdr:rowOff>115094</xdr:rowOff>
    </xdr:from>
    <xdr:to>
      <xdr:col>13</xdr:col>
      <xdr:colOff>535896</xdr:colOff>
      <xdr:row>33</xdr:row>
      <xdr:rowOff>430213</xdr:rowOff>
    </xdr:to>
    <xdr:sp macro="" textlink="">
      <xdr:nvSpPr>
        <xdr:cNvPr id="6" name="テキスト ボックス 5"/>
        <xdr:cNvSpPr txBox="1"/>
      </xdr:nvSpPr>
      <xdr:spPr>
        <a:xfrm>
          <a:off x="7000196" y="12402344"/>
          <a:ext cx="4413250" cy="94376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要件の判定欄です。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要件を満たす場合、”</a:t>
          </a:r>
          <a:r>
            <a:rPr kumimoji="1" lang="ja-JP" altLang="en-US" sz="1400">
              <a:solidFill>
                <a:srgbClr val="FF0000"/>
              </a:solidFill>
              <a:latin typeface="メイリオ" panose="020B0604030504040204" pitchFamily="50" charset="-128"/>
              <a:ea typeface="メイリオ" panose="020B0604030504040204" pitchFamily="50" charset="-128"/>
            </a:rPr>
            <a:t>適合</a:t>
          </a:r>
          <a:r>
            <a:rPr kumimoji="1" lang="ja-JP" altLang="en-US" sz="1400">
              <a:latin typeface="メイリオ" panose="020B0604030504040204" pitchFamily="50" charset="-128"/>
              <a:ea typeface="メイリオ" panose="020B0604030504040204" pitchFamily="50" charset="-128"/>
            </a:rPr>
            <a:t>”　と表示されます。</a:t>
          </a:r>
        </a:p>
      </xdr:txBody>
    </xdr:sp>
    <xdr:clientData/>
  </xdr:twoCellAnchor>
  <xdr:twoCellAnchor>
    <xdr:from>
      <xdr:col>6</xdr:col>
      <xdr:colOff>919299</xdr:colOff>
      <xdr:row>26</xdr:row>
      <xdr:rowOff>291193</xdr:rowOff>
    </xdr:from>
    <xdr:to>
      <xdr:col>8</xdr:col>
      <xdr:colOff>171450</xdr:colOff>
      <xdr:row>28</xdr:row>
      <xdr:rowOff>285750</xdr:rowOff>
    </xdr:to>
    <xdr:cxnSp macro="">
      <xdr:nvCxnSpPr>
        <xdr:cNvPr id="7" name="直線コネクタ 6"/>
        <xdr:cNvCxnSpPr/>
      </xdr:nvCxnSpPr>
      <xdr:spPr>
        <a:xfrm>
          <a:off x="5262699" y="8806543"/>
          <a:ext cx="1119051" cy="125185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28</xdr:row>
      <xdr:rowOff>95250</xdr:rowOff>
    </xdr:from>
    <xdr:to>
      <xdr:col>11</xdr:col>
      <xdr:colOff>863717</xdr:colOff>
      <xdr:row>29</xdr:row>
      <xdr:rowOff>413319</xdr:rowOff>
    </xdr:to>
    <xdr:sp macro="" textlink="">
      <xdr:nvSpPr>
        <xdr:cNvPr id="10" name="線吹き出し 1 (枠付き) 9"/>
        <xdr:cNvSpPr/>
      </xdr:nvSpPr>
      <xdr:spPr>
        <a:xfrm>
          <a:off x="6381750" y="9867900"/>
          <a:ext cx="3492617" cy="946719"/>
        </a:xfrm>
        <a:prstGeom prst="borderCallout1">
          <a:avLst>
            <a:gd name="adj1" fmla="val 59196"/>
            <a:gd name="adj2" fmla="val -560"/>
            <a:gd name="adj3" fmla="val 90871"/>
            <a:gd name="adj4" fmla="val -3127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選択や記入漏れのセルを確認の上、</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適切に記入してください。</a:t>
          </a:r>
        </a:p>
      </xdr:txBody>
    </xdr:sp>
    <xdr:clientData/>
  </xdr:twoCellAnchor>
  <xdr:twoCellAnchor>
    <xdr:from>
      <xdr:col>9</xdr:col>
      <xdr:colOff>273050</xdr:colOff>
      <xdr:row>23</xdr:row>
      <xdr:rowOff>247650</xdr:rowOff>
    </xdr:from>
    <xdr:to>
      <xdr:col>15</xdr:col>
      <xdr:colOff>171450</xdr:colOff>
      <xdr:row>25</xdr:row>
      <xdr:rowOff>184150</xdr:rowOff>
    </xdr:to>
    <xdr:sp macro="" textlink="">
      <xdr:nvSpPr>
        <xdr:cNvPr id="11" name="線吹き出し 1 (枠付き) 10"/>
        <xdr:cNvSpPr/>
      </xdr:nvSpPr>
      <xdr:spPr>
        <a:xfrm>
          <a:off x="7416800" y="6762750"/>
          <a:ext cx="5499100" cy="1308100"/>
        </a:xfrm>
        <a:prstGeom prst="borderCallout1">
          <a:avLst>
            <a:gd name="adj1" fmla="val 1703"/>
            <a:gd name="adj2" fmla="val 39696"/>
            <a:gd name="adj3" fmla="val -84728"/>
            <a:gd name="adj4" fmla="val 5651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必要事項の記入漏れがある場合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「換気設備導入前後の比較表」の入力をご確認ください。</a:t>
          </a:r>
          <a:r>
            <a:rPr kumimoji="1" lang="ja-JP" altLang="en-US" sz="1400">
              <a:solidFill>
                <a:sysClr val="windowText" lastClr="000000"/>
              </a:solidFill>
              <a:latin typeface="メイリオ" panose="020B0604030504040204" pitchFamily="50" charset="-128"/>
              <a:ea typeface="メイリオ" panose="020B0604030504040204" pitchFamily="50" charset="-128"/>
            </a:rPr>
            <a:t>“</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　と表示されます。</a:t>
          </a:r>
        </a:p>
      </xdr:txBody>
    </xdr:sp>
    <xdr:clientData/>
  </xdr:twoCellAnchor>
  <xdr:twoCellAnchor>
    <xdr:from>
      <xdr:col>16</xdr:col>
      <xdr:colOff>38100</xdr:colOff>
      <xdr:row>1</xdr:row>
      <xdr:rowOff>152400</xdr:rowOff>
    </xdr:from>
    <xdr:to>
      <xdr:col>20</xdr:col>
      <xdr:colOff>762000</xdr:colOff>
      <xdr:row>8</xdr:row>
      <xdr:rowOff>127000</xdr:rowOff>
    </xdr:to>
    <xdr:sp macro="" textlink="">
      <xdr:nvSpPr>
        <xdr:cNvPr id="22" name="テキスト ボックス 21"/>
        <xdr:cNvSpPr txBox="1"/>
      </xdr:nvSpPr>
      <xdr:spPr>
        <a:xfrm>
          <a:off x="13716000" y="400050"/>
          <a:ext cx="4457700" cy="17081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入力不足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158750</xdr:colOff>
      <xdr:row>1</xdr:row>
      <xdr:rowOff>38100</xdr:rowOff>
    </xdr:from>
    <xdr:to>
      <xdr:col>11</xdr:col>
      <xdr:colOff>551657</xdr:colOff>
      <xdr:row>16</xdr:row>
      <xdr:rowOff>218281</xdr:rowOff>
    </xdr:to>
    <xdr:sp macro="" textlink="">
      <xdr:nvSpPr>
        <xdr:cNvPr id="2" name="右中かっこ 1"/>
        <xdr:cNvSpPr/>
      </xdr:nvSpPr>
      <xdr:spPr>
        <a:xfrm>
          <a:off x="9169400" y="285750"/>
          <a:ext cx="392907" cy="3894931"/>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788989</xdr:colOff>
      <xdr:row>7</xdr:row>
      <xdr:rowOff>34132</xdr:rowOff>
    </xdr:from>
    <xdr:to>
      <xdr:col>15</xdr:col>
      <xdr:colOff>5558</xdr:colOff>
      <xdr:row>10</xdr:row>
      <xdr:rowOff>208757</xdr:rowOff>
    </xdr:to>
    <xdr:sp macro="" textlink="">
      <xdr:nvSpPr>
        <xdr:cNvPr id="3" name="テキスト ボックス 2"/>
        <xdr:cNvSpPr txBox="1"/>
      </xdr:nvSpPr>
      <xdr:spPr>
        <a:xfrm>
          <a:off x="9799639" y="1767682"/>
          <a:ext cx="2950369" cy="9175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8</xdr:col>
      <xdr:colOff>19050</xdr:colOff>
      <xdr:row>31</xdr:row>
      <xdr:rowOff>69850</xdr:rowOff>
    </xdr:from>
    <xdr:to>
      <xdr:col>8</xdr:col>
      <xdr:colOff>419100</xdr:colOff>
      <xdr:row>35</xdr:row>
      <xdr:rowOff>0</xdr:rowOff>
    </xdr:to>
    <xdr:sp macro="" textlink="">
      <xdr:nvSpPr>
        <xdr:cNvPr id="4" name="右中かっこ 3"/>
        <xdr:cNvSpPr/>
      </xdr:nvSpPr>
      <xdr:spPr>
        <a:xfrm>
          <a:off x="6229350" y="11728450"/>
          <a:ext cx="400050" cy="24447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374650</xdr:colOff>
      <xdr:row>28</xdr:row>
      <xdr:rowOff>361950</xdr:rowOff>
    </xdr:from>
    <xdr:to>
      <xdr:col>13</xdr:col>
      <xdr:colOff>0</xdr:colOff>
      <xdr:row>30</xdr:row>
      <xdr:rowOff>51368</xdr:rowOff>
    </xdr:to>
    <xdr:sp macro="" textlink="">
      <xdr:nvSpPr>
        <xdr:cNvPr id="5" name="線吹き出し 1 (枠付き) 4"/>
        <xdr:cNvSpPr/>
      </xdr:nvSpPr>
      <xdr:spPr>
        <a:xfrm>
          <a:off x="6593114" y="10050236"/>
          <a:ext cx="4319815" cy="941275"/>
        </a:xfrm>
        <a:prstGeom prst="borderCallout1">
          <a:avLst>
            <a:gd name="adj1" fmla="val 52237"/>
            <a:gd name="adj2" fmla="val -471"/>
            <a:gd name="adj3" fmla="val 103657"/>
            <a:gd name="adj4" fmla="val -329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記入漏れや要件を満たしていない記入欄の</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文字が</a:t>
          </a:r>
          <a:r>
            <a:rPr kumimoji="1" lang="ja-JP" altLang="en-US" sz="1400">
              <a:solidFill>
                <a:srgbClr val="FF0000"/>
              </a:solidFill>
              <a:latin typeface="メイリオ" panose="020B0604030504040204" pitchFamily="50" charset="-128"/>
              <a:ea typeface="メイリオ" panose="020B0604030504040204" pitchFamily="50" charset="-128"/>
            </a:rPr>
            <a:t>朱色</a:t>
          </a:r>
          <a:r>
            <a:rPr kumimoji="1" lang="ja-JP" altLang="en-US" sz="1400">
              <a:solidFill>
                <a:sysClr val="windowText" lastClr="000000"/>
              </a:solidFill>
              <a:latin typeface="メイリオ" panose="020B0604030504040204" pitchFamily="50" charset="-128"/>
              <a:ea typeface="メイリオ" panose="020B0604030504040204" pitchFamily="50" charset="-128"/>
            </a:rPr>
            <a:t>に、セルが</a:t>
          </a:r>
          <a:r>
            <a:rPr kumimoji="1" lang="ja-JP" altLang="en-US" sz="1400">
              <a:solidFill>
                <a:srgbClr val="FF0000"/>
              </a:solidFill>
              <a:latin typeface="メイリオ" panose="020B0604030504040204" pitchFamily="50" charset="-128"/>
              <a:ea typeface="メイリオ" panose="020B0604030504040204" pitchFamily="50" charset="-128"/>
            </a:rPr>
            <a:t>黄色</a:t>
          </a:r>
          <a:r>
            <a:rPr kumimoji="1" lang="ja-JP" altLang="en-US" sz="14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8</xdr:col>
      <xdr:colOff>654050</xdr:colOff>
      <xdr:row>32</xdr:row>
      <xdr:rowOff>158750</xdr:rowOff>
    </xdr:from>
    <xdr:to>
      <xdr:col>14</xdr:col>
      <xdr:colOff>721179</xdr:colOff>
      <xdr:row>33</xdr:row>
      <xdr:rowOff>480219</xdr:rowOff>
    </xdr:to>
    <xdr:sp macro="" textlink="">
      <xdr:nvSpPr>
        <xdr:cNvPr id="6" name="テキスト ボックス 5"/>
        <xdr:cNvSpPr txBox="1"/>
      </xdr:nvSpPr>
      <xdr:spPr>
        <a:xfrm>
          <a:off x="6872514" y="12350750"/>
          <a:ext cx="5700486" cy="94739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要件の判定欄です。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要件を満たしていない項目が、”</a:t>
          </a:r>
          <a:r>
            <a:rPr kumimoji="1" lang="ja-JP" altLang="en-US" sz="1400">
              <a:solidFill>
                <a:srgbClr val="FF0000"/>
              </a:solidFill>
              <a:latin typeface="メイリオ" panose="020B0604030504040204" pitchFamily="50" charset="-128"/>
              <a:ea typeface="メイリオ" panose="020B0604030504040204" pitchFamily="50" charset="-128"/>
            </a:rPr>
            <a:t>不適合</a:t>
          </a:r>
          <a:r>
            <a:rPr kumimoji="1" lang="ja-JP" altLang="en-US" sz="1400">
              <a:latin typeface="メイリオ" panose="020B0604030504040204" pitchFamily="50" charset="-128"/>
              <a:ea typeface="メイリオ" panose="020B0604030504040204" pitchFamily="50" charset="-128"/>
            </a:rPr>
            <a:t>”　と表示されます。</a:t>
          </a:r>
        </a:p>
      </xdr:txBody>
    </xdr:sp>
    <xdr:clientData/>
  </xdr:twoCellAnchor>
  <xdr:twoCellAnchor>
    <xdr:from>
      <xdr:col>10</xdr:col>
      <xdr:colOff>412749</xdr:colOff>
      <xdr:row>23</xdr:row>
      <xdr:rowOff>405492</xdr:rowOff>
    </xdr:from>
    <xdr:to>
      <xdr:col>19</xdr:col>
      <xdr:colOff>340178</xdr:colOff>
      <xdr:row>26</xdr:row>
      <xdr:rowOff>285749</xdr:rowOff>
    </xdr:to>
    <xdr:sp macro="" textlink="">
      <xdr:nvSpPr>
        <xdr:cNvPr id="7" name="線吹き出し 1 (枠付き) 6"/>
        <xdr:cNvSpPr/>
      </xdr:nvSpPr>
      <xdr:spPr>
        <a:xfrm>
          <a:off x="8508999" y="6841671"/>
          <a:ext cx="8377465" cy="1880507"/>
        </a:xfrm>
        <a:prstGeom prst="borderCallout1">
          <a:avLst>
            <a:gd name="adj1" fmla="val 1703"/>
            <a:gd name="adj2" fmla="val 39696"/>
            <a:gd name="adj3" fmla="val -68572"/>
            <a:gd name="adj4" fmla="val 31240"/>
          </a:avLst>
        </a:prstGeom>
        <a:solidFill>
          <a:srgbClr val="FFFFC5"/>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記入内容が要件を満たさない場合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000">
              <a:solidFill>
                <a:sysClr val="windowText" lastClr="000000"/>
              </a:solidFill>
              <a:latin typeface="メイリオ" panose="020B0604030504040204" pitchFamily="50" charset="-128"/>
              <a:ea typeface="メイリオ" panose="020B0604030504040204" pitchFamily="50" charset="-128"/>
            </a:rPr>
            <a:t>”</a:t>
          </a:r>
          <a:r>
            <a:rPr kumimoji="1" lang="ja-JP" altLang="en-US" sz="2000">
              <a:solidFill>
                <a:srgbClr val="FF0000"/>
              </a:solidFill>
              <a:latin typeface="メイリオ" panose="020B0604030504040204" pitchFamily="50" charset="-128"/>
              <a:ea typeface="メイリオ" panose="020B0604030504040204" pitchFamily="50" charset="-128"/>
            </a:rPr>
            <a:t>必要換気量に係る要件を満たしていないため、申請できません。</a:t>
          </a:r>
          <a:r>
            <a:rPr kumimoji="1" lang="ja-JP" altLang="en-US" sz="2000">
              <a:solidFill>
                <a:sysClr val="windowText" lastClr="000000"/>
              </a:solidFill>
              <a:latin typeface="メイリオ" panose="020B0604030504040204" pitchFamily="50" charset="-128"/>
              <a:ea typeface="メイリオ" panose="020B0604030504040204" pitchFamily="50" charset="-128"/>
            </a:rPr>
            <a:t>“</a:t>
          </a:r>
          <a:endParaRPr kumimoji="1" lang="en-US" altLang="ja-JP" sz="20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と表示されます。入力内容を確認してください。</a:t>
          </a:r>
        </a:p>
      </xdr:txBody>
    </xdr:sp>
    <xdr:clientData/>
  </xdr:twoCellAnchor>
  <xdr:twoCellAnchor>
    <xdr:from>
      <xdr:col>16</xdr:col>
      <xdr:colOff>0</xdr:colOff>
      <xdr:row>1</xdr:row>
      <xdr:rowOff>0</xdr:rowOff>
    </xdr:from>
    <xdr:to>
      <xdr:col>20</xdr:col>
      <xdr:colOff>723900</xdr:colOff>
      <xdr:row>7</xdr:row>
      <xdr:rowOff>222250</xdr:rowOff>
    </xdr:to>
    <xdr:sp macro="" textlink="">
      <xdr:nvSpPr>
        <xdr:cNvPr id="14" name="テキスト ボックス 13"/>
        <xdr:cNvSpPr txBox="1"/>
      </xdr:nvSpPr>
      <xdr:spPr>
        <a:xfrm>
          <a:off x="13677900" y="247650"/>
          <a:ext cx="4457700" cy="17081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不適合例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39121</xdr:colOff>
      <xdr:row>48</xdr:row>
      <xdr:rowOff>23812</xdr:rowOff>
    </xdr:from>
    <xdr:to>
      <xdr:col>26</xdr:col>
      <xdr:colOff>285749</xdr:colOff>
      <xdr:row>50</xdr:row>
      <xdr:rowOff>333374</xdr:rowOff>
    </xdr:to>
    <xdr:sp macro="" textlink="">
      <xdr:nvSpPr>
        <xdr:cNvPr id="2" name="右中かっこ 1"/>
        <xdr:cNvSpPr/>
      </xdr:nvSpPr>
      <xdr:spPr>
        <a:xfrm>
          <a:off x="20446434" y="14597062"/>
          <a:ext cx="246628" cy="10001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30</xdr:row>
      <xdr:rowOff>59531</xdr:rowOff>
    </xdr:from>
    <xdr:to>
      <xdr:col>26</xdr:col>
      <xdr:colOff>369093</xdr:colOff>
      <xdr:row>31</xdr:row>
      <xdr:rowOff>285750</xdr:rowOff>
    </xdr:to>
    <xdr:sp macro="" textlink="">
      <xdr:nvSpPr>
        <xdr:cNvPr id="3" name="右中かっこ 2"/>
        <xdr:cNvSpPr/>
      </xdr:nvSpPr>
      <xdr:spPr>
        <a:xfrm>
          <a:off x="20478749" y="7631906"/>
          <a:ext cx="297657" cy="1023938"/>
        </a:xfrm>
        <a:prstGeom prst="rightBrace">
          <a:avLst>
            <a:gd name="adj1" fmla="val 8333"/>
            <a:gd name="adj2" fmla="val 3052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41</xdr:row>
      <xdr:rowOff>23812</xdr:rowOff>
    </xdr:from>
    <xdr:to>
      <xdr:col>26</xdr:col>
      <xdr:colOff>369093</xdr:colOff>
      <xdr:row>44</xdr:row>
      <xdr:rowOff>345280</xdr:rowOff>
    </xdr:to>
    <xdr:sp macro="" textlink="">
      <xdr:nvSpPr>
        <xdr:cNvPr id="4" name="右中かっこ 3"/>
        <xdr:cNvSpPr/>
      </xdr:nvSpPr>
      <xdr:spPr>
        <a:xfrm>
          <a:off x="20446434" y="11739562"/>
          <a:ext cx="329972" cy="1797843"/>
        </a:xfrm>
        <a:prstGeom prst="rightBrace">
          <a:avLst>
            <a:gd name="adj1" fmla="val 12076"/>
            <a:gd name="adj2" fmla="val 5104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32</xdr:row>
      <xdr:rowOff>35719</xdr:rowOff>
    </xdr:from>
    <xdr:to>
      <xdr:col>26</xdr:col>
      <xdr:colOff>357187</xdr:colOff>
      <xdr:row>34</xdr:row>
      <xdr:rowOff>333375</xdr:rowOff>
    </xdr:to>
    <xdr:sp macro="" textlink="">
      <xdr:nvSpPr>
        <xdr:cNvPr id="5" name="右中かっこ 4"/>
        <xdr:cNvSpPr/>
      </xdr:nvSpPr>
      <xdr:spPr>
        <a:xfrm>
          <a:off x="20478749" y="8739188"/>
          <a:ext cx="285751" cy="988218"/>
        </a:xfrm>
        <a:prstGeom prst="rightBrace">
          <a:avLst>
            <a:gd name="adj1" fmla="val 8333"/>
            <a:gd name="adj2" fmla="val 4813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45</xdr:row>
      <xdr:rowOff>23812</xdr:rowOff>
    </xdr:from>
    <xdr:to>
      <xdr:col>26</xdr:col>
      <xdr:colOff>285749</xdr:colOff>
      <xdr:row>47</xdr:row>
      <xdr:rowOff>333374</xdr:rowOff>
    </xdr:to>
    <xdr:sp macro="" textlink="">
      <xdr:nvSpPr>
        <xdr:cNvPr id="6" name="右中かっこ 5"/>
        <xdr:cNvSpPr/>
      </xdr:nvSpPr>
      <xdr:spPr>
        <a:xfrm>
          <a:off x="20446434" y="13561218"/>
          <a:ext cx="246628" cy="10001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166687</xdr:colOff>
      <xdr:row>0</xdr:row>
      <xdr:rowOff>226219</xdr:rowOff>
    </xdr:from>
    <xdr:to>
      <xdr:col>14</xdr:col>
      <xdr:colOff>559594</xdr:colOff>
      <xdr:row>23</xdr:row>
      <xdr:rowOff>11113</xdr:rowOff>
    </xdr:to>
    <xdr:sp macro="" textlink="">
      <xdr:nvSpPr>
        <xdr:cNvPr id="7" name="右中かっこ 6"/>
        <xdr:cNvSpPr/>
      </xdr:nvSpPr>
      <xdr:spPr>
        <a:xfrm>
          <a:off x="11037093" y="226219"/>
          <a:ext cx="392907" cy="50355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771979</xdr:colOff>
      <xdr:row>9</xdr:row>
      <xdr:rowOff>66110</xdr:rowOff>
    </xdr:from>
    <xdr:to>
      <xdr:col>18</xdr:col>
      <xdr:colOff>391320</xdr:colOff>
      <xdr:row>15</xdr:row>
      <xdr:rowOff>34360</xdr:rowOff>
    </xdr:to>
    <xdr:sp macro="" textlink="">
      <xdr:nvSpPr>
        <xdr:cNvPr id="8" name="テキスト ボックス 7"/>
        <xdr:cNvSpPr txBox="1"/>
      </xdr:nvSpPr>
      <xdr:spPr>
        <a:xfrm>
          <a:off x="11642385" y="2316391"/>
          <a:ext cx="2953091" cy="9683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20</xdr:col>
      <xdr:colOff>400050</xdr:colOff>
      <xdr:row>1</xdr:row>
      <xdr:rowOff>38100</xdr:rowOff>
    </xdr:from>
    <xdr:to>
      <xdr:col>24</xdr:col>
      <xdr:colOff>511175</xdr:colOff>
      <xdr:row>8</xdr:row>
      <xdr:rowOff>12700</xdr:rowOff>
    </xdr:to>
    <xdr:sp macro="" textlink="">
      <xdr:nvSpPr>
        <xdr:cNvPr id="11" name="テキスト ボックス 10"/>
        <xdr:cNvSpPr txBox="1"/>
      </xdr:nvSpPr>
      <xdr:spPr>
        <a:xfrm>
          <a:off x="16363950" y="285750"/>
          <a:ext cx="3463925" cy="17081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適合例</a:t>
          </a:r>
        </a:p>
      </xdr:txBody>
    </xdr:sp>
    <xdr:clientData/>
  </xdr:twoCellAnchor>
  <xdr:twoCellAnchor>
    <xdr:from>
      <xdr:col>9</xdr:col>
      <xdr:colOff>678656</xdr:colOff>
      <xdr:row>30</xdr:row>
      <xdr:rowOff>100012</xdr:rowOff>
    </xdr:from>
    <xdr:to>
      <xdr:col>17</xdr:col>
      <xdr:colOff>240144</xdr:colOff>
      <xdr:row>31</xdr:row>
      <xdr:rowOff>121897</xdr:rowOff>
    </xdr:to>
    <xdr:sp macro="" textlink="">
      <xdr:nvSpPr>
        <xdr:cNvPr id="12" name="線吹き出し 1 (枠付き) 11"/>
        <xdr:cNvSpPr/>
      </xdr:nvSpPr>
      <xdr:spPr>
        <a:xfrm>
          <a:off x="8239125" y="7696200"/>
          <a:ext cx="6228988" cy="819603"/>
        </a:xfrm>
        <a:prstGeom prst="borderCallout1">
          <a:avLst>
            <a:gd name="adj1" fmla="val -2083"/>
            <a:gd name="adj2" fmla="val 33334"/>
            <a:gd name="adj3" fmla="val -137163"/>
            <a:gd name="adj4" fmla="val 461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400">
              <a:solidFill>
                <a:srgbClr val="FF0000"/>
              </a:solidFill>
              <a:latin typeface="メイリオ" panose="020B0604030504040204" pitchFamily="50" charset="-128"/>
              <a:ea typeface="メイリオ" panose="020B0604030504040204" pitchFamily="50" charset="-128"/>
            </a:rPr>
            <a:t>換気設備導入の要件を満たしています。</a:t>
          </a:r>
          <a:r>
            <a:rPr kumimoji="1" lang="ja-JP" altLang="en-US" sz="14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0</xdr:col>
      <xdr:colOff>0</xdr:colOff>
      <xdr:row>39</xdr:row>
      <xdr:rowOff>0</xdr:rowOff>
    </xdr:from>
    <xdr:to>
      <xdr:col>0</xdr:col>
      <xdr:colOff>57149</xdr:colOff>
      <xdr:row>78</xdr:row>
      <xdr:rowOff>28575</xdr:rowOff>
    </xdr:to>
    <xdr:cxnSp macro="">
      <xdr:nvCxnSpPr>
        <xdr:cNvPr id="15" name="カギ線コネクタ 14"/>
        <xdr:cNvCxnSpPr/>
      </xdr:nvCxnSpPr>
      <xdr:spPr>
        <a:xfrm rot="10800000" flipH="1" flipV="1">
          <a:off x="0" y="9982200"/>
          <a:ext cx="57149" cy="9039225"/>
        </a:xfrm>
        <a:prstGeom prst="bentConnector3">
          <a:avLst>
            <a:gd name="adj1" fmla="val -800028"/>
          </a:avLst>
        </a:prstGeom>
        <a:noFill/>
        <a:ln w="28575" cap="flat" cmpd="sng" algn="ctr">
          <a:solidFill>
            <a:srgbClr val="70AD47"/>
          </a:solidFill>
          <a:prstDash val="solid"/>
          <a:miter lim="800000"/>
          <a:tailEnd type="triangle"/>
        </a:ln>
        <a:effectLst/>
      </xdr:spPr>
    </xdr:cxnSp>
    <xdr:clientData/>
  </xdr:twoCellAnchor>
  <xdr:twoCellAnchor>
    <xdr:from>
      <xdr:col>0</xdr:col>
      <xdr:colOff>1009650</xdr:colOff>
      <xdr:row>29</xdr:row>
      <xdr:rowOff>133350</xdr:rowOff>
    </xdr:from>
    <xdr:to>
      <xdr:col>1</xdr:col>
      <xdr:colOff>38099</xdr:colOff>
      <xdr:row>70</xdr:row>
      <xdr:rowOff>219075</xdr:rowOff>
    </xdr:to>
    <xdr:cxnSp macro="">
      <xdr:nvCxnSpPr>
        <xdr:cNvPr id="17" name="カギ線コネクタ 16"/>
        <xdr:cNvCxnSpPr/>
      </xdr:nvCxnSpPr>
      <xdr:spPr>
        <a:xfrm rot="10800000" flipH="1" flipV="1">
          <a:off x="1009650" y="7429500"/>
          <a:ext cx="57149" cy="9039225"/>
        </a:xfrm>
        <a:prstGeom prst="bentConnector3">
          <a:avLst>
            <a:gd name="adj1" fmla="val -800028"/>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272142</xdr:colOff>
      <xdr:row>40</xdr:row>
      <xdr:rowOff>149679</xdr:rowOff>
    </xdr:from>
    <xdr:to>
      <xdr:col>0</xdr:col>
      <xdr:colOff>1015999</xdr:colOff>
      <xdr:row>94</xdr:row>
      <xdr:rowOff>266700</xdr:rowOff>
    </xdr:to>
    <xdr:cxnSp macro="">
      <xdr:nvCxnSpPr>
        <xdr:cNvPr id="22" name="カギ線コネクタ 21"/>
        <xdr:cNvCxnSpPr/>
      </xdr:nvCxnSpPr>
      <xdr:spPr>
        <a:xfrm rot="16200000" flipH="1">
          <a:off x="-6310993" y="17155885"/>
          <a:ext cx="13914664" cy="748393"/>
        </a:xfrm>
        <a:prstGeom prst="bentConnector3">
          <a:avLst>
            <a:gd name="adj1" fmla="val 99971"/>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40</xdr:row>
      <xdr:rowOff>152400</xdr:rowOff>
    </xdr:from>
    <xdr:to>
      <xdr:col>1</xdr:col>
      <xdr:colOff>0</xdr:colOff>
      <xdr:row>40</xdr:row>
      <xdr:rowOff>152400</xdr:rowOff>
    </xdr:to>
    <xdr:cxnSp macro="">
      <xdr:nvCxnSpPr>
        <xdr:cNvPr id="28" name="直線コネクタ 27"/>
        <xdr:cNvCxnSpPr/>
      </xdr:nvCxnSpPr>
      <xdr:spPr>
        <a:xfrm>
          <a:off x="266700" y="10668000"/>
          <a:ext cx="76200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635000</xdr:colOff>
      <xdr:row>114</xdr:row>
      <xdr:rowOff>158750</xdr:rowOff>
    </xdr:from>
    <xdr:to>
      <xdr:col>23</xdr:col>
      <xdr:colOff>746125</xdr:colOff>
      <xdr:row>119</xdr:row>
      <xdr:rowOff>339725</xdr:rowOff>
    </xdr:to>
    <xdr:sp macro="" textlink="">
      <xdr:nvSpPr>
        <xdr:cNvPr id="31" name="テキスト ボックス 30"/>
        <xdr:cNvSpPr txBox="1"/>
      </xdr:nvSpPr>
      <xdr:spPr>
        <a:xfrm>
          <a:off x="16637000" y="31607125"/>
          <a:ext cx="3476625" cy="175260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適合例</a:t>
          </a:r>
        </a:p>
      </xdr:txBody>
    </xdr:sp>
    <xdr:clientData/>
  </xdr:twoCellAnchor>
  <xdr:twoCellAnchor>
    <xdr:from>
      <xdr:col>9</xdr:col>
      <xdr:colOff>695325</xdr:colOff>
      <xdr:row>112</xdr:row>
      <xdr:rowOff>142875</xdr:rowOff>
    </xdr:from>
    <xdr:to>
      <xdr:col>13</xdr:col>
      <xdr:colOff>438150</xdr:colOff>
      <xdr:row>115</xdr:row>
      <xdr:rowOff>41275</xdr:rowOff>
    </xdr:to>
    <xdr:sp macro="" textlink="">
      <xdr:nvSpPr>
        <xdr:cNvPr id="32" name="線吹き出し 1 (枠付き) 31"/>
        <xdr:cNvSpPr/>
      </xdr:nvSpPr>
      <xdr:spPr>
        <a:xfrm>
          <a:off x="8283575" y="31162625"/>
          <a:ext cx="3108325" cy="787400"/>
        </a:xfrm>
        <a:prstGeom prst="borderCallout1">
          <a:avLst>
            <a:gd name="adj1" fmla="val 46240"/>
            <a:gd name="adj2" fmla="val -513"/>
            <a:gd name="adj3" fmla="val 63094"/>
            <a:gd name="adj4" fmla="val -626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空調設備の更新を行う場合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必ず　”</a:t>
          </a:r>
          <a:r>
            <a:rPr kumimoji="1" lang="ja-JP" altLang="en-US" sz="1200">
              <a:solidFill>
                <a:srgbClr val="FF0000"/>
              </a:solidFill>
              <a:latin typeface="メイリオ" panose="020B0604030504040204" pitchFamily="50" charset="-128"/>
              <a:ea typeface="メイリオ" panose="020B0604030504040204" pitchFamily="50" charset="-128"/>
            </a:rPr>
            <a:t>はい</a:t>
          </a:r>
          <a:r>
            <a:rPr kumimoji="1" lang="ja-JP" altLang="en-US" sz="1200">
              <a:solidFill>
                <a:sysClr val="windowText" lastClr="000000"/>
              </a:solidFill>
              <a:latin typeface="メイリオ" panose="020B0604030504040204" pitchFamily="50" charset="-128"/>
              <a:ea typeface="メイリオ" panose="020B0604030504040204" pitchFamily="50" charset="-128"/>
            </a:rPr>
            <a:t>”　を選択してください。</a:t>
          </a:r>
        </a:p>
      </xdr:txBody>
    </xdr:sp>
    <xdr:clientData/>
  </xdr:twoCellAnchor>
  <xdr:twoCellAnchor>
    <xdr:from>
      <xdr:col>8</xdr:col>
      <xdr:colOff>381000</xdr:colOff>
      <xdr:row>121</xdr:row>
      <xdr:rowOff>101600</xdr:rowOff>
    </xdr:from>
    <xdr:to>
      <xdr:col>16</xdr:col>
      <xdr:colOff>0</xdr:colOff>
      <xdr:row>122</xdr:row>
      <xdr:rowOff>261937</xdr:rowOff>
    </xdr:to>
    <xdr:sp macro="" textlink="">
      <xdr:nvSpPr>
        <xdr:cNvPr id="33" name="線吹き出し 1 (枠付き) 32"/>
        <xdr:cNvSpPr/>
      </xdr:nvSpPr>
      <xdr:spPr>
        <a:xfrm>
          <a:off x="7108031" y="33724850"/>
          <a:ext cx="6286500" cy="958056"/>
        </a:xfrm>
        <a:prstGeom prst="borderCallout1">
          <a:avLst>
            <a:gd name="adj1" fmla="val -2083"/>
            <a:gd name="adj2" fmla="val 33334"/>
            <a:gd name="adj3" fmla="val -123304"/>
            <a:gd name="adj4" fmla="val 460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400">
              <a:solidFill>
                <a:srgbClr val="FF0000"/>
              </a:solidFill>
              <a:latin typeface="メイリオ" panose="020B0604030504040204" pitchFamily="50" charset="-128"/>
              <a:ea typeface="メイリオ" panose="020B0604030504040204" pitchFamily="50" charset="-128"/>
            </a:rPr>
            <a:t>換気設備導入の要件を満たしています。</a:t>
          </a:r>
          <a:r>
            <a:rPr kumimoji="1" lang="ja-JP" altLang="en-US" sz="1400">
              <a:solidFill>
                <a:sysClr val="windowText" lastClr="000000"/>
              </a:solidFill>
              <a:latin typeface="メイリオ" panose="020B0604030504040204" pitchFamily="50" charset="-128"/>
              <a:ea typeface="メイリオ" panose="020B0604030504040204" pitchFamily="50" charset="-128"/>
            </a:rPr>
            <a:t>”</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と表示されることを確認してください。</a:t>
          </a:r>
        </a:p>
      </xdr:txBody>
    </xdr:sp>
    <xdr:clientData/>
  </xdr:twoCellAnchor>
  <xdr:twoCellAnchor>
    <xdr:from>
      <xdr:col>4</xdr:col>
      <xdr:colOff>127000</xdr:colOff>
      <xdr:row>146</xdr:row>
      <xdr:rowOff>31750</xdr:rowOff>
    </xdr:from>
    <xdr:to>
      <xdr:col>4</xdr:col>
      <xdr:colOff>519907</xdr:colOff>
      <xdr:row>150</xdr:row>
      <xdr:rowOff>0</xdr:rowOff>
    </xdr:to>
    <xdr:sp macro="" textlink="">
      <xdr:nvSpPr>
        <xdr:cNvPr id="34" name="右中かっこ 33"/>
        <xdr:cNvSpPr/>
      </xdr:nvSpPr>
      <xdr:spPr>
        <a:xfrm>
          <a:off x="3508375" y="41449625"/>
          <a:ext cx="392907" cy="13652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762001</xdr:colOff>
      <xdr:row>146</xdr:row>
      <xdr:rowOff>243416</xdr:rowOff>
    </xdr:from>
    <xdr:to>
      <xdr:col>12</xdr:col>
      <xdr:colOff>58209</xdr:colOff>
      <xdr:row>149</xdr:row>
      <xdr:rowOff>158749</xdr:rowOff>
    </xdr:to>
    <xdr:sp macro="" textlink="">
      <xdr:nvSpPr>
        <xdr:cNvPr id="35" name="テキスト ボックス 34"/>
        <xdr:cNvSpPr txBox="1"/>
      </xdr:nvSpPr>
      <xdr:spPr>
        <a:xfrm>
          <a:off x="4143376" y="41661291"/>
          <a:ext cx="6027208" cy="963083"/>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仕様書等の記載通りに、能力やエネルギー消費量を記入してください。</a:t>
          </a:r>
          <a:endParaRPr kumimoji="1" lang="en-US" altLang="ja-JP" sz="1200" baseline="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4</xdr:col>
      <xdr:colOff>174625</xdr:colOff>
      <xdr:row>125</xdr:row>
      <xdr:rowOff>31750</xdr:rowOff>
    </xdr:from>
    <xdr:to>
      <xdr:col>4</xdr:col>
      <xdr:colOff>567532</xdr:colOff>
      <xdr:row>129</xdr:row>
      <xdr:rowOff>0</xdr:rowOff>
    </xdr:to>
    <xdr:sp macro="" textlink="">
      <xdr:nvSpPr>
        <xdr:cNvPr id="36" name="右中かっこ 35"/>
        <xdr:cNvSpPr/>
      </xdr:nvSpPr>
      <xdr:spPr>
        <a:xfrm>
          <a:off x="3556000" y="35782250"/>
          <a:ext cx="392907" cy="13652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125</xdr:row>
      <xdr:rowOff>243416</xdr:rowOff>
    </xdr:from>
    <xdr:to>
      <xdr:col>12</xdr:col>
      <xdr:colOff>440530</xdr:colOff>
      <xdr:row>128</xdr:row>
      <xdr:rowOff>158749</xdr:rowOff>
    </xdr:to>
    <xdr:sp macro="" textlink="">
      <xdr:nvSpPr>
        <xdr:cNvPr id="37" name="テキスト ボックス 36"/>
        <xdr:cNvSpPr txBox="1"/>
      </xdr:nvSpPr>
      <xdr:spPr>
        <a:xfrm>
          <a:off x="4202906" y="35700229"/>
          <a:ext cx="6298405" cy="951176"/>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仕様書等の記載通りに、能力やエネルギー消費量を記入してください。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9</xdr:col>
      <xdr:colOff>119062</xdr:colOff>
      <xdr:row>46</xdr:row>
      <xdr:rowOff>15875</xdr:rowOff>
    </xdr:from>
    <xdr:to>
      <xdr:col>9</xdr:col>
      <xdr:colOff>511969</xdr:colOff>
      <xdr:row>65</xdr:row>
      <xdr:rowOff>15875</xdr:rowOff>
    </xdr:to>
    <xdr:sp macro="" textlink="">
      <xdr:nvSpPr>
        <xdr:cNvPr id="23" name="右中かっこ 22"/>
        <xdr:cNvSpPr/>
      </xdr:nvSpPr>
      <xdr:spPr>
        <a:xfrm>
          <a:off x="7679531" y="13005594"/>
          <a:ext cx="392907" cy="1726406"/>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47</xdr:row>
      <xdr:rowOff>48946</xdr:rowOff>
    </xdr:from>
    <xdr:to>
      <xdr:col>17</xdr:col>
      <xdr:colOff>333375</xdr:colOff>
      <xdr:row>49</xdr:row>
      <xdr:rowOff>304004</xdr:rowOff>
    </xdr:to>
    <xdr:sp macro="" textlink="">
      <xdr:nvSpPr>
        <xdr:cNvPr id="24" name="テキスト ボックス 23"/>
        <xdr:cNvSpPr txBox="1"/>
      </xdr:nvSpPr>
      <xdr:spPr>
        <a:xfrm>
          <a:off x="8179594" y="13383946"/>
          <a:ext cx="6381750" cy="945621"/>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仕様書等の記載通りに、換気量や消費電力等を記入してください。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7</xdr:col>
      <xdr:colOff>91281</xdr:colOff>
      <xdr:row>32</xdr:row>
      <xdr:rowOff>339724</xdr:rowOff>
    </xdr:from>
    <xdr:to>
      <xdr:col>7</xdr:col>
      <xdr:colOff>484188</xdr:colOff>
      <xdr:row>38</xdr:row>
      <xdr:rowOff>15875</xdr:rowOff>
    </xdr:to>
    <xdr:sp macro="" textlink="">
      <xdr:nvSpPr>
        <xdr:cNvPr id="25" name="右中かっこ 24"/>
        <xdr:cNvSpPr/>
      </xdr:nvSpPr>
      <xdr:spPr>
        <a:xfrm>
          <a:off x="5984875" y="9067005"/>
          <a:ext cx="392907" cy="71199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619126</xdr:colOff>
      <xdr:row>32</xdr:row>
      <xdr:rowOff>226219</xdr:rowOff>
    </xdr:from>
    <xdr:to>
      <xdr:col>15</xdr:col>
      <xdr:colOff>285749</xdr:colOff>
      <xdr:row>38</xdr:row>
      <xdr:rowOff>130969</xdr:rowOff>
    </xdr:to>
    <xdr:sp macro="" textlink="">
      <xdr:nvSpPr>
        <xdr:cNvPr id="26" name="テキスト ボックス 25"/>
        <xdr:cNvSpPr txBox="1"/>
      </xdr:nvSpPr>
      <xdr:spPr>
        <a:xfrm>
          <a:off x="6512720" y="8953500"/>
          <a:ext cx="6334123" cy="94059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仕様書等の記載通りに、換気量と消費電力を記入してください。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13</xdr:col>
      <xdr:colOff>130968</xdr:colOff>
      <xdr:row>188</xdr:row>
      <xdr:rowOff>95249</xdr:rowOff>
    </xdr:from>
    <xdr:to>
      <xdr:col>20</xdr:col>
      <xdr:colOff>666606</xdr:colOff>
      <xdr:row>193</xdr:row>
      <xdr:rowOff>250030</xdr:rowOff>
    </xdr:to>
    <xdr:sp macro="" textlink="">
      <xdr:nvSpPr>
        <xdr:cNvPr id="27" name="線吹き出し 1 (枠付き) 26"/>
        <xdr:cNvSpPr/>
      </xdr:nvSpPr>
      <xdr:spPr>
        <a:xfrm>
          <a:off x="11025187" y="53149499"/>
          <a:ext cx="6369700" cy="1881187"/>
        </a:xfrm>
        <a:prstGeom prst="borderCallout1">
          <a:avLst>
            <a:gd name="adj1" fmla="val 43044"/>
            <a:gd name="adj2" fmla="val 100183"/>
            <a:gd name="adj3" fmla="val -23491"/>
            <a:gd name="adj4" fmla="val 1190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メイリオ" panose="020B0604030504040204" pitchFamily="50" charset="-128"/>
              <a:ea typeface="メイリオ" panose="020B0604030504040204" pitchFamily="50" charset="-128"/>
            </a:rPr>
            <a:t>※</a:t>
          </a:r>
          <a:r>
            <a:rPr kumimoji="1" lang="ja-JP" altLang="en-US" sz="1200">
              <a:solidFill>
                <a:srgbClr val="FF0000"/>
              </a:solidFill>
              <a:latin typeface="メイリオ" panose="020B0604030504040204" pitchFamily="50" charset="-128"/>
              <a:ea typeface="メイリオ" panose="020B0604030504040204" pitchFamily="50" charset="-128"/>
            </a:rPr>
            <a:t>更新する空調設備に該当する要件をプルダウンメニューより選択してください。</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①推奨機器：導入推奨機器に指定されたもの。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②４つ星：統一省エネルギーラベル４つ星以上であるもの。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③その他：（導入推奨機器指定要綱の指定基準又は、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クレジット算定ガイドラインの認定基準を満たすもの）</a:t>
          </a:r>
        </a:p>
      </xdr:txBody>
    </xdr:sp>
    <xdr:clientData/>
  </xdr:twoCellAnchor>
  <xdr:twoCellAnchor>
    <xdr:from>
      <xdr:col>0</xdr:col>
      <xdr:colOff>619126</xdr:colOff>
      <xdr:row>120</xdr:row>
      <xdr:rowOff>166686</xdr:rowOff>
    </xdr:from>
    <xdr:to>
      <xdr:col>0</xdr:col>
      <xdr:colOff>1000126</xdr:colOff>
      <xdr:row>164</xdr:row>
      <xdr:rowOff>142874</xdr:rowOff>
    </xdr:to>
    <xdr:cxnSp macro="">
      <xdr:nvCxnSpPr>
        <xdr:cNvPr id="29" name="カギ線コネクタ 28"/>
        <xdr:cNvCxnSpPr/>
      </xdr:nvCxnSpPr>
      <xdr:spPr>
        <a:xfrm rot="16200000" flipH="1">
          <a:off x="-4964906" y="39028687"/>
          <a:ext cx="11549063" cy="381000"/>
        </a:xfrm>
        <a:prstGeom prst="bentConnector3">
          <a:avLst>
            <a:gd name="adj1" fmla="val 100103"/>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261937</xdr:colOff>
      <xdr:row>141</xdr:row>
      <xdr:rowOff>154781</xdr:rowOff>
    </xdr:from>
    <xdr:to>
      <xdr:col>1</xdr:col>
      <xdr:colOff>3</xdr:colOff>
      <xdr:row>186</xdr:row>
      <xdr:rowOff>154784</xdr:rowOff>
    </xdr:to>
    <xdr:cxnSp macro="">
      <xdr:nvCxnSpPr>
        <xdr:cNvPr id="30" name="カギ線コネクタ 29"/>
        <xdr:cNvCxnSpPr/>
      </xdr:nvCxnSpPr>
      <xdr:spPr>
        <a:xfrm rot="16200000" flipH="1">
          <a:off x="-6090047" y="45404484"/>
          <a:ext cx="13465972" cy="762004"/>
        </a:xfrm>
        <a:prstGeom prst="bentConnector3">
          <a:avLst>
            <a:gd name="adj1" fmla="val 99867"/>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266699</xdr:colOff>
      <xdr:row>141</xdr:row>
      <xdr:rowOff>164307</xdr:rowOff>
    </xdr:from>
    <xdr:to>
      <xdr:col>1</xdr:col>
      <xdr:colOff>-1</xdr:colOff>
      <xdr:row>141</xdr:row>
      <xdr:rowOff>164307</xdr:rowOff>
    </xdr:to>
    <xdr:cxnSp macro="">
      <xdr:nvCxnSpPr>
        <xdr:cNvPr id="38" name="直線コネクタ 37"/>
        <xdr:cNvCxnSpPr/>
      </xdr:nvCxnSpPr>
      <xdr:spPr>
        <a:xfrm>
          <a:off x="266699" y="39062026"/>
          <a:ext cx="757238"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120</xdr:row>
      <xdr:rowOff>152401</xdr:rowOff>
    </xdr:from>
    <xdr:to>
      <xdr:col>1</xdr:col>
      <xdr:colOff>-1</xdr:colOff>
      <xdr:row>120</xdr:row>
      <xdr:rowOff>152401</xdr:rowOff>
    </xdr:to>
    <xdr:cxnSp macro="">
      <xdr:nvCxnSpPr>
        <xdr:cNvPr id="65" name="直線コネクタ 64"/>
        <xdr:cNvCxnSpPr/>
      </xdr:nvCxnSpPr>
      <xdr:spPr>
        <a:xfrm>
          <a:off x="619125" y="33430370"/>
          <a:ext cx="404812" cy="0"/>
        </a:xfrm>
        <a:prstGeom prst="line">
          <a:avLst/>
        </a:prstGeom>
        <a:ln w="571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345281</xdr:colOff>
      <xdr:row>166</xdr:row>
      <xdr:rowOff>154780</xdr:rowOff>
    </xdr:from>
    <xdr:to>
      <xdr:col>19</xdr:col>
      <xdr:colOff>797718</xdr:colOff>
      <xdr:row>169</xdr:row>
      <xdr:rowOff>119061</xdr:rowOff>
    </xdr:to>
    <xdr:sp macro="" textlink="">
      <xdr:nvSpPr>
        <xdr:cNvPr id="67" name="線吹き出し 1 (枠付き) 66"/>
        <xdr:cNvSpPr/>
      </xdr:nvSpPr>
      <xdr:spPr>
        <a:xfrm>
          <a:off x="12072937" y="45696186"/>
          <a:ext cx="4619625" cy="1000125"/>
        </a:xfrm>
        <a:prstGeom prst="borderCallout1">
          <a:avLst>
            <a:gd name="adj1" fmla="val 1943"/>
            <a:gd name="adj2" fmla="val 47862"/>
            <a:gd name="adj3" fmla="val -59670"/>
            <a:gd name="adj4" fmla="val 3581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空調設備の構成型番及び室外機型番を記入してください。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なお、室外機型番は、（　）内に記載してください。</a:t>
          </a:r>
        </a:p>
      </xdr:txBody>
    </xdr:sp>
    <xdr:clientData/>
  </xdr:twoCellAnchor>
  <xdr:twoCellAnchor>
    <xdr:from>
      <xdr:col>2</xdr:col>
      <xdr:colOff>214313</xdr:colOff>
      <xdr:row>68</xdr:row>
      <xdr:rowOff>35719</xdr:rowOff>
    </xdr:from>
    <xdr:to>
      <xdr:col>6</xdr:col>
      <xdr:colOff>428625</xdr:colOff>
      <xdr:row>74</xdr:row>
      <xdr:rowOff>130968</xdr:rowOff>
    </xdr:to>
    <xdr:sp macro="" textlink="">
      <xdr:nvSpPr>
        <xdr:cNvPr id="68" name="正方形/長方形 67"/>
        <xdr:cNvSpPr/>
      </xdr:nvSpPr>
      <xdr:spPr>
        <a:xfrm>
          <a:off x="2321719" y="15894844"/>
          <a:ext cx="3167062" cy="1940718"/>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595311</xdr:colOff>
      <xdr:row>75</xdr:row>
      <xdr:rowOff>166687</xdr:rowOff>
    </xdr:from>
    <xdr:to>
      <xdr:col>7</xdr:col>
      <xdr:colOff>250030</xdr:colOff>
      <xdr:row>78</xdr:row>
      <xdr:rowOff>130968</xdr:rowOff>
    </xdr:to>
    <xdr:sp macro="" textlink="">
      <xdr:nvSpPr>
        <xdr:cNvPr id="69" name="線吹き出し 1 (枠付き) 68"/>
        <xdr:cNvSpPr/>
      </xdr:nvSpPr>
      <xdr:spPr>
        <a:xfrm>
          <a:off x="595311" y="18216562"/>
          <a:ext cx="5548313" cy="1000125"/>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記載に合わせて記入してください。</a:t>
          </a:r>
        </a:p>
      </xdr:txBody>
    </xdr:sp>
    <xdr:clientData/>
  </xdr:twoCellAnchor>
  <xdr:twoCellAnchor>
    <xdr:from>
      <xdr:col>7</xdr:col>
      <xdr:colOff>142875</xdr:colOff>
      <xdr:row>68</xdr:row>
      <xdr:rowOff>35719</xdr:rowOff>
    </xdr:from>
    <xdr:to>
      <xdr:col>12</xdr:col>
      <xdr:colOff>71438</xdr:colOff>
      <xdr:row>74</xdr:row>
      <xdr:rowOff>130968</xdr:rowOff>
    </xdr:to>
    <xdr:sp macro="" textlink="">
      <xdr:nvSpPr>
        <xdr:cNvPr id="70" name="正方形/長方形 69"/>
        <xdr:cNvSpPr/>
      </xdr:nvSpPr>
      <xdr:spPr>
        <a:xfrm>
          <a:off x="6036469" y="15894844"/>
          <a:ext cx="4095750" cy="1940718"/>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142876</xdr:colOff>
      <xdr:row>75</xdr:row>
      <xdr:rowOff>95251</xdr:rowOff>
    </xdr:from>
    <xdr:to>
      <xdr:col>13</xdr:col>
      <xdr:colOff>428625</xdr:colOff>
      <xdr:row>76</xdr:row>
      <xdr:rowOff>297658</xdr:rowOff>
    </xdr:to>
    <xdr:sp macro="" textlink="">
      <xdr:nvSpPr>
        <xdr:cNvPr id="71" name="線吹き出し 1 (枠付き) 70"/>
        <xdr:cNvSpPr/>
      </xdr:nvSpPr>
      <xdr:spPr>
        <a:xfrm>
          <a:off x="6869907" y="18145126"/>
          <a:ext cx="4452937" cy="547688"/>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twoCellAnchor>
    <xdr:from>
      <xdr:col>2</xdr:col>
      <xdr:colOff>226220</xdr:colOff>
      <xdr:row>161</xdr:row>
      <xdr:rowOff>404814</xdr:rowOff>
    </xdr:from>
    <xdr:to>
      <xdr:col>6</xdr:col>
      <xdr:colOff>35719</xdr:colOff>
      <xdr:row>165</xdr:row>
      <xdr:rowOff>142876</xdr:rowOff>
    </xdr:to>
    <xdr:sp macro="" textlink="">
      <xdr:nvSpPr>
        <xdr:cNvPr id="72" name="正方形/長方形 71"/>
        <xdr:cNvSpPr/>
      </xdr:nvSpPr>
      <xdr:spPr>
        <a:xfrm>
          <a:off x="2333626" y="44374595"/>
          <a:ext cx="2762249" cy="964406"/>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654844</xdr:colOff>
      <xdr:row>166</xdr:row>
      <xdr:rowOff>178593</xdr:rowOff>
    </xdr:from>
    <xdr:to>
      <xdr:col>6</xdr:col>
      <xdr:colOff>738188</xdr:colOff>
      <xdr:row>169</xdr:row>
      <xdr:rowOff>142874</xdr:rowOff>
    </xdr:to>
    <xdr:sp macro="" textlink="">
      <xdr:nvSpPr>
        <xdr:cNvPr id="73" name="線吹き出し 1 (枠付き) 72"/>
        <xdr:cNvSpPr/>
      </xdr:nvSpPr>
      <xdr:spPr>
        <a:xfrm>
          <a:off x="654844" y="45719999"/>
          <a:ext cx="5143500" cy="1000125"/>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の記載に合わせて記入してください。</a:t>
          </a:r>
        </a:p>
      </xdr:txBody>
    </xdr:sp>
    <xdr:clientData/>
  </xdr:twoCellAnchor>
  <xdr:twoCellAnchor>
    <xdr:from>
      <xdr:col>7</xdr:col>
      <xdr:colOff>202407</xdr:colOff>
      <xdr:row>162</xdr:row>
      <xdr:rowOff>23812</xdr:rowOff>
    </xdr:from>
    <xdr:to>
      <xdr:col>11</xdr:col>
      <xdr:colOff>583406</xdr:colOff>
      <xdr:row>165</xdr:row>
      <xdr:rowOff>154781</xdr:rowOff>
    </xdr:to>
    <xdr:sp macro="" textlink="">
      <xdr:nvSpPr>
        <xdr:cNvPr id="74" name="正方形/長方形 73"/>
        <xdr:cNvSpPr/>
      </xdr:nvSpPr>
      <xdr:spPr>
        <a:xfrm>
          <a:off x="6096001" y="44410312"/>
          <a:ext cx="3714749" cy="940594"/>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619127</xdr:colOff>
      <xdr:row>166</xdr:row>
      <xdr:rowOff>83345</xdr:rowOff>
    </xdr:from>
    <xdr:to>
      <xdr:col>13</xdr:col>
      <xdr:colOff>71439</xdr:colOff>
      <xdr:row>167</xdr:row>
      <xdr:rowOff>285751</xdr:rowOff>
    </xdr:to>
    <xdr:sp macro="" textlink="">
      <xdr:nvSpPr>
        <xdr:cNvPr id="75" name="線吹き出し 1 (枠付き) 74"/>
        <xdr:cNvSpPr/>
      </xdr:nvSpPr>
      <xdr:spPr>
        <a:xfrm>
          <a:off x="6512721" y="45624751"/>
          <a:ext cx="4452937" cy="547688"/>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39121</xdr:colOff>
      <xdr:row>48</xdr:row>
      <xdr:rowOff>23812</xdr:rowOff>
    </xdr:from>
    <xdr:to>
      <xdr:col>26</xdr:col>
      <xdr:colOff>285749</xdr:colOff>
      <xdr:row>50</xdr:row>
      <xdr:rowOff>333374</xdr:rowOff>
    </xdr:to>
    <xdr:sp macro="" textlink="">
      <xdr:nvSpPr>
        <xdr:cNvPr id="2" name="右中かっこ 1"/>
        <xdr:cNvSpPr/>
      </xdr:nvSpPr>
      <xdr:spPr>
        <a:xfrm>
          <a:off x="21403696" y="13625512"/>
          <a:ext cx="246628" cy="99536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30</xdr:row>
      <xdr:rowOff>59531</xdr:rowOff>
    </xdr:from>
    <xdr:to>
      <xdr:col>26</xdr:col>
      <xdr:colOff>369093</xdr:colOff>
      <xdr:row>31</xdr:row>
      <xdr:rowOff>285750</xdr:rowOff>
    </xdr:to>
    <xdr:sp macro="" textlink="">
      <xdr:nvSpPr>
        <xdr:cNvPr id="3" name="右中かっこ 2"/>
        <xdr:cNvSpPr/>
      </xdr:nvSpPr>
      <xdr:spPr>
        <a:xfrm>
          <a:off x="21436011" y="7593806"/>
          <a:ext cx="297657" cy="1026319"/>
        </a:xfrm>
        <a:prstGeom prst="rightBrace">
          <a:avLst>
            <a:gd name="adj1" fmla="val 8333"/>
            <a:gd name="adj2" fmla="val 3052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41</xdr:row>
      <xdr:rowOff>23812</xdr:rowOff>
    </xdr:from>
    <xdr:to>
      <xdr:col>26</xdr:col>
      <xdr:colOff>369093</xdr:colOff>
      <xdr:row>44</xdr:row>
      <xdr:rowOff>345280</xdr:rowOff>
    </xdr:to>
    <xdr:sp macro="" textlink="">
      <xdr:nvSpPr>
        <xdr:cNvPr id="4" name="右中かっこ 3"/>
        <xdr:cNvSpPr/>
      </xdr:nvSpPr>
      <xdr:spPr>
        <a:xfrm>
          <a:off x="21403696" y="10777537"/>
          <a:ext cx="329972" cy="1797843"/>
        </a:xfrm>
        <a:prstGeom prst="rightBrace">
          <a:avLst>
            <a:gd name="adj1" fmla="val 12076"/>
            <a:gd name="adj2" fmla="val 5104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32</xdr:row>
      <xdr:rowOff>35719</xdr:rowOff>
    </xdr:from>
    <xdr:to>
      <xdr:col>26</xdr:col>
      <xdr:colOff>357187</xdr:colOff>
      <xdr:row>34</xdr:row>
      <xdr:rowOff>333375</xdr:rowOff>
    </xdr:to>
    <xdr:sp macro="" textlink="">
      <xdr:nvSpPr>
        <xdr:cNvPr id="5" name="右中かっこ 4"/>
        <xdr:cNvSpPr/>
      </xdr:nvSpPr>
      <xdr:spPr>
        <a:xfrm>
          <a:off x="21436011" y="8703469"/>
          <a:ext cx="285751" cy="983456"/>
        </a:xfrm>
        <a:prstGeom prst="rightBrace">
          <a:avLst>
            <a:gd name="adj1" fmla="val 8333"/>
            <a:gd name="adj2" fmla="val 4813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45</xdr:row>
      <xdr:rowOff>23812</xdr:rowOff>
    </xdr:from>
    <xdr:to>
      <xdr:col>26</xdr:col>
      <xdr:colOff>285749</xdr:colOff>
      <xdr:row>47</xdr:row>
      <xdr:rowOff>333374</xdr:rowOff>
    </xdr:to>
    <xdr:sp macro="" textlink="">
      <xdr:nvSpPr>
        <xdr:cNvPr id="6" name="右中かっこ 5"/>
        <xdr:cNvSpPr/>
      </xdr:nvSpPr>
      <xdr:spPr>
        <a:xfrm>
          <a:off x="21403696" y="12596812"/>
          <a:ext cx="246628" cy="99536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166687</xdr:colOff>
      <xdr:row>0</xdr:row>
      <xdr:rowOff>226219</xdr:rowOff>
    </xdr:from>
    <xdr:to>
      <xdr:col>14</xdr:col>
      <xdr:colOff>559594</xdr:colOff>
      <xdr:row>23</xdr:row>
      <xdr:rowOff>11113</xdr:rowOff>
    </xdr:to>
    <xdr:sp macro="" textlink="">
      <xdr:nvSpPr>
        <xdr:cNvPr id="7" name="右中かっこ 6"/>
        <xdr:cNvSpPr/>
      </xdr:nvSpPr>
      <xdr:spPr>
        <a:xfrm>
          <a:off x="11939587" y="226219"/>
          <a:ext cx="392907" cy="498554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771979</xdr:colOff>
      <xdr:row>9</xdr:row>
      <xdr:rowOff>66110</xdr:rowOff>
    </xdr:from>
    <xdr:to>
      <xdr:col>18</xdr:col>
      <xdr:colOff>391320</xdr:colOff>
      <xdr:row>15</xdr:row>
      <xdr:rowOff>34360</xdr:rowOff>
    </xdr:to>
    <xdr:sp macro="" textlink="">
      <xdr:nvSpPr>
        <xdr:cNvPr id="8" name="テキスト ボックス 7"/>
        <xdr:cNvSpPr txBox="1"/>
      </xdr:nvSpPr>
      <xdr:spPr>
        <a:xfrm>
          <a:off x="12544879" y="2294960"/>
          <a:ext cx="2972141" cy="9588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19</xdr:col>
      <xdr:colOff>178593</xdr:colOff>
      <xdr:row>1</xdr:row>
      <xdr:rowOff>38100</xdr:rowOff>
    </xdr:from>
    <xdr:to>
      <xdr:col>24</xdr:col>
      <xdr:colOff>511175</xdr:colOff>
      <xdr:row>8</xdr:row>
      <xdr:rowOff>12700</xdr:rowOff>
    </xdr:to>
    <xdr:sp macro="" textlink="">
      <xdr:nvSpPr>
        <xdr:cNvPr id="9" name="テキスト ボックス 8"/>
        <xdr:cNvSpPr txBox="1"/>
      </xdr:nvSpPr>
      <xdr:spPr>
        <a:xfrm>
          <a:off x="16073437" y="288131"/>
          <a:ext cx="4499769" cy="1724819"/>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入力不足</a:t>
          </a:r>
        </a:p>
      </xdr:txBody>
    </xdr:sp>
    <xdr:clientData/>
  </xdr:twoCellAnchor>
  <xdr:twoCellAnchor>
    <xdr:from>
      <xdr:col>0</xdr:col>
      <xdr:colOff>0</xdr:colOff>
      <xdr:row>39</xdr:row>
      <xdr:rowOff>0</xdr:rowOff>
    </xdr:from>
    <xdr:to>
      <xdr:col>0</xdr:col>
      <xdr:colOff>57149</xdr:colOff>
      <xdr:row>78</xdr:row>
      <xdr:rowOff>28575</xdr:rowOff>
    </xdr:to>
    <xdr:cxnSp macro="">
      <xdr:nvCxnSpPr>
        <xdr:cNvPr id="11" name="カギ線コネクタ 10"/>
        <xdr:cNvCxnSpPr/>
      </xdr:nvCxnSpPr>
      <xdr:spPr>
        <a:xfrm rot="10800000" flipH="1" flipV="1">
          <a:off x="0" y="9953625"/>
          <a:ext cx="57149" cy="9039225"/>
        </a:xfrm>
        <a:prstGeom prst="bentConnector3">
          <a:avLst>
            <a:gd name="adj1" fmla="val -800028"/>
          </a:avLst>
        </a:prstGeom>
        <a:noFill/>
        <a:ln w="28575" cap="flat" cmpd="sng" algn="ctr">
          <a:solidFill>
            <a:srgbClr val="70AD47"/>
          </a:solidFill>
          <a:prstDash val="solid"/>
          <a:miter lim="800000"/>
          <a:tailEnd type="triangle"/>
        </a:ln>
        <a:effectLst/>
      </xdr:spPr>
    </xdr:cxnSp>
    <xdr:clientData/>
  </xdr:twoCellAnchor>
  <xdr:twoCellAnchor>
    <xdr:from>
      <xdr:col>0</xdr:col>
      <xdr:colOff>1009650</xdr:colOff>
      <xdr:row>29</xdr:row>
      <xdr:rowOff>133350</xdr:rowOff>
    </xdr:from>
    <xdr:to>
      <xdr:col>1</xdr:col>
      <xdr:colOff>38099</xdr:colOff>
      <xdr:row>70</xdr:row>
      <xdr:rowOff>219075</xdr:rowOff>
    </xdr:to>
    <xdr:cxnSp macro="">
      <xdr:nvCxnSpPr>
        <xdr:cNvPr id="12" name="カギ線コネクタ 11"/>
        <xdr:cNvCxnSpPr/>
      </xdr:nvCxnSpPr>
      <xdr:spPr>
        <a:xfrm rot="10800000" flipH="1" flipV="1">
          <a:off x="1009650" y="7400925"/>
          <a:ext cx="47624" cy="9039225"/>
        </a:xfrm>
        <a:prstGeom prst="bentConnector3">
          <a:avLst>
            <a:gd name="adj1" fmla="val -800028"/>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272142</xdr:colOff>
      <xdr:row>40</xdr:row>
      <xdr:rowOff>161585</xdr:rowOff>
    </xdr:from>
    <xdr:to>
      <xdr:col>0</xdr:col>
      <xdr:colOff>1015999</xdr:colOff>
      <xdr:row>94</xdr:row>
      <xdr:rowOff>278606</xdr:rowOff>
    </xdr:to>
    <xdr:cxnSp macro="">
      <xdr:nvCxnSpPr>
        <xdr:cNvPr id="13" name="カギ線コネクタ 12"/>
        <xdr:cNvCxnSpPr/>
      </xdr:nvCxnSpPr>
      <xdr:spPr>
        <a:xfrm rot="16200000" flipH="1">
          <a:off x="-6353402" y="17262248"/>
          <a:ext cx="13994946" cy="743857"/>
        </a:xfrm>
        <a:prstGeom prst="bentConnector3">
          <a:avLst>
            <a:gd name="adj1" fmla="val 99971"/>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40</xdr:row>
      <xdr:rowOff>152400</xdr:rowOff>
    </xdr:from>
    <xdr:to>
      <xdr:col>1</xdr:col>
      <xdr:colOff>0</xdr:colOff>
      <xdr:row>40</xdr:row>
      <xdr:rowOff>152400</xdr:rowOff>
    </xdr:to>
    <xdr:cxnSp macro="">
      <xdr:nvCxnSpPr>
        <xdr:cNvPr id="14" name="直線コネクタ 13"/>
        <xdr:cNvCxnSpPr/>
      </xdr:nvCxnSpPr>
      <xdr:spPr>
        <a:xfrm>
          <a:off x="266700" y="10639425"/>
          <a:ext cx="7524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452438</xdr:colOff>
      <xdr:row>114</xdr:row>
      <xdr:rowOff>158750</xdr:rowOff>
    </xdr:from>
    <xdr:to>
      <xdr:col>23</xdr:col>
      <xdr:colOff>746125</xdr:colOff>
      <xdr:row>119</xdr:row>
      <xdr:rowOff>339725</xdr:rowOff>
    </xdr:to>
    <xdr:sp macro="" textlink="">
      <xdr:nvSpPr>
        <xdr:cNvPr id="15" name="テキスト ボックス 14"/>
        <xdr:cNvSpPr txBox="1"/>
      </xdr:nvSpPr>
      <xdr:spPr>
        <a:xfrm>
          <a:off x="15513844" y="31329313"/>
          <a:ext cx="4460875" cy="175260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入力不足</a:t>
          </a:r>
        </a:p>
      </xdr:txBody>
    </xdr:sp>
    <xdr:clientData/>
  </xdr:twoCellAnchor>
  <xdr:twoCellAnchor>
    <xdr:from>
      <xdr:col>9</xdr:col>
      <xdr:colOff>695325</xdr:colOff>
      <xdr:row>112</xdr:row>
      <xdr:rowOff>142875</xdr:rowOff>
    </xdr:from>
    <xdr:to>
      <xdr:col>13</xdr:col>
      <xdr:colOff>438150</xdr:colOff>
      <xdr:row>115</xdr:row>
      <xdr:rowOff>41275</xdr:rowOff>
    </xdr:to>
    <xdr:sp macro="" textlink="">
      <xdr:nvSpPr>
        <xdr:cNvPr id="16" name="線吹き出し 1 (枠付き) 15"/>
        <xdr:cNvSpPr/>
      </xdr:nvSpPr>
      <xdr:spPr>
        <a:xfrm>
          <a:off x="8277225" y="30680025"/>
          <a:ext cx="3095625" cy="784225"/>
        </a:xfrm>
        <a:prstGeom prst="borderCallout1">
          <a:avLst>
            <a:gd name="adj1" fmla="val 46240"/>
            <a:gd name="adj2" fmla="val -513"/>
            <a:gd name="adj3" fmla="val 63094"/>
            <a:gd name="adj4" fmla="val -626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空調設備の更新を行う場合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必ず　”</a:t>
          </a:r>
          <a:r>
            <a:rPr kumimoji="1" lang="ja-JP" altLang="en-US" sz="1200">
              <a:solidFill>
                <a:srgbClr val="FF0000"/>
              </a:solidFill>
              <a:latin typeface="メイリオ" panose="020B0604030504040204" pitchFamily="50" charset="-128"/>
              <a:ea typeface="メイリオ" panose="020B0604030504040204" pitchFamily="50" charset="-128"/>
            </a:rPr>
            <a:t>はい</a:t>
          </a:r>
          <a:r>
            <a:rPr kumimoji="1" lang="ja-JP" altLang="en-US" sz="1200">
              <a:solidFill>
                <a:sysClr val="windowText" lastClr="000000"/>
              </a:solidFill>
              <a:latin typeface="メイリオ" panose="020B0604030504040204" pitchFamily="50" charset="-128"/>
              <a:ea typeface="メイリオ" panose="020B0604030504040204" pitchFamily="50" charset="-128"/>
            </a:rPr>
            <a:t>”　を選択してください。</a:t>
          </a:r>
        </a:p>
      </xdr:txBody>
    </xdr:sp>
    <xdr:clientData/>
  </xdr:twoCellAnchor>
  <xdr:twoCellAnchor>
    <xdr:from>
      <xdr:col>4</xdr:col>
      <xdr:colOff>174625</xdr:colOff>
      <xdr:row>125</xdr:row>
      <xdr:rowOff>31750</xdr:rowOff>
    </xdr:from>
    <xdr:to>
      <xdr:col>4</xdr:col>
      <xdr:colOff>567532</xdr:colOff>
      <xdr:row>129</xdr:row>
      <xdr:rowOff>0</xdr:rowOff>
    </xdr:to>
    <xdr:sp macro="" textlink="">
      <xdr:nvSpPr>
        <xdr:cNvPr id="20" name="右中かっこ 19"/>
        <xdr:cNvSpPr/>
      </xdr:nvSpPr>
      <xdr:spPr>
        <a:xfrm>
          <a:off x="3565525" y="35264725"/>
          <a:ext cx="392907" cy="13398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809626</xdr:colOff>
      <xdr:row>125</xdr:row>
      <xdr:rowOff>243416</xdr:rowOff>
    </xdr:from>
    <xdr:to>
      <xdr:col>12</xdr:col>
      <xdr:colOff>105834</xdr:colOff>
      <xdr:row>128</xdr:row>
      <xdr:rowOff>158749</xdr:rowOff>
    </xdr:to>
    <xdr:sp macro="" textlink="">
      <xdr:nvSpPr>
        <xdr:cNvPr id="21" name="テキスト ボックス 20"/>
        <xdr:cNvSpPr txBox="1"/>
      </xdr:nvSpPr>
      <xdr:spPr>
        <a:xfrm>
          <a:off x="4200526" y="35476391"/>
          <a:ext cx="6001808" cy="944033"/>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仕様書等の記載通りに、能力やエネルギー消費量を記入してください。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9</xdr:col>
      <xdr:colOff>119062</xdr:colOff>
      <xdr:row>46</xdr:row>
      <xdr:rowOff>15875</xdr:rowOff>
    </xdr:from>
    <xdr:to>
      <xdr:col>9</xdr:col>
      <xdr:colOff>511969</xdr:colOff>
      <xdr:row>65</xdr:row>
      <xdr:rowOff>15875</xdr:rowOff>
    </xdr:to>
    <xdr:sp macro="" textlink="">
      <xdr:nvSpPr>
        <xdr:cNvPr id="22" name="右中かっこ 21"/>
        <xdr:cNvSpPr/>
      </xdr:nvSpPr>
      <xdr:spPr>
        <a:xfrm>
          <a:off x="7700962" y="12931775"/>
          <a:ext cx="392907" cy="17145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47</xdr:row>
      <xdr:rowOff>48946</xdr:rowOff>
    </xdr:from>
    <xdr:to>
      <xdr:col>17</xdr:col>
      <xdr:colOff>250031</xdr:colOff>
      <xdr:row>49</xdr:row>
      <xdr:rowOff>304004</xdr:rowOff>
    </xdr:to>
    <xdr:sp macro="" textlink="">
      <xdr:nvSpPr>
        <xdr:cNvPr id="23" name="テキスト ボックス 22"/>
        <xdr:cNvSpPr txBox="1"/>
      </xdr:nvSpPr>
      <xdr:spPr>
        <a:xfrm>
          <a:off x="8179594" y="13372040"/>
          <a:ext cx="6298406" cy="94562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仕様書等の記載通りに、換気量や消費電力等を記入してください。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13</xdr:col>
      <xdr:colOff>357188</xdr:colOff>
      <xdr:row>188</xdr:row>
      <xdr:rowOff>95249</xdr:rowOff>
    </xdr:from>
    <xdr:to>
      <xdr:col>20</xdr:col>
      <xdr:colOff>666606</xdr:colOff>
      <xdr:row>193</xdr:row>
      <xdr:rowOff>250030</xdr:rowOff>
    </xdr:to>
    <xdr:sp macro="" textlink="">
      <xdr:nvSpPr>
        <xdr:cNvPr id="26" name="線吹き出し 1 (枠付き) 25"/>
        <xdr:cNvSpPr/>
      </xdr:nvSpPr>
      <xdr:spPr>
        <a:xfrm>
          <a:off x="11291888" y="52816124"/>
          <a:ext cx="6176818" cy="1869281"/>
        </a:xfrm>
        <a:prstGeom prst="borderCallout1">
          <a:avLst>
            <a:gd name="adj1" fmla="val 43044"/>
            <a:gd name="adj2" fmla="val 100183"/>
            <a:gd name="adj3" fmla="val -23491"/>
            <a:gd name="adj4" fmla="val 1190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メイリオ" panose="020B0604030504040204" pitchFamily="50" charset="-128"/>
              <a:ea typeface="メイリオ" panose="020B0604030504040204" pitchFamily="50" charset="-128"/>
            </a:rPr>
            <a:t>※</a:t>
          </a:r>
          <a:r>
            <a:rPr kumimoji="1" lang="ja-JP" altLang="en-US" sz="1200">
              <a:solidFill>
                <a:srgbClr val="FF0000"/>
              </a:solidFill>
              <a:latin typeface="メイリオ" panose="020B0604030504040204" pitchFamily="50" charset="-128"/>
              <a:ea typeface="メイリオ" panose="020B0604030504040204" pitchFamily="50" charset="-128"/>
            </a:rPr>
            <a:t>更新する空調設備に該当する要件をプルダウンメニューより選択してください。</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①推奨機器：導入推奨機器に指定されたもの。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②４つ星：統一省エネルギーラベル４つ星以上であるもの。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③その他：（導入推奨機器指定要綱の指定基準又は、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クレジット算定ガイドラインの認定基準を満たすもの）</a:t>
          </a:r>
        </a:p>
      </xdr:txBody>
    </xdr:sp>
    <xdr:clientData/>
  </xdr:twoCellAnchor>
  <xdr:twoCellAnchor>
    <xdr:from>
      <xdr:col>0</xdr:col>
      <xdr:colOff>619126</xdr:colOff>
      <xdr:row>120</xdr:row>
      <xdr:rowOff>166686</xdr:rowOff>
    </xdr:from>
    <xdr:to>
      <xdr:col>0</xdr:col>
      <xdr:colOff>1000126</xdr:colOff>
      <xdr:row>164</xdr:row>
      <xdr:rowOff>142874</xdr:rowOff>
    </xdr:to>
    <xdr:cxnSp macro="">
      <xdr:nvCxnSpPr>
        <xdr:cNvPr id="27" name="カギ線コネクタ 26"/>
        <xdr:cNvCxnSpPr/>
      </xdr:nvCxnSpPr>
      <xdr:spPr>
        <a:xfrm rot="16200000" flipH="1">
          <a:off x="-4936331" y="38783418"/>
          <a:ext cx="11491913" cy="381000"/>
        </a:xfrm>
        <a:prstGeom prst="bentConnector3">
          <a:avLst>
            <a:gd name="adj1" fmla="val 100103"/>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261937</xdr:colOff>
      <xdr:row>141</xdr:row>
      <xdr:rowOff>166687</xdr:rowOff>
    </xdr:from>
    <xdr:to>
      <xdr:col>1</xdr:col>
      <xdr:colOff>3</xdr:colOff>
      <xdr:row>186</xdr:row>
      <xdr:rowOff>166691</xdr:rowOff>
    </xdr:to>
    <xdr:cxnSp macro="">
      <xdr:nvCxnSpPr>
        <xdr:cNvPr id="28" name="カギ線コネクタ 27"/>
        <xdr:cNvCxnSpPr/>
      </xdr:nvCxnSpPr>
      <xdr:spPr>
        <a:xfrm rot="16200000" flipH="1">
          <a:off x="-6050756" y="45119924"/>
          <a:ext cx="13382628" cy="757241"/>
        </a:xfrm>
        <a:prstGeom prst="bentConnector3">
          <a:avLst>
            <a:gd name="adj1" fmla="val 99867"/>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266699</xdr:colOff>
      <xdr:row>141</xdr:row>
      <xdr:rowOff>164307</xdr:rowOff>
    </xdr:from>
    <xdr:to>
      <xdr:col>1</xdr:col>
      <xdr:colOff>-1</xdr:colOff>
      <xdr:row>141</xdr:row>
      <xdr:rowOff>164307</xdr:rowOff>
    </xdr:to>
    <xdr:cxnSp macro="">
      <xdr:nvCxnSpPr>
        <xdr:cNvPr id="29" name="直線コネクタ 28"/>
        <xdr:cNvCxnSpPr/>
      </xdr:nvCxnSpPr>
      <xdr:spPr>
        <a:xfrm>
          <a:off x="266699" y="38816757"/>
          <a:ext cx="7524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120</xdr:row>
      <xdr:rowOff>152401</xdr:rowOff>
    </xdr:from>
    <xdr:to>
      <xdr:col>1</xdr:col>
      <xdr:colOff>-1</xdr:colOff>
      <xdr:row>120</xdr:row>
      <xdr:rowOff>152401</xdr:rowOff>
    </xdr:to>
    <xdr:cxnSp macro="">
      <xdr:nvCxnSpPr>
        <xdr:cNvPr id="30" name="直線コネクタ 29"/>
        <xdr:cNvCxnSpPr/>
      </xdr:nvCxnSpPr>
      <xdr:spPr>
        <a:xfrm>
          <a:off x="619125" y="33213676"/>
          <a:ext cx="400049" cy="0"/>
        </a:xfrm>
        <a:prstGeom prst="line">
          <a:avLst/>
        </a:prstGeom>
        <a:ln w="571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345281</xdr:colOff>
      <xdr:row>166</xdr:row>
      <xdr:rowOff>154780</xdr:rowOff>
    </xdr:from>
    <xdr:to>
      <xdr:col>20</xdr:col>
      <xdr:colOff>130969</xdr:colOff>
      <xdr:row>169</xdr:row>
      <xdr:rowOff>119061</xdr:rowOff>
    </xdr:to>
    <xdr:sp macro="" textlink="">
      <xdr:nvSpPr>
        <xdr:cNvPr id="31" name="線吹き出し 1 (枠付き) 30"/>
        <xdr:cNvSpPr/>
      </xdr:nvSpPr>
      <xdr:spPr>
        <a:xfrm>
          <a:off x="12072937" y="45684280"/>
          <a:ext cx="4786313" cy="1000125"/>
        </a:xfrm>
        <a:prstGeom prst="borderCallout1">
          <a:avLst>
            <a:gd name="adj1" fmla="val 1943"/>
            <a:gd name="adj2" fmla="val 47862"/>
            <a:gd name="adj3" fmla="val -59670"/>
            <a:gd name="adj4" fmla="val 3581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空調設備の構成型番及び室外機型番を記入してください。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なお、室外機型番は、（　）内に記載してください。</a:t>
          </a:r>
        </a:p>
      </xdr:txBody>
    </xdr:sp>
    <xdr:clientData/>
  </xdr:twoCellAnchor>
  <xdr:twoCellAnchor>
    <xdr:from>
      <xdr:col>2</xdr:col>
      <xdr:colOff>214313</xdr:colOff>
      <xdr:row>68</xdr:row>
      <xdr:rowOff>35719</xdr:rowOff>
    </xdr:from>
    <xdr:to>
      <xdr:col>6</xdr:col>
      <xdr:colOff>428625</xdr:colOff>
      <xdr:row>74</xdr:row>
      <xdr:rowOff>130968</xdr:rowOff>
    </xdr:to>
    <xdr:sp macro="" textlink="">
      <xdr:nvSpPr>
        <xdr:cNvPr id="32" name="正方形/長方形 31"/>
        <xdr:cNvSpPr/>
      </xdr:nvSpPr>
      <xdr:spPr>
        <a:xfrm>
          <a:off x="2319338" y="15799594"/>
          <a:ext cx="3176587" cy="192404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595311</xdr:colOff>
      <xdr:row>75</xdr:row>
      <xdr:rowOff>166687</xdr:rowOff>
    </xdr:from>
    <xdr:to>
      <xdr:col>7</xdr:col>
      <xdr:colOff>238124</xdr:colOff>
      <xdr:row>78</xdr:row>
      <xdr:rowOff>130968</xdr:rowOff>
    </xdr:to>
    <xdr:sp macro="" textlink="">
      <xdr:nvSpPr>
        <xdr:cNvPr id="33" name="線吹き出し 1 (枠付き) 32"/>
        <xdr:cNvSpPr/>
      </xdr:nvSpPr>
      <xdr:spPr>
        <a:xfrm>
          <a:off x="595311" y="18204656"/>
          <a:ext cx="5536407" cy="1000125"/>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記載に合わせて記入してください。</a:t>
          </a:r>
        </a:p>
      </xdr:txBody>
    </xdr:sp>
    <xdr:clientData/>
  </xdr:twoCellAnchor>
  <xdr:twoCellAnchor>
    <xdr:from>
      <xdr:col>7</xdr:col>
      <xdr:colOff>142875</xdr:colOff>
      <xdr:row>68</xdr:row>
      <xdr:rowOff>35719</xdr:rowOff>
    </xdr:from>
    <xdr:to>
      <xdr:col>12</xdr:col>
      <xdr:colOff>71438</xdr:colOff>
      <xdr:row>74</xdr:row>
      <xdr:rowOff>130968</xdr:rowOff>
    </xdr:to>
    <xdr:sp macro="" textlink="">
      <xdr:nvSpPr>
        <xdr:cNvPr id="34" name="正方形/長方形 33"/>
        <xdr:cNvSpPr/>
      </xdr:nvSpPr>
      <xdr:spPr>
        <a:xfrm>
          <a:off x="6048375" y="15799594"/>
          <a:ext cx="4119563" cy="192404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142876</xdr:colOff>
      <xdr:row>75</xdr:row>
      <xdr:rowOff>95251</xdr:rowOff>
    </xdr:from>
    <xdr:to>
      <xdr:col>13</xdr:col>
      <xdr:colOff>619125</xdr:colOff>
      <xdr:row>76</xdr:row>
      <xdr:rowOff>297658</xdr:rowOff>
    </xdr:to>
    <xdr:sp macro="" textlink="">
      <xdr:nvSpPr>
        <xdr:cNvPr id="35" name="線吹き出し 1 (枠付き) 34"/>
        <xdr:cNvSpPr/>
      </xdr:nvSpPr>
      <xdr:spPr>
        <a:xfrm>
          <a:off x="6869907" y="18133220"/>
          <a:ext cx="4643437" cy="547688"/>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twoCellAnchor>
    <xdr:from>
      <xdr:col>2</xdr:col>
      <xdr:colOff>226220</xdr:colOff>
      <xdr:row>161</xdr:row>
      <xdr:rowOff>404814</xdr:rowOff>
    </xdr:from>
    <xdr:to>
      <xdr:col>6</xdr:col>
      <xdr:colOff>35719</xdr:colOff>
      <xdr:row>165</xdr:row>
      <xdr:rowOff>142876</xdr:rowOff>
    </xdr:to>
    <xdr:sp macro="" textlink="">
      <xdr:nvSpPr>
        <xdr:cNvPr id="36" name="正方形/長方形 35"/>
        <xdr:cNvSpPr/>
      </xdr:nvSpPr>
      <xdr:spPr>
        <a:xfrm>
          <a:off x="2331245" y="44105514"/>
          <a:ext cx="2771774" cy="957262"/>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654843</xdr:colOff>
      <xdr:row>166</xdr:row>
      <xdr:rowOff>178593</xdr:rowOff>
    </xdr:from>
    <xdr:to>
      <xdr:col>7</xdr:col>
      <xdr:colOff>333374</xdr:colOff>
      <xdr:row>169</xdr:row>
      <xdr:rowOff>142874</xdr:rowOff>
    </xdr:to>
    <xdr:sp macro="" textlink="">
      <xdr:nvSpPr>
        <xdr:cNvPr id="37" name="線吹き出し 1 (枠付き) 36"/>
        <xdr:cNvSpPr/>
      </xdr:nvSpPr>
      <xdr:spPr>
        <a:xfrm>
          <a:off x="654843" y="45708093"/>
          <a:ext cx="5572125" cy="1000125"/>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記載に合わせて記入してください。</a:t>
          </a:r>
        </a:p>
      </xdr:txBody>
    </xdr:sp>
    <xdr:clientData/>
  </xdr:twoCellAnchor>
  <xdr:twoCellAnchor>
    <xdr:from>
      <xdr:col>7</xdr:col>
      <xdr:colOff>202407</xdr:colOff>
      <xdr:row>162</xdr:row>
      <xdr:rowOff>23812</xdr:rowOff>
    </xdr:from>
    <xdr:to>
      <xdr:col>11</xdr:col>
      <xdr:colOff>583406</xdr:colOff>
      <xdr:row>165</xdr:row>
      <xdr:rowOff>154781</xdr:rowOff>
    </xdr:to>
    <xdr:sp macro="" textlink="">
      <xdr:nvSpPr>
        <xdr:cNvPr id="38" name="正方形/長方形 37"/>
        <xdr:cNvSpPr/>
      </xdr:nvSpPr>
      <xdr:spPr>
        <a:xfrm>
          <a:off x="6107907" y="44143612"/>
          <a:ext cx="3733799" cy="93106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83346</xdr:colOff>
      <xdr:row>166</xdr:row>
      <xdr:rowOff>59533</xdr:rowOff>
    </xdr:from>
    <xdr:to>
      <xdr:col>13</xdr:col>
      <xdr:colOff>452437</xdr:colOff>
      <xdr:row>167</xdr:row>
      <xdr:rowOff>261939</xdr:rowOff>
    </xdr:to>
    <xdr:sp macro="" textlink="">
      <xdr:nvSpPr>
        <xdr:cNvPr id="39" name="線吹き出し 1 (枠付き) 38"/>
        <xdr:cNvSpPr/>
      </xdr:nvSpPr>
      <xdr:spPr>
        <a:xfrm>
          <a:off x="6810377" y="45589033"/>
          <a:ext cx="4536279" cy="547687"/>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twoCellAnchor>
    <xdr:from>
      <xdr:col>13</xdr:col>
      <xdr:colOff>246331</xdr:colOff>
      <xdr:row>28</xdr:row>
      <xdr:rowOff>226219</xdr:rowOff>
    </xdr:from>
    <xdr:to>
      <xdr:col>19</xdr:col>
      <xdr:colOff>511968</xdr:colOff>
      <xdr:row>31</xdr:row>
      <xdr:rowOff>29896</xdr:rowOff>
    </xdr:to>
    <xdr:sp macro="" textlink="">
      <xdr:nvSpPr>
        <xdr:cNvPr id="40" name="線吹き出し 1 (枠付き) 39"/>
        <xdr:cNvSpPr/>
      </xdr:nvSpPr>
      <xdr:spPr>
        <a:xfrm>
          <a:off x="11140550" y="7024688"/>
          <a:ext cx="5266262" cy="1399114"/>
        </a:xfrm>
        <a:prstGeom prst="borderCallout1">
          <a:avLst>
            <a:gd name="adj1" fmla="val -779"/>
            <a:gd name="adj2" fmla="val 22970"/>
            <a:gd name="adj3" fmla="val -49828"/>
            <a:gd name="adj4" fmla="val -6128"/>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旧設備または、新設備の必要事項に、記入漏れがある場合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旧設備の入力をご確認ください。</a:t>
          </a:r>
          <a:r>
            <a:rPr kumimoji="1" lang="ja-JP" altLang="en-US" sz="1200">
              <a:solidFill>
                <a:sysClr val="windowText" lastClr="000000"/>
              </a:solidFill>
              <a:latin typeface="メイリオ" panose="020B0604030504040204" pitchFamily="50" charset="-128"/>
              <a:ea typeface="メイリオ" panose="020B0604030504040204" pitchFamily="50" charset="-128"/>
            </a:rPr>
            <a:t>“　または、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新設備の入力をご確認ください。</a:t>
          </a:r>
          <a:r>
            <a:rPr kumimoji="1" lang="ja-JP" altLang="en-US" sz="1200">
              <a:solidFill>
                <a:sysClr val="windowText" lastClr="000000"/>
              </a:solidFill>
              <a:latin typeface="メイリオ" panose="020B0604030504040204" pitchFamily="50" charset="-128"/>
              <a:ea typeface="メイリオ" panose="020B0604030504040204" pitchFamily="50" charset="-128"/>
            </a:rPr>
            <a:t>“　が表示されます。</a:t>
          </a:r>
        </a:p>
      </xdr:txBody>
    </xdr:sp>
    <xdr:clientData/>
  </xdr:twoCellAnchor>
  <xdr:twoCellAnchor>
    <xdr:from>
      <xdr:col>7</xdr:col>
      <xdr:colOff>821531</xdr:colOff>
      <xdr:row>30</xdr:row>
      <xdr:rowOff>235744</xdr:rowOff>
    </xdr:from>
    <xdr:to>
      <xdr:col>12</xdr:col>
      <xdr:colOff>714375</xdr:colOff>
      <xdr:row>31</xdr:row>
      <xdr:rowOff>264280</xdr:rowOff>
    </xdr:to>
    <xdr:sp macro="" textlink="">
      <xdr:nvSpPr>
        <xdr:cNvPr id="41" name="線吹き出し 1 (枠付き) 40"/>
        <xdr:cNvSpPr/>
      </xdr:nvSpPr>
      <xdr:spPr>
        <a:xfrm>
          <a:off x="6715125" y="7831932"/>
          <a:ext cx="4060031" cy="826254"/>
        </a:xfrm>
        <a:prstGeom prst="borderCallout1">
          <a:avLst>
            <a:gd name="adj1" fmla="val 50310"/>
            <a:gd name="adj2" fmla="val -45"/>
            <a:gd name="adj3" fmla="val -41182"/>
            <a:gd name="adj4" fmla="val -42185"/>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記入漏れがあるセルの番号欄が橙色になります。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未記入欄を確認してください。</a:t>
          </a:r>
        </a:p>
      </xdr:txBody>
    </xdr:sp>
    <xdr:clientData/>
  </xdr:twoCellAnchor>
  <xdr:twoCellAnchor>
    <xdr:from>
      <xdr:col>7</xdr:col>
      <xdr:colOff>123865</xdr:colOff>
      <xdr:row>33</xdr:row>
      <xdr:rowOff>40141</xdr:rowOff>
    </xdr:from>
    <xdr:to>
      <xdr:col>10</xdr:col>
      <xdr:colOff>714374</xdr:colOff>
      <xdr:row>39</xdr:row>
      <xdr:rowOff>31939</xdr:rowOff>
    </xdr:to>
    <xdr:sp macro="" textlink="">
      <xdr:nvSpPr>
        <xdr:cNvPr id="42" name="線吹き出し 1 (枠付き) 41"/>
        <xdr:cNvSpPr/>
      </xdr:nvSpPr>
      <xdr:spPr>
        <a:xfrm>
          <a:off x="6017459" y="9112704"/>
          <a:ext cx="3090821" cy="932391"/>
        </a:xfrm>
        <a:prstGeom prst="borderCallout1">
          <a:avLst>
            <a:gd name="adj1" fmla="val 53486"/>
            <a:gd name="adj2" fmla="val -206"/>
            <a:gd name="adj3" fmla="val 15461"/>
            <a:gd name="adj4" fmla="val -38980"/>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記入や選択漏れのセルを確認の上、</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適切に記入してください。</a:t>
          </a:r>
        </a:p>
      </xdr:txBody>
    </xdr:sp>
    <xdr:clientData/>
  </xdr:twoCellAnchor>
  <xdr:twoCellAnchor>
    <xdr:from>
      <xdr:col>4</xdr:col>
      <xdr:colOff>702469</xdr:colOff>
      <xdr:row>28</xdr:row>
      <xdr:rowOff>380998</xdr:rowOff>
    </xdr:from>
    <xdr:to>
      <xdr:col>6</xdr:col>
      <xdr:colOff>130969</xdr:colOff>
      <xdr:row>38</xdr:row>
      <xdr:rowOff>202405</xdr:rowOff>
    </xdr:to>
    <xdr:sp macro="" textlink="">
      <xdr:nvSpPr>
        <xdr:cNvPr id="43" name="正方形/長方形 42"/>
        <xdr:cNvSpPr/>
      </xdr:nvSpPr>
      <xdr:spPr>
        <a:xfrm>
          <a:off x="4095750" y="7179467"/>
          <a:ext cx="1095375" cy="2786063"/>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12</xdr:col>
      <xdr:colOff>217715</xdr:colOff>
      <xdr:row>119</xdr:row>
      <xdr:rowOff>440531</xdr:rowOff>
    </xdr:from>
    <xdr:to>
      <xdr:col>18</xdr:col>
      <xdr:colOff>285750</xdr:colOff>
      <xdr:row>122</xdr:row>
      <xdr:rowOff>160864</xdr:rowOff>
    </xdr:to>
    <xdr:sp macro="" textlink="">
      <xdr:nvSpPr>
        <xdr:cNvPr id="45" name="線吹き出し 1 (枠付き) 44"/>
        <xdr:cNvSpPr/>
      </xdr:nvSpPr>
      <xdr:spPr>
        <a:xfrm>
          <a:off x="10278496" y="33170812"/>
          <a:ext cx="5068660" cy="1399115"/>
        </a:xfrm>
        <a:prstGeom prst="borderCallout1">
          <a:avLst>
            <a:gd name="adj1" fmla="val -779"/>
            <a:gd name="adj2" fmla="val 22970"/>
            <a:gd name="adj3" fmla="val -49828"/>
            <a:gd name="adj4" fmla="val -6128"/>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旧設備または、新設備の必要事項に、記入漏れがある場合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旧設備の入力をご確認ください。</a:t>
          </a:r>
          <a:r>
            <a:rPr kumimoji="1" lang="ja-JP" altLang="en-US" sz="1200">
              <a:solidFill>
                <a:sysClr val="windowText" lastClr="000000"/>
              </a:solidFill>
              <a:latin typeface="メイリオ" panose="020B0604030504040204" pitchFamily="50" charset="-128"/>
              <a:ea typeface="メイリオ" panose="020B0604030504040204" pitchFamily="50" charset="-128"/>
            </a:rPr>
            <a:t>“　または、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rgbClr val="FF0000"/>
              </a:solidFill>
              <a:latin typeface="メイリオ" panose="020B0604030504040204" pitchFamily="50" charset="-128"/>
              <a:ea typeface="メイリオ" panose="020B0604030504040204" pitchFamily="50" charset="-128"/>
            </a:rPr>
            <a:t>新設備の入力をご確認ください。</a:t>
          </a:r>
          <a:r>
            <a:rPr kumimoji="1" lang="ja-JP" altLang="en-US" sz="1200">
              <a:solidFill>
                <a:sysClr val="windowText" lastClr="000000"/>
              </a:solidFill>
              <a:latin typeface="メイリオ" panose="020B0604030504040204" pitchFamily="50" charset="-128"/>
              <a:ea typeface="メイリオ" panose="020B0604030504040204" pitchFamily="50" charset="-128"/>
            </a:rPr>
            <a:t>“　が表示されます。</a:t>
          </a:r>
        </a:p>
      </xdr:txBody>
    </xdr:sp>
    <xdr:clientData/>
  </xdr:twoCellAnchor>
  <xdr:twoCellAnchor>
    <xdr:from>
      <xdr:col>5</xdr:col>
      <xdr:colOff>781007</xdr:colOff>
      <xdr:row>144</xdr:row>
      <xdr:rowOff>128588</xdr:rowOff>
    </xdr:from>
    <xdr:to>
      <xdr:col>12</xdr:col>
      <xdr:colOff>250031</xdr:colOff>
      <xdr:row>147</xdr:row>
      <xdr:rowOff>40821</xdr:rowOff>
    </xdr:to>
    <xdr:sp macro="" textlink="">
      <xdr:nvSpPr>
        <xdr:cNvPr id="46" name="線吹き出し 1 (枠付き) 45"/>
        <xdr:cNvSpPr/>
      </xdr:nvSpPr>
      <xdr:spPr>
        <a:xfrm>
          <a:off x="5026436" y="40038338"/>
          <a:ext cx="5374524" cy="932769"/>
        </a:xfrm>
        <a:prstGeom prst="borderCallout1">
          <a:avLst>
            <a:gd name="adj1" fmla="val 50310"/>
            <a:gd name="adj2" fmla="val -45"/>
            <a:gd name="adj3" fmla="val -150467"/>
            <a:gd name="adj4" fmla="val -33196"/>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記入や選択漏れがある場合、セル番号や選択欄が黄色になります。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未記入欄を確認してください。</a:t>
          </a:r>
        </a:p>
      </xdr:txBody>
    </xdr:sp>
    <xdr:clientData/>
  </xdr:twoCellAnchor>
  <xdr:twoCellAnchor>
    <xdr:from>
      <xdr:col>2</xdr:col>
      <xdr:colOff>321468</xdr:colOff>
      <xdr:row>140</xdr:row>
      <xdr:rowOff>440532</xdr:rowOff>
    </xdr:from>
    <xdr:to>
      <xdr:col>4</xdr:col>
      <xdr:colOff>130968</xdr:colOff>
      <xdr:row>151</xdr:row>
      <xdr:rowOff>95250</xdr:rowOff>
    </xdr:to>
    <xdr:sp macro="" textlink="">
      <xdr:nvSpPr>
        <xdr:cNvPr id="48" name="正方形/長方形 47"/>
        <xdr:cNvSpPr/>
      </xdr:nvSpPr>
      <xdr:spPr>
        <a:xfrm>
          <a:off x="2428874" y="38790563"/>
          <a:ext cx="1095375" cy="4095750"/>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269040</xdr:colOff>
      <xdr:row>121</xdr:row>
      <xdr:rowOff>92869</xdr:rowOff>
    </xdr:from>
    <xdr:to>
      <xdr:col>10</xdr:col>
      <xdr:colOff>226219</xdr:colOff>
      <xdr:row>122</xdr:row>
      <xdr:rowOff>217714</xdr:rowOff>
    </xdr:to>
    <xdr:sp macro="" textlink="">
      <xdr:nvSpPr>
        <xdr:cNvPr id="44" name="線吹き出し 1 (枠付き) 43"/>
        <xdr:cNvSpPr/>
      </xdr:nvSpPr>
      <xdr:spPr>
        <a:xfrm>
          <a:off x="4514469" y="33294298"/>
          <a:ext cx="4175393" cy="927666"/>
        </a:xfrm>
        <a:prstGeom prst="borderCallout1">
          <a:avLst>
            <a:gd name="adj1" fmla="val 50310"/>
            <a:gd name="adj2" fmla="val -45"/>
            <a:gd name="adj3" fmla="val -41182"/>
            <a:gd name="adj4" fmla="val -42185"/>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記入漏れがあるセルの番号欄が橙色になります。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未記入欄を確認してください。</a:t>
          </a:r>
        </a:p>
      </xdr:txBody>
    </xdr:sp>
    <xdr:clientData/>
  </xdr:twoCellAnchor>
  <xdr:twoCellAnchor>
    <xdr:from>
      <xdr:col>2</xdr:col>
      <xdr:colOff>321468</xdr:colOff>
      <xdr:row>119</xdr:row>
      <xdr:rowOff>428625</xdr:rowOff>
    </xdr:from>
    <xdr:to>
      <xdr:col>4</xdr:col>
      <xdr:colOff>130968</xdr:colOff>
      <xdr:row>130</xdr:row>
      <xdr:rowOff>107156</xdr:rowOff>
    </xdr:to>
    <xdr:sp macro="" textlink="">
      <xdr:nvSpPr>
        <xdr:cNvPr id="50" name="正方形/長方形 49"/>
        <xdr:cNvSpPr/>
      </xdr:nvSpPr>
      <xdr:spPr>
        <a:xfrm>
          <a:off x="2428874" y="33158906"/>
          <a:ext cx="1095375" cy="4119563"/>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619126</xdr:colOff>
      <xdr:row>121</xdr:row>
      <xdr:rowOff>556702</xdr:rowOff>
    </xdr:from>
    <xdr:to>
      <xdr:col>5</xdr:col>
      <xdr:colOff>269040</xdr:colOff>
      <xdr:row>124</xdr:row>
      <xdr:rowOff>166687</xdr:rowOff>
    </xdr:to>
    <xdr:cxnSp macro="">
      <xdr:nvCxnSpPr>
        <xdr:cNvPr id="17" name="直線コネクタ 16"/>
        <xdr:cNvCxnSpPr>
          <a:stCxn id="44" idx="2"/>
        </xdr:cNvCxnSpPr>
      </xdr:nvCxnSpPr>
      <xdr:spPr>
        <a:xfrm flipH="1">
          <a:off x="3177269" y="33758131"/>
          <a:ext cx="1337200" cy="1093163"/>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619127</xdr:colOff>
      <xdr:row>145</xdr:row>
      <xdr:rowOff>254794</xdr:rowOff>
    </xdr:from>
    <xdr:to>
      <xdr:col>5</xdr:col>
      <xdr:colOff>781007</xdr:colOff>
      <xdr:row>150</xdr:row>
      <xdr:rowOff>202406</xdr:rowOff>
    </xdr:to>
    <xdr:cxnSp macro="">
      <xdr:nvCxnSpPr>
        <xdr:cNvPr id="52" name="直線コネクタ 51"/>
        <xdr:cNvCxnSpPr>
          <a:stCxn id="46" idx="2"/>
        </xdr:cNvCxnSpPr>
      </xdr:nvCxnSpPr>
      <xdr:spPr>
        <a:xfrm flipH="1">
          <a:off x="3177270" y="40504723"/>
          <a:ext cx="1849166" cy="1648504"/>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39121</xdr:colOff>
      <xdr:row>48</xdr:row>
      <xdr:rowOff>23812</xdr:rowOff>
    </xdr:from>
    <xdr:to>
      <xdr:col>26</xdr:col>
      <xdr:colOff>285749</xdr:colOff>
      <xdr:row>50</xdr:row>
      <xdr:rowOff>333374</xdr:rowOff>
    </xdr:to>
    <xdr:sp macro="" textlink="">
      <xdr:nvSpPr>
        <xdr:cNvPr id="2" name="右中かっこ 1"/>
        <xdr:cNvSpPr/>
      </xdr:nvSpPr>
      <xdr:spPr>
        <a:xfrm>
          <a:off x="21403696" y="13625512"/>
          <a:ext cx="246628" cy="99536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30</xdr:row>
      <xdr:rowOff>59531</xdr:rowOff>
    </xdr:from>
    <xdr:to>
      <xdr:col>26</xdr:col>
      <xdr:colOff>369093</xdr:colOff>
      <xdr:row>31</xdr:row>
      <xdr:rowOff>285750</xdr:rowOff>
    </xdr:to>
    <xdr:sp macro="" textlink="">
      <xdr:nvSpPr>
        <xdr:cNvPr id="3" name="右中かっこ 2"/>
        <xdr:cNvSpPr/>
      </xdr:nvSpPr>
      <xdr:spPr>
        <a:xfrm>
          <a:off x="21436011" y="7593806"/>
          <a:ext cx="297657" cy="1026319"/>
        </a:xfrm>
        <a:prstGeom prst="rightBrace">
          <a:avLst>
            <a:gd name="adj1" fmla="val 8333"/>
            <a:gd name="adj2" fmla="val 3052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41</xdr:row>
      <xdr:rowOff>23812</xdr:rowOff>
    </xdr:from>
    <xdr:to>
      <xdr:col>26</xdr:col>
      <xdr:colOff>369093</xdr:colOff>
      <xdr:row>44</xdr:row>
      <xdr:rowOff>345280</xdr:rowOff>
    </xdr:to>
    <xdr:sp macro="" textlink="">
      <xdr:nvSpPr>
        <xdr:cNvPr id="4" name="右中かっこ 3"/>
        <xdr:cNvSpPr/>
      </xdr:nvSpPr>
      <xdr:spPr>
        <a:xfrm>
          <a:off x="21403696" y="10777537"/>
          <a:ext cx="329972" cy="1797843"/>
        </a:xfrm>
        <a:prstGeom prst="rightBrace">
          <a:avLst>
            <a:gd name="adj1" fmla="val 12076"/>
            <a:gd name="adj2" fmla="val 5104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32</xdr:row>
      <xdr:rowOff>35719</xdr:rowOff>
    </xdr:from>
    <xdr:to>
      <xdr:col>26</xdr:col>
      <xdr:colOff>357187</xdr:colOff>
      <xdr:row>34</xdr:row>
      <xdr:rowOff>333375</xdr:rowOff>
    </xdr:to>
    <xdr:sp macro="" textlink="">
      <xdr:nvSpPr>
        <xdr:cNvPr id="5" name="右中かっこ 4"/>
        <xdr:cNvSpPr/>
      </xdr:nvSpPr>
      <xdr:spPr>
        <a:xfrm>
          <a:off x="21436011" y="8703469"/>
          <a:ext cx="285751" cy="983456"/>
        </a:xfrm>
        <a:prstGeom prst="rightBrace">
          <a:avLst>
            <a:gd name="adj1" fmla="val 8333"/>
            <a:gd name="adj2" fmla="val 4813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45</xdr:row>
      <xdr:rowOff>23812</xdr:rowOff>
    </xdr:from>
    <xdr:to>
      <xdr:col>26</xdr:col>
      <xdr:colOff>285749</xdr:colOff>
      <xdr:row>47</xdr:row>
      <xdr:rowOff>333374</xdr:rowOff>
    </xdr:to>
    <xdr:sp macro="" textlink="">
      <xdr:nvSpPr>
        <xdr:cNvPr id="6" name="右中かっこ 5"/>
        <xdr:cNvSpPr/>
      </xdr:nvSpPr>
      <xdr:spPr>
        <a:xfrm>
          <a:off x="21403696" y="12596812"/>
          <a:ext cx="246628" cy="99536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166687</xdr:colOff>
      <xdr:row>0</xdr:row>
      <xdr:rowOff>226219</xdr:rowOff>
    </xdr:from>
    <xdr:to>
      <xdr:col>14</xdr:col>
      <xdr:colOff>559594</xdr:colOff>
      <xdr:row>23</xdr:row>
      <xdr:rowOff>11113</xdr:rowOff>
    </xdr:to>
    <xdr:sp macro="" textlink="">
      <xdr:nvSpPr>
        <xdr:cNvPr id="7" name="右中かっこ 6"/>
        <xdr:cNvSpPr/>
      </xdr:nvSpPr>
      <xdr:spPr>
        <a:xfrm>
          <a:off x="11939587" y="226219"/>
          <a:ext cx="392907" cy="498554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771979</xdr:colOff>
      <xdr:row>9</xdr:row>
      <xdr:rowOff>66110</xdr:rowOff>
    </xdr:from>
    <xdr:to>
      <xdr:col>18</xdr:col>
      <xdr:colOff>391320</xdr:colOff>
      <xdr:row>15</xdr:row>
      <xdr:rowOff>34360</xdr:rowOff>
    </xdr:to>
    <xdr:sp macro="" textlink="">
      <xdr:nvSpPr>
        <xdr:cNvPr id="8" name="テキスト ボックス 7"/>
        <xdr:cNvSpPr txBox="1"/>
      </xdr:nvSpPr>
      <xdr:spPr>
        <a:xfrm>
          <a:off x="12544879" y="2294960"/>
          <a:ext cx="2972141" cy="9588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19</xdr:col>
      <xdr:colOff>309563</xdr:colOff>
      <xdr:row>1</xdr:row>
      <xdr:rowOff>38100</xdr:rowOff>
    </xdr:from>
    <xdr:to>
      <xdr:col>24</xdr:col>
      <xdr:colOff>511176</xdr:colOff>
      <xdr:row>8</xdr:row>
      <xdr:rowOff>12700</xdr:rowOff>
    </xdr:to>
    <xdr:sp macro="" textlink="">
      <xdr:nvSpPr>
        <xdr:cNvPr id="9" name="テキスト ボックス 8"/>
        <xdr:cNvSpPr txBox="1"/>
      </xdr:nvSpPr>
      <xdr:spPr>
        <a:xfrm>
          <a:off x="16204407" y="288131"/>
          <a:ext cx="4368800" cy="1724819"/>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不適合例</a:t>
          </a:r>
        </a:p>
      </xdr:txBody>
    </xdr:sp>
    <xdr:clientData/>
  </xdr:twoCellAnchor>
  <xdr:twoCellAnchor>
    <xdr:from>
      <xdr:col>0</xdr:col>
      <xdr:colOff>0</xdr:colOff>
      <xdr:row>39</xdr:row>
      <xdr:rowOff>0</xdr:rowOff>
    </xdr:from>
    <xdr:to>
      <xdr:col>0</xdr:col>
      <xdr:colOff>57149</xdr:colOff>
      <xdr:row>78</xdr:row>
      <xdr:rowOff>28575</xdr:rowOff>
    </xdr:to>
    <xdr:cxnSp macro="">
      <xdr:nvCxnSpPr>
        <xdr:cNvPr id="11" name="カギ線コネクタ 10"/>
        <xdr:cNvCxnSpPr/>
      </xdr:nvCxnSpPr>
      <xdr:spPr>
        <a:xfrm rot="10800000" flipH="1" flipV="1">
          <a:off x="0" y="9953625"/>
          <a:ext cx="57149" cy="9039225"/>
        </a:xfrm>
        <a:prstGeom prst="bentConnector3">
          <a:avLst>
            <a:gd name="adj1" fmla="val -800028"/>
          </a:avLst>
        </a:prstGeom>
        <a:noFill/>
        <a:ln w="28575" cap="flat" cmpd="sng" algn="ctr">
          <a:solidFill>
            <a:srgbClr val="70AD47"/>
          </a:solidFill>
          <a:prstDash val="solid"/>
          <a:miter lim="800000"/>
          <a:tailEnd type="triangle"/>
        </a:ln>
        <a:effectLst/>
      </xdr:spPr>
    </xdr:cxnSp>
    <xdr:clientData/>
  </xdr:twoCellAnchor>
  <xdr:twoCellAnchor>
    <xdr:from>
      <xdr:col>0</xdr:col>
      <xdr:colOff>1009650</xdr:colOff>
      <xdr:row>29</xdr:row>
      <xdr:rowOff>133350</xdr:rowOff>
    </xdr:from>
    <xdr:to>
      <xdr:col>1</xdr:col>
      <xdr:colOff>38099</xdr:colOff>
      <xdr:row>70</xdr:row>
      <xdr:rowOff>219075</xdr:rowOff>
    </xdr:to>
    <xdr:cxnSp macro="">
      <xdr:nvCxnSpPr>
        <xdr:cNvPr id="12" name="カギ線コネクタ 11"/>
        <xdr:cNvCxnSpPr/>
      </xdr:nvCxnSpPr>
      <xdr:spPr>
        <a:xfrm rot="10800000" flipH="1" flipV="1">
          <a:off x="1009650" y="7400925"/>
          <a:ext cx="47624" cy="9039225"/>
        </a:xfrm>
        <a:prstGeom prst="bentConnector3">
          <a:avLst>
            <a:gd name="adj1" fmla="val -800028"/>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272142</xdr:colOff>
      <xdr:row>40</xdr:row>
      <xdr:rowOff>149679</xdr:rowOff>
    </xdr:from>
    <xdr:to>
      <xdr:col>0</xdr:col>
      <xdr:colOff>1015999</xdr:colOff>
      <xdr:row>94</xdr:row>
      <xdr:rowOff>266700</xdr:rowOff>
    </xdr:to>
    <xdr:cxnSp macro="">
      <xdr:nvCxnSpPr>
        <xdr:cNvPr id="13" name="カギ線コネクタ 12"/>
        <xdr:cNvCxnSpPr/>
      </xdr:nvCxnSpPr>
      <xdr:spPr>
        <a:xfrm rot="16200000" flipH="1">
          <a:off x="-6353402" y="17262248"/>
          <a:ext cx="13994946" cy="743857"/>
        </a:xfrm>
        <a:prstGeom prst="bentConnector3">
          <a:avLst>
            <a:gd name="adj1" fmla="val 99971"/>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40</xdr:row>
      <xdr:rowOff>152400</xdr:rowOff>
    </xdr:from>
    <xdr:to>
      <xdr:col>1</xdr:col>
      <xdr:colOff>0</xdr:colOff>
      <xdr:row>40</xdr:row>
      <xdr:rowOff>152400</xdr:rowOff>
    </xdr:to>
    <xdr:cxnSp macro="">
      <xdr:nvCxnSpPr>
        <xdr:cNvPr id="14" name="直線コネクタ 13"/>
        <xdr:cNvCxnSpPr/>
      </xdr:nvCxnSpPr>
      <xdr:spPr>
        <a:xfrm>
          <a:off x="266700" y="10639425"/>
          <a:ext cx="7524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500064</xdr:colOff>
      <xdr:row>114</xdr:row>
      <xdr:rowOff>158750</xdr:rowOff>
    </xdr:from>
    <xdr:to>
      <xdr:col>23</xdr:col>
      <xdr:colOff>746126</xdr:colOff>
      <xdr:row>119</xdr:row>
      <xdr:rowOff>339725</xdr:rowOff>
    </xdr:to>
    <xdr:sp macro="" textlink="">
      <xdr:nvSpPr>
        <xdr:cNvPr id="15" name="テキスト ボックス 14"/>
        <xdr:cNvSpPr txBox="1"/>
      </xdr:nvSpPr>
      <xdr:spPr>
        <a:xfrm>
          <a:off x="15561470" y="31329313"/>
          <a:ext cx="4413250" cy="175260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不適合例</a:t>
          </a:r>
        </a:p>
      </xdr:txBody>
    </xdr:sp>
    <xdr:clientData/>
  </xdr:twoCellAnchor>
  <xdr:twoCellAnchor>
    <xdr:from>
      <xdr:col>9</xdr:col>
      <xdr:colOff>695325</xdr:colOff>
      <xdr:row>112</xdr:row>
      <xdr:rowOff>142875</xdr:rowOff>
    </xdr:from>
    <xdr:to>
      <xdr:col>13</xdr:col>
      <xdr:colOff>438150</xdr:colOff>
      <xdr:row>115</xdr:row>
      <xdr:rowOff>41275</xdr:rowOff>
    </xdr:to>
    <xdr:sp macro="" textlink="">
      <xdr:nvSpPr>
        <xdr:cNvPr id="16" name="線吹き出し 1 (枠付き) 15"/>
        <xdr:cNvSpPr/>
      </xdr:nvSpPr>
      <xdr:spPr>
        <a:xfrm>
          <a:off x="8277225" y="30680025"/>
          <a:ext cx="3095625" cy="784225"/>
        </a:xfrm>
        <a:prstGeom prst="borderCallout1">
          <a:avLst>
            <a:gd name="adj1" fmla="val 46240"/>
            <a:gd name="adj2" fmla="val -513"/>
            <a:gd name="adj3" fmla="val 63094"/>
            <a:gd name="adj4" fmla="val -626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空調設備の更新を行う場合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必ず　”</a:t>
          </a:r>
          <a:r>
            <a:rPr kumimoji="1" lang="ja-JP" altLang="en-US" sz="1200">
              <a:solidFill>
                <a:srgbClr val="FF0000"/>
              </a:solidFill>
              <a:latin typeface="メイリオ" panose="020B0604030504040204" pitchFamily="50" charset="-128"/>
              <a:ea typeface="メイリオ" panose="020B0604030504040204" pitchFamily="50" charset="-128"/>
            </a:rPr>
            <a:t>はい</a:t>
          </a:r>
          <a:r>
            <a:rPr kumimoji="1" lang="ja-JP" altLang="en-US" sz="1200">
              <a:solidFill>
                <a:sysClr val="windowText" lastClr="000000"/>
              </a:solidFill>
              <a:latin typeface="メイリオ" panose="020B0604030504040204" pitchFamily="50" charset="-128"/>
              <a:ea typeface="メイリオ" panose="020B0604030504040204" pitchFamily="50" charset="-128"/>
            </a:rPr>
            <a:t>”　を選択してください。</a:t>
          </a:r>
        </a:p>
      </xdr:txBody>
    </xdr:sp>
    <xdr:clientData/>
  </xdr:twoCellAnchor>
  <xdr:twoCellAnchor>
    <xdr:from>
      <xdr:col>4</xdr:col>
      <xdr:colOff>127000</xdr:colOff>
      <xdr:row>146</xdr:row>
      <xdr:rowOff>31750</xdr:rowOff>
    </xdr:from>
    <xdr:to>
      <xdr:col>4</xdr:col>
      <xdr:colOff>519907</xdr:colOff>
      <xdr:row>150</xdr:row>
      <xdr:rowOff>0</xdr:rowOff>
    </xdr:to>
    <xdr:sp macro="" textlink="">
      <xdr:nvSpPr>
        <xdr:cNvPr id="18" name="右中かっこ 17"/>
        <xdr:cNvSpPr/>
      </xdr:nvSpPr>
      <xdr:spPr>
        <a:xfrm>
          <a:off x="3517900" y="40855900"/>
          <a:ext cx="392907" cy="13398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762001</xdr:colOff>
      <xdr:row>146</xdr:row>
      <xdr:rowOff>243416</xdr:rowOff>
    </xdr:from>
    <xdr:to>
      <xdr:col>12</xdr:col>
      <xdr:colOff>326571</xdr:colOff>
      <xdr:row>149</xdr:row>
      <xdr:rowOff>158749</xdr:rowOff>
    </xdr:to>
    <xdr:sp macro="" textlink="">
      <xdr:nvSpPr>
        <xdr:cNvPr id="19" name="テキスト ボックス 18"/>
        <xdr:cNvSpPr txBox="1"/>
      </xdr:nvSpPr>
      <xdr:spPr>
        <a:xfrm>
          <a:off x="4163787" y="40847130"/>
          <a:ext cx="6313713" cy="93586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仕様書等の記載通りに、能力やエネルギー消費量を記入してください。</a:t>
          </a:r>
          <a:endParaRPr kumimoji="1" lang="en-US" altLang="ja-JP" sz="1200" baseline="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4</xdr:col>
      <xdr:colOff>174625</xdr:colOff>
      <xdr:row>125</xdr:row>
      <xdr:rowOff>31750</xdr:rowOff>
    </xdr:from>
    <xdr:to>
      <xdr:col>4</xdr:col>
      <xdr:colOff>567532</xdr:colOff>
      <xdr:row>129</xdr:row>
      <xdr:rowOff>0</xdr:rowOff>
    </xdr:to>
    <xdr:sp macro="" textlink="">
      <xdr:nvSpPr>
        <xdr:cNvPr id="20" name="右中かっこ 19"/>
        <xdr:cNvSpPr/>
      </xdr:nvSpPr>
      <xdr:spPr>
        <a:xfrm>
          <a:off x="3565525" y="35264725"/>
          <a:ext cx="392907" cy="133985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809626</xdr:colOff>
      <xdr:row>125</xdr:row>
      <xdr:rowOff>243416</xdr:rowOff>
    </xdr:from>
    <xdr:to>
      <xdr:col>12</xdr:col>
      <xdr:colOff>381000</xdr:colOff>
      <xdr:row>128</xdr:row>
      <xdr:rowOff>158749</xdr:rowOff>
    </xdr:to>
    <xdr:sp macro="" textlink="">
      <xdr:nvSpPr>
        <xdr:cNvPr id="21" name="テキスト ボックス 20"/>
        <xdr:cNvSpPr txBox="1"/>
      </xdr:nvSpPr>
      <xdr:spPr>
        <a:xfrm>
          <a:off x="4211412" y="35281809"/>
          <a:ext cx="6320517" cy="93586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仕様書等の記載通りに、能力やエネルギー消費量を記入してください。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9</xdr:col>
      <xdr:colOff>119062</xdr:colOff>
      <xdr:row>46</xdr:row>
      <xdr:rowOff>15875</xdr:rowOff>
    </xdr:from>
    <xdr:to>
      <xdr:col>9</xdr:col>
      <xdr:colOff>511969</xdr:colOff>
      <xdr:row>65</xdr:row>
      <xdr:rowOff>15875</xdr:rowOff>
    </xdr:to>
    <xdr:sp macro="" textlink="">
      <xdr:nvSpPr>
        <xdr:cNvPr id="22" name="右中かっこ 21"/>
        <xdr:cNvSpPr/>
      </xdr:nvSpPr>
      <xdr:spPr>
        <a:xfrm>
          <a:off x="7700962" y="12931775"/>
          <a:ext cx="392907" cy="17145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47</xdr:row>
      <xdr:rowOff>48946</xdr:rowOff>
    </xdr:from>
    <xdr:to>
      <xdr:col>17</xdr:col>
      <xdr:colOff>95250</xdr:colOff>
      <xdr:row>49</xdr:row>
      <xdr:rowOff>304004</xdr:rowOff>
    </xdr:to>
    <xdr:sp macro="" textlink="">
      <xdr:nvSpPr>
        <xdr:cNvPr id="23" name="テキスト ボックス 22"/>
        <xdr:cNvSpPr txBox="1"/>
      </xdr:nvSpPr>
      <xdr:spPr>
        <a:xfrm>
          <a:off x="8239125" y="13261482"/>
          <a:ext cx="6225268" cy="93541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仕様書等の記載通りに、換気量や消費電力等を記入してください。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7</xdr:col>
      <xdr:colOff>91281</xdr:colOff>
      <xdr:row>32</xdr:row>
      <xdr:rowOff>339724</xdr:rowOff>
    </xdr:from>
    <xdr:to>
      <xdr:col>7</xdr:col>
      <xdr:colOff>484188</xdr:colOff>
      <xdr:row>38</xdr:row>
      <xdr:rowOff>15875</xdr:rowOff>
    </xdr:to>
    <xdr:sp macro="" textlink="">
      <xdr:nvSpPr>
        <xdr:cNvPr id="24" name="右中かっこ 23"/>
        <xdr:cNvSpPr/>
      </xdr:nvSpPr>
      <xdr:spPr>
        <a:xfrm>
          <a:off x="5996781" y="9007474"/>
          <a:ext cx="392907" cy="704851"/>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619127</xdr:colOff>
      <xdr:row>32</xdr:row>
      <xdr:rowOff>226219</xdr:rowOff>
    </xdr:from>
    <xdr:to>
      <xdr:col>15</xdr:col>
      <xdr:colOff>40822</xdr:colOff>
      <xdr:row>38</xdr:row>
      <xdr:rowOff>130969</xdr:rowOff>
    </xdr:to>
    <xdr:sp macro="" textlink="">
      <xdr:nvSpPr>
        <xdr:cNvPr id="25" name="テキスト ボックス 24"/>
        <xdr:cNvSpPr txBox="1"/>
      </xdr:nvSpPr>
      <xdr:spPr>
        <a:xfrm>
          <a:off x="6551841" y="8853148"/>
          <a:ext cx="6170838" cy="9252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仕様書等の記載通りに、換気量と消費電力を記入してください。</a:t>
          </a:r>
        </a:p>
        <a:p>
          <a:pPr algn="l"/>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なお、仕様書等の</a:t>
          </a:r>
          <a:r>
            <a:rPr kumimoji="1" lang="ja-JP" altLang="en-US" sz="1200" baseline="0">
              <a:solidFill>
                <a:srgbClr val="FF0000"/>
              </a:solidFill>
              <a:latin typeface="メイリオ" panose="020B0604030504040204" pitchFamily="50" charset="-128"/>
              <a:ea typeface="メイリオ" panose="020B0604030504040204" pitchFamily="50" charset="-128"/>
            </a:rPr>
            <a:t>参照箇所にマーカー等の印を付けた書類</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を提出してください。</a:t>
          </a:r>
        </a:p>
      </xdr:txBody>
    </xdr:sp>
    <xdr:clientData/>
  </xdr:twoCellAnchor>
  <xdr:twoCellAnchor>
    <xdr:from>
      <xdr:col>13</xdr:col>
      <xdr:colOff>357187</xdr:colOff>
      <xdr:row>188</xdr:row>
      <xdr:rowOff>95249</xdr:rowOff>
    </xdr:from>
    <xdr:to>
      <xdr:col>20</xdr:col>
      <xdr:colOff>816428</xdr:colOff>
      <xdr:row>193</xdr:row>
      <xdr:rowOff>250030</xdr:rowOff>
    </xdr:to>
    <xdr:sp macro="" textlink="">
      <xdr:nvSpPr>
        <xdr:cNvPr id="26" name="線吹き出し 1 (枠付き) 25"/>
        <xdr:cNvSpPr/>
      </xdr:nvSpPr>
      <xdr:spPr>
        <a:xfrm>
          <a:off x="11351758" y="52509963"/>
          <a:ext cx="6364741" cy="1855674"/>
        </a:xfrm>
        <a:prstGeom prst="borderCallout1">
          <a:avLst>
            <a:gd name="adj1" fmla="val 43044"/>
            <a:gd name="adj2" fmla="val 100183"/>
            <a:gd name="adj3" fmla="val -23491"/>
            <a:gd name="adj4" fmla="val 11901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メイリオ" panose="020B0604030504040204" pitchFamily="50" charset="-128"/>
              <a:ea typeface="メイリオ" panose="020B0604030504040204" pitchFamily="50" charset="-128"/>
            </a:rPr>
            <a:t>※</a:t>
          </a:r>
          <a:r>
            <a:rPr kumimoji="1" lang="ja-JP" altLang="en-US" sz="1200">
              <a:solidFill>
                <a:srgbClr val="FF0000"/>
              </a:solidFill>
              <a:latin typeface="メイリオ" panose="020B0604030504040204" pitchFamily="50" charset="-128"/>
              <a:ea typeface="メイリオ" panose="020B0604030504040204" pitchFamily="50" charset="-128"/>
            </a:rPr>
            <a:t>更新する空調設備に該当する要件をプルダウンメニューより選択してください。</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①推奨機器：導入推奨機器に指定されたもの。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②４つ星：統一省エネルギーラベル４つ星以上であるもの。</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③その他：（導入推奨機器指定要綱の指定基準又は、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クレジット算定ガイドラインの認定基準を満たすもの）</a:t>
          </a:r>
        </a:p>
      </xdr:txBody>
    </xdr:sp>
    <xdr:clientData/>
  </xdr:twoCellAnchor>
  <xdr:twoCellAnchor>
    <xdr:from>
      <xdr:col>0</xdr:col>
      <xdr:colOff>619126</xdr:colOff>
      <xdr:row>120</xdr:row>
      <xdr:rowOff>166686</xdr:rowOff>
    </xdr:from>
    <xdr:to>
      <xdr:col>0</xdr:col>
      <xdr:colOff>1000126</xdr:colOff>
      <xdr:row>164</xdr:row>
      <xdr:rowOff>142874</xdr:rowOff>
    </xdr:to>
    <xdr:cxnSp macro="">
      <xdr:nvCxnSpPr>
        <xdr:cNvPr id="27" name="カギ線コネクタ 26"/>
        <xdr:cNvCxnSpPr/>
      </xdr:nvCxnSpPr>
      <xdr:spPr>
        <a:xfrm rot="16200000" flipH="1">
          <a:off x="-4936331" y="38783418"/>
          <a:ext cx="11491913" cy="381000"/>
        </a:xfrm>
        <a:prstGeom prst="bentConnector3">
          <a:avLst>
            <a:gd name="adj1" fmla="val 100103"/>
          </a:avLst>
        </a:prstGeom>
        <a:noFill/>
        <a:ln w="57150" cap="flat" cmpd="sng" algn="ctr">
          <a:solidFill>
            <a:srgbClr val="00B050"/>
          </a:solidFill>
          <a:prstDash val="solid"/>
          <a:miter lim="800000"/>
          <a:headEnd w="lg" len="lg"/>
          <a:tailEnd type="triangle" w="lg" len="lg"/>
        </a:ln>
        <a:effectLst/>
      </xdr:spPr>
    </xdr:cxnSp>
    <xdr:clientData/>
  </xdr:twoCellAnchor>
  <xdr:twoCellAnchor editAs="absolute">
    <xdr:from>
      <xdr:col>0</xdr:col>
      <xdr:colOff>261937</xdr:colOff>
      <xdr:row>141</xdr:row>
      <xdr:rowOff>154781</xdr:rowOff>
    </xdr:from>
    <xdr:to>
      <xdr:col>1</xdr:col>
      <xdr:colOff>3</xdr:colOff>
      <xdr:row>186</xdr:row>
      <xdr:rowOff>154784</xdr:rowOff>
    </xdr:to>
    <xdr:cxnSp macro="">
      <xdr:nvCxnSpPr>
        <xdr:cNvPr id="28" name="カギ線コネクタ 27"/>
        <xdr:cNvCxnSpPr/>
      </xdr:nvCxnSpPr>
      <xdr:spPr>
        <a:xfrm rot="16200000" flipH="1">
          <a:off x="-6050756" y="45119924"/>
          <a:ext cx="13382628" cy="757241"/>
        </a:xfrm>
        <a:prstGeom prst="bentConnector3">
          <a:avLst>
            <a:gd name="adj1" fmla="val 99867"/>
          </a:avLst>
        </a:prstGeom>
        <a:ln w="571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266699</xdr:colOff>
      <xdr:row>141</xdr:row>
      <xdr:rowOff>164307</xdr:rowOff>
    </xdr:from>
    <xdr:to>
      <xdr:col>1</xdr:col>
      <xdr:colOff>-1</xdr:colOff>
      <xdr:row>141</xdr:row>
      <xdr:rowOff>164307</xdr:rowOff>
    </xdr:to>
    <xdr:cxnSp macro="">
      <xdr:nvCxnSpPr>
        <xdr:cNvPr id="29" name="直線コネクタ 28"/>
        <xdr:cNvCxnSpPr/>
      </xdr:nvCxnSpPr>
      <xdr:spPr>
        <a:xfrm>
          <a:off x="266699" y="38816757"/>
          <a:ext cx="7524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120</xdr:row>
      <xdr:rowOff>152401</xdr:rowOff>
    </xdr:from>
    <xdr:to>
      <xdr:col>1</xdr:col>
      <xdr:colOff>-1</xdr:colOff>
      <xdr:row>120</xdr:row>
      <xdr:rowOff>152401</xdr:rowOff>
    </xdr:to>
    <xdr:cxnSp macro="">
      <xdr:nvCxnSpPr>
        <xdr:cNvPr id="30" name="直線コネクタ 29"/>
        <xdr:cNvCxnSpPr/>
      </xdr:nvCxnSpPr>
      <xdr:spPr>
        <a:xfrm>
          <a:off x="619125" y="33213676"/>
          <a:ext cx="400049" cy="0"/>
        </a:xfrm>
        <a:prstGeom prst="line">
          <a:avLst/>
        </a:prstGeom>
        <a:ln w="571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780708</xdr:colOff>
      <xdr:row>166</xdr:row>
      <xdr:rowOff>154780</xdr:rowOff>
    </xdr:from>
    <xdr:to>
      <xdr:col>20</xdr:col>
      <xdr:colOff>598714</xdr:colOff>
      <xdr:row>169</xdr:row>
      <xdr:rowOff>119061</xdr:rowOff>
    </xdr:to>
    <xdr:sp macro="" textlink="">
      <xdr:nvSpPr>
        <xdr:cNvPr id="31" name="線吹き出し 1 (枠付き) 30"/>
        <xdr:cNvSpPr/>
      </xdr:nvSpPr>
      <xdr:spPr>
        <a:xfrm>
          <a:off x="12618922" y="45167209"/>
          <a:ext cx="4879863" cy="984816"/>
        </a:xfrm>
        <a:prstGeom prst="borderCallout1">
          <a:avLst>
            <a:gd name="adj1" fmla="val 1943"/>
            <a:gd name="adj2" fmla="val 47862"/>
            <a:gd name="adj3" fmla="val -59670"/>
            <a:gd name="adj4" fmla="val 3581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空調設備の構成型番及び室外機型番を記入してください。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なお、室外機型番は、（　）内に記載してください。</a:t>
          </a:r>
        </a:p>
      </xdr:txBody>
    </xdr:sp>
    <xdr:clientData/>
  </xdr:twoCellAnchor>
  <xdr:twoCellAnchor>
    <xdr:from>
      <xdr:col>2</xdr:col>
      <xdr:colOff>214313</xdr:colOff>
      <xdr:row>68</xdr:row>
      <xdr:rowOff>35719</xdr:rowOff>
    </xdr:from>
    <xdr:to>
      <xdr:col>6</xdr:col>
      <xdr:colOff>428625</xdr:colOff>
      <xdr:row>74</xdr:row>
      <xdr:rowOff>130968</xdr:rowOff>
    </xdr:to>
    <xdr:sp macro="" textlink="">
      <xdr:nvSpPr>
        <xdr:cNvPr id="32" name="正方形/長方形 31"/>
        <xdr:cNvSpPr/>
      </xdr:nvSpPr>
      <xdr:spPr>
        <a:xfrm>
          <a:off x="2319338" y="15799594"/>
          <a:ext cx="3176587" cy="192404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595312</xdr:colOff>
      <xdr:row>75</xdr:row>
      <xdr:rowOff>166687</xdr:rowOff>
    </xdr:from>
    <xdr:to>
      <xdr:col>7</xdr:col>
      <xdr:colOff>299357</xdr:colOff>
      <xdr:row>78</xdr:row>
      <xdr:rowOff>130968</xdr:rowOff>
    </xdr:to>
    <xdr:sp macro="" textlink="">
      <xdr:nvSpPr>
        <xdr:cNvPr id="33" name="線吹き出し 1 (枠付き) 32"/>
        <xdr:cNvSpPr/>
      </xdr:nvSpPr>
      <xdr:spPr>
        <a:xfrm>
          <a:off x="595312" y="18019258"/>
          <a:ext cx="5636759" cy="984817"/>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記載に合わせて記入してください。</a:t>
          </a:r>
        </a:p>
      </xdr:txBody>
    </xdr:sp>
    <xdr:clientData/>
  </xdr:twoCellAnchor>
  <xdr:twoCellAnchor>
    <xdr:from>
      <xdr:col>7</xdr:col>
      <xdr:colOff>142875</xdr:colOff>
      <xdr:row>68</xdr:row>
      <xdr:rowOff>35719</xdr:rowOff>
    </xdr:from>
    <xdr:to>
      <xdr:col>12</xdr:col>
      <xdr:colOff>71438</xdr:colOff>
      <xdr:row>74</xdr:row>
      <xdr:rowOff>130968</xdr:rowOff>
    </xdr:to>
    <xdr:sp macro="" textlink="">
      <xdr:nvSpPr>
        <xdr:cNvPr id="34" name="正方形/長方形 33"/>
        <xdr:cNvSpPr/>
      </xdr:nvSpPr>
      <xdr:spPr>
        <a:xfrm>
          <a:off x="6048375" y="15799594"/>
          <a:ext cx="4119563" cy="192404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142876</xdr:colOff>
      <xdr:row>75</xdr:row>
      <xdr:rowOff>95251</xdr:rowOff>
    </xdr:from>
    <xdr:to>
      <xdr:col>13</xdr:col>
      <xdr:colOff>428625</xdr:colOff>
      <xdr:row>76</xdr:row>
      <xdr:rowOff>297658</xdr:rowOff>
    </xdr:to>
    <xdr:sp macro="" textlink="">
      <xdr:nvSpPr>
        <xdr:cNvPr id="35" name="線吹き出し 1 (枠付き) 34"/>
        <xdr:cNvSpPr/>
      </xdr:nvSpPr>
      <xdr:spPr>
        <a:xfrm>
          <a:off x="6886576" y="18030826"/>
          <a:ext cx="4476749" cy="545307"/>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twoCellAnchor>
    <xdr:from>
      <xdr:col>2</xdr:col>
      <xdr:colOff>226220</xdr:colOff>
      <xdr:row>161</xdr:row>
      <xdr:rowOff>404814</xdr:rowOff>
    </xdr:from>
    <xdr:to>
      <xdr:col>6</xdr:col>
      <xdr:colOff>35719</xdr:colOff>
      <xdr:row>165</xdr:row>
      <xdr:rowOff>142876</xdr:rowOff>
    </xdr:to>
    <xdr:sp macro="" textlink="">
      <xdr:nvSpPr>
        <xdr:cNvPr id="36" name="正方形/長方形 35"/>
        <xdr:cNvSpPr/>
      </xdr:nvSpPr>
      <xdr:spPr>
        <a:xfrm>
          <a:off x="2331245" y="44105514"/>
          <a:ext cx="2771774" cy="957262"/>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654844</xdr:colOff>
      <xdr:row>166</xdr:row>
      <xdr:rowOff>178593</xdr:rowOff>
    </xdr:from>
    <xdr:to>
      <xdr:col>7</xdr:col>
      <xdr:colOff>326572</xdr:colOff>
      <xdr:row>169</xdr:row>
      <xdr:rowOff>142874</xdr:rowOff>
    </xdr:to>
    <xdr:sp macro="" textlink="">
      <xdr:nvSpPr>
        <xdr:cNvPr id="37" name="線吹き出し 1 (枠付き) 36"/>
        <xdr:cNvSpPr/>
      </xdr:nvSpPr>
      <xdr:spPr>
        <a:xfrm>
          <a:off x="654844" y="45191022"/>
          <a:ext cx="5604442" cy="984816"/>
        </a:xfrm>
        <a:prstGeom prst="borderCallout1">
          <a:avLst>
            <a:gd name="adj1" fmla="val 1943"/>
            <a:gd name="adj2" fmla="val 47862"/>
            <a:gd name="adj3" fmla="val -58480"/>
            <a:gd name="adj4" fmla="val 438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換気設備の設置された室番号を、</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１．換気設備導入前後の比較表</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記載に合わせて記入してください。</a:t>
          </a:r>
        </a:p>
      </xdr:txBody>
    </xdr:sp>
    <xdr:clientData/>
  </xdr:twoCellAnchor>
  <xdr:twoCellAnchor>
    <xdr:from>
      <xdr:col>7</xdr:col>
      <xdr:colOff>202407</xdr:colOff>
      <xdr:row>162</xdr:row>
      <xdr:rowOff>23812</xdr:rowOff>
    </xdr:from>
    <xdr:to>
      <xdr:col>11</xdr:col>
      <xdr:colOff>583406</xdr:colOff>
      <xdr:row>165</xdr:row>
      <xdr:rowOff>154781</xdr:rowOff>
    </xdr:to>
    <xdr:sp macro="" textlink="">
      <xdr:nvSpPr>
        <xdr:cNvPr id="38" name="正方形/長方形 37"/>
        <xdr:cNvSpPr/>
      </xdr:nvSpPr>
      <xdr:spPr>
        <a:xfrm>
          <a:off x="6107907" y="44143612"/>
          <a:ext cx="3733799" cy="93106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306162</xdr:colOff>
      <xdr:row>166</xdr:row>
      <xdr:rowOff>110560</xdr:rowOff>
    </xdr:from>
    <xdr:to>
      <xdr:col>14</xdr:col>
      <xdr:colOff>13607</xdr:colOff>
      <xdr:row>167</xdr:row>
      <xdr:rowOff>312966</xdr:rowOff>
    </xdr:to>
    <xdr:sp macro="" textlink="">
      <xdr:nvSpPr>
        <xdr:cNvPr id="39" name="線吹き出し 1 (枠付き) 38"/>
        <xdr:cNvSpPr/>
      </xdr:nvSpPr>
      <xdr:spPr>
        <a:xfrm>
          <a:off x="7082519" y="45122989"/>
          <a:ext cx="4769302" cy="542584"/>
        </a:xfrm>
        <a:prstGeom prst="borderCallout1">
          <a:avLst>
            <a:gd name="adj1" fmla="val -1628"/>
            <a:gd name="adj2" fmla="val 16538"/>
            <a:gd name="adj3" fmla="val -104598"/>
            <a:gd name="adj4" fmla="val -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「各階平面図に記載した図面記号を記入してください。</a:t>
          </a:r>
        </a:p>
      </xdr:txBody>
    </xdr:sp>
    <xdr:clientData/>
  </xdr:twoCellAnchor>
  <xdr:twoCellAnchor>
    <xdr:from>
      <xdr:col>15</xdr:col>
      <xdr:colOff>530678</xdr:colOff>
      <xdr:row>34</xdr:row>
      <xdr:rowOff>95250</xdr:rowOff>
    </xdr:from>
    <xdr:to>
      <xdr:col>20</xdr:col>
      <xdr:colOff>641693</xdr:colOff>
      <xdr:row>41</xdr:row>
      <xdr:rowOff>270556</xdr:rowOff>
    </xdr:to>
    <xdr:sp macro="" textlink="">
      <xdr:nvSpPr>
        <xdr:cNvPr id="40" name="線吹き出し 1 (枠付き) 39"/>
        <xdr:cNvSpPr/>
      </xdr:nvSpPr>
      <xdr:spPr>
        <a:xfrm>
          <a:off x="13212535" y="9402536"/>
          <a:ext cx="4329229" cy="1576841"/>
        </a:xfrm>
        <a:prstGeom prst="borderCallout1">
          <a:avLst>
            <a:gd name="adj1" fmla="val 55740"/>
            <a:gd name="adj2" fmla="val 99933"/>
            <a:gd name="adj3" fmla="val 86655"/>
            <a:gd name="adj4" fmla="val 111617"/>
          </a:avLst>
        </a:prstGeom>
        <a:solidFill>
          <a:srgbClr val="FFFFC5"/>
        </a:solidFill>
        <a:ln w="76200" cmpd="tri">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換気量が既存設備より減少する場合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セルが</a:t>
          </a:r>
          <a:r>
            <a:rPr kumimoji="1" lang="ja-JP" altLang="en-US" sz="1400">
              <a:solidFill>
                <a:srgbClr val="FF0000"/>
              </a:solidFill>
              <a:latin typeface="メイリオ" panose="020B0604030504040204" pitchFamily="50" charset="-128"/>
              <a:ea typeface="メイリオ" panose="020B0604030504040204" pitchFamily="50" charset="-128"/>
            </a:rPr>
            <a:t>黄色、</a:t>
          </a:r>
          <a:r>
            <a:rPr kumimoji="1" lang="ja-JP" altLang="en-US" sz="1400">
              <a:solidFill>
                <a:sysClr val="windowText" lastClr="000000"/>
              </a:solidFill>
              <a:latin typeface="メイリオ" panose="020B0604030504040204" pitchFamily="50" charset="-128"/>
              <a:ea typeface="メイリオ" panose="020B0604030504040204" pitchFamily="50" charset="-128"/>
            </a:rPr>
            <a:t>文字が</a:t>
          </a:r>
          <a:r>
            <a:rPr kumimoji="1" lang="ja-JP" altLang="en-US" sz="1400">
              <a:solidFill>
                <a:srgbClr val="FF0000"/>
              </a:solidFill>
              <a:latin typeface="メイリオ" panose="020B0604030504040204" pitchFamily="50" charset="-128"/>
              <a:ea typeface="メイリオ" panose="020B0604030504040204" pitchFamily="50" charset="-128"/>
            </a:rPr>
            <a:t>朱色</a:t>
          </a:r>
          <a:r>
            <a:rPr kumimoji="1" lang="ja-JP" altLang="en-US" sz="14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22</xdr:col>
      <xdr:colOff>666749</xdr:colOff>
      <xdr:row>32</xdr:row>
      <xdr:rowOff>190500</xdr:rowOff>
    </xdr:from>
    <xdr:to>
      <xdr:col>25</xdr:col>
      <xdr:colOff>142874</xdr:colOff>
      <xdr:row>34</xdr:row>
      <xdr:rowOff>107156</xdr:rowOff>
    </xdr:to>
    <xdr:sp macro="" textlink="">
      <xdr:nvSpPr>
        <xdr:cNvPr id="41" name="正方形/長方形 40"/>
        <xdr:cNvSpPr/>
      </xdr:nvSpPr>
      <xdr:spPr>
        <a:xfrm>
          <a:off x="19061905" y="8917781"/>
          <a:ext cx="1976438" cy="60721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678655</xdr:colOff>
      <xdr:row>45</xdr:row>
      <xdr:rowOff>202406</xdr:rowOff>
    </xdr:from>
    <xdr:to>
      <xdr:col>25</xdr:col>
      <xdr:colOff>154780</xdr:colOff>
      <xdr:row>47</xdr:row>
      <xdr:rowOff>119063</xdr:rowOff>
    </xdr:to>
    <xdr:sp macro="" textlink="">
      <xdr:nvSpPr>
        <xdr:cNvPr id="42" name="正方形/長方形 41"/>
        <xdr:cNvSpPr/>
      </xdr:nvSpPr>
      <xdr:spPr>
        <a:xfrm>
          <a:off x="19073811" y="12846844"/>
          <a:ext cx="1976438" cy="607219"/>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21</xdr:col>
      <xdr:colOff>333375</xdr:colOff>
      <xdr:row>33</xdr:row>
      <xdr:rowOff>23811</xdr:rowOff>
    </xdr:from>
    <xdr:to>
      <xdr:col>22</xdr:col>
      <xdr:colOff>690563</xdr:colOff>
      <xdr:row>47</xdr:row>
      <xdr:rowOff>130969</xdr:rowOff>
    </xdr:to>
    <xdr:sp macro="" textlink="">
      <xdr:nvSpPr>
        <xdr:cNvPr id="43" name="右カーブ矢印 42"/>
        <xdr:cNvSpPr/>
      </xdr:nvSpPr>
      <xdr:spPr>
        <a:xfrm>
          <a:off x="17895094" y="9096374"/>
          <a:ext cx="1190625" cy="4369595"/>
        </a:xfrm>
        <a:prstGeom prst="curvedRightArrow">
          <a:avLst>
            <a:gd name="adj1" fmla="val 25000"/>
            <a:gd name="adj2" fmla="val 50000"/>
            <a:gd name="adj3" fmla="val 28000"/>
          </a:avLst>
        </a:prstGeom>
        <a:solidFill>
          <a:srgbClr val="FFFF00"/>
        </a:solid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twoCellAnchor>
    <xdr:from>
      <xdr:col>11</xdr:col>
      <xdr:colOff>809626</xdr:colOff>
      <xdr:row>28</xdr:row>
      <xdr:rowOff>250032</xdr:rowOff>
    </xdr:from>
    <xdr:to>
      <xdr:col>22</xdr:col>
      <xdr:colOff>54882</xdr:colOff>
      <xdr:row>31</xdr:row>
      <xdr:rowOff>285751</xdr:rowOff>
    </xdr:to>
    <xdr:sp macro="" textlink="">
      <xdr:nvSpPr>
        <xdr:cNvPr id="44" name="線吹き出し 1 (枠付き) 43"/>
        <xdr:cNvSpPr/>
      </xdr:nvSpPr>
      <xdr:spPr>
        <a:xfrm>
          <a:off x="10036970" y="7048501"/>
          <a:ext cx="8413068" cy="1631156"/>
        </a:xfrm>
        <a:prstGeom prst="borderCallout1">
          <a:avLst>
            <a:gd name="adj1" fmla="val -154"/>
            <a:gd name="adj2" fmla="val 40308"/>
            <a:gd name="adj3" fmla="val -41030"/>
            <a:gd name="adj4" fmla="val 24280"/>
          </a:avLst>
        </a:prstGeom>
        <a:solidFill>
          <a:srgbClr val="FFFFC5"/>
        </a:solidFill>
        <a:ln w="76200" cmpd="tri">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導入計画が、要件を満たさない場合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000">
              <a:solidFill>
                <a:sysClr val="windowText" lastClr="000000"/>
              </a:solidFill>
              <a:latin typeface="メイリオ" panose="020B0604030504040204" pitchFamily="50" charset="-128"/>
              <a:ea typeface="メイリオ" panose="020B0604030504040204" pitchFamily="50" charset="-128"/>
            </a:rPr>
            <a:t>”</a:t>
          </a:r>
          <a:r>
            <a:rPr kumimoji="1" lang="ja-JP" altLang="en-US" sz="2000">
              <a:solidFill>
                <a:srgbClr val="FF0000"/>
              </a:solidFill>
              <a:latin typeface="メイリオ" panose="020B0604030504040204" pitchFamily="50" charset="-128"/>
              <a:ea typeface="メイリオ" panose="020B0604030504040204" pitchFamily="50" charset="-128"/>
            </a:rPr>
            <a:t>換気設備導入の要件を満たしていないため、申請できません。</a:t>
          </a:r>
          <a:r>
            <a:rPr kumimoji="1" lang="ja-JP" altLang="en-US" sz="2000">
              <a:solidFill>
                <a:sysClr val="windowText" lastClr="000000"/>
              </a:solidFill>
              <a:latin typeface="メイリオ" panose="020B0604030504040204" pitchFamily="50" charset="-128"/>
              <a:ea typeface="メイリオ" panose="020B0604030504040204" pitchFamily="50" charset="-128"/>
            </a:rPr>
            <a:t>“</a:t>
          </a:r>
          <a:endParaRPr kumimoji="1" lang="en-US" altLang="ja-JP" sz="20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と表示されます。入力内容を確認してください。</a:t>
          </a:r>
        </a:p>
      </xdr:txBody>
    </xdr:sp>
    <xdr:clientData/>
  </xdr:twoCellAnchor>
  <xdr:twoCellAnchor>
    <xdr:from>
      <xdr:col>14</xdr:col>
      <xdr:colOff>204108</xdr:colOff>
      <xdr:row>142</xdr:row>
      <xdr:rowOff>95249</xdr:rowOff>
    </xdr:from>
    <xdr:to>
      <xdr:col>19</xdr:col>
      <xdr:colOff>767559</xdr:colOff>
      <xdr:row>145</xdr:row>
      <xdr:rowOff>285749</xdr:rowOff>
    </xdr:to>
    <xdr:sp macro="" textlink="">
      <xdr:nvSpPr>
        <xdr:cNvPr id="45" name="線吹き出し 1 (枠付き) 44"/>
        <xdr:cNvSpPr/>
      </xdr:nvSpPr>
      <xdr:spPr>
        <a:xfrm>
          <a:off x="12042322" y="38875606"/>
          <a:ext cx="4781666" cy="1673679"/>
        </a:xfrm>
        <a:prstGeom prst="borderCallout1">
          <a:avLst>
            <a:gd name="adj1" fmla="val 55740"/>
            <a:gd name="adj2" fmla="val 99933"/>
            <a:gd name="adj3" fmla="val 119732"/>
            <a:gd name="adj4" fmla="val 125578"/>
          </a:avLst>
        </a:prstGeom>
        <a:solidFill>
          <a:srgbClr val="FFFFC5"/>
        </a:solidFill>
        <a:ln w="76200" cmpd="tri">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省エネ化の要件を満たさない場合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セルが</a:t>
          </a:r>
          <a:r>
            <a:rPr kumimoji="1" lang="ja-JP" altLang="en-US" sz="1400">
              <a:solidFill>
                <a:srgbClr val="FF0000"/>
              </a:solidFill>
              <a:latin typeface="メイリオ" panose="020B0604030504040204" pitchFamily="50" charset="-128"/>
              <a:ea typeface="メイリオ" panose="020B0604030504040204" pitchFamily="50" charset="-128"/>
            </a:rPr>
            <a:t>黄色、</a:t>
          </a:r>
          <a:r>
            <a:rPr kumimoji="1" lang="ja-JP" altLang="en-US" sz="1400">
              <a:solidFill>
                <a:sysClr val="windowText" lastClr="000000"/>
              </a:solidFill>
              <a:latin typeface="メイリオ" panose="020B0604030504040204" pitchFamily="50" charset="-128"/>
              <a:ea typeface="メイリオ" panose="020B0604030504040204" pitchFamily="50" charset="-128"/>
            </a:rPr>
            <a:t>文字が</a:t>
          </a:r>
          <a:r>
            <a:rPr kumimoji="1" lang="ja-JP" altLang="en-US" sz="1400">
              <a:solidFill>
                <a:srgbClr val="FF0000"/>
              </a:solidFill>
              <a:latin typeface="メイリオ" panose="020B0604030504040204" pitchFamily="50" charset="-128"/>
              <a:ea typeface="メイリオ" panose="020B0604030504040204" pitchFamily="50" charset="-128"/>
            </a:rPr>
            <a:t>朱色</a:t>
          </a:r>
          <a:r>
            <a:rPr kumimoji="1" lang="ja-JP" altLang="en-US" sz="14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22</xdr:col>
      <xdr:colOff>666749</xdr:colOff>
      <xdr:row>151</xdr:row>
      <xdr:rowOff>464344</xdr:rowOff>
    </xdr:from>
    <xdr:to>
      <xdr:col>24</xdr:col>
      <xdr:colOff>166687</xdr:colOff>
      <xdr:row>160</xdr:row>
      <xdr:rowOff>154781</xdr:rowOff>
    </xdr:to>
    <xdr:sp macro="" textlink="">
      <xdr:nvSpPr>
        <xdr:cNvPr id="47" name="正方形/長方形 46"/>
        <xdr:cNvSpPr/>
      </xdr:nvSpPr>
      <xdr:spPr>
        <a:xfrm>
          <a:off x="19061905" y="43267313"/>
          <a:ext cx="1166813" cy="607218"/>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21</xdr:col>
      <xdr:colOff>273842</xdr:colOff>
      <xdr:row>131</xdr:row>
      <xdr:rowOff>11906</xdr:rowOff>
    </xdr:from>
    <xdr:to>
      <xdr:col>22</xdr:col>
      <xdr:colOff>631030</xdr:colOff>
      <xdr:row>160</xdr:row>
      <xdr:rowOff>107156</xdr:rowOff>
    </xdr:to>
    <xdr:sp macro="" textlink="">
      <xdr:nvSpPr>
        <xdr:cNvPr id="48" name="右カーブ矢印 47"/>
        <xdr:cNvSpPr/>
      </xdr:nvSpPr>
      <xdr:spPr>
        <a:xfrm>
          <a:off x="17835561" y="37778531"/>
          <a:ext cx="1190625" cy="6048375"/>
        </a:xfrm>
        <a:prstGeom prst="curvedRightArrow">
          <a:avLst>
            <a:gd name="adj1" fmla="val 25000"/>
            <a:gd name="adj2" fmla="val 50000"/>
            <a:gd name="adj3" fmla="val 28000"/>
          </a:avLst>
        </a:prstGeom>
        <a:solidFill>
          <a:srgbClr val="FFFF00"/>
        </a:solid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clientData/>
  </xdr:twoCellAnchor>
  <xdr:twoCellAnchor>
    <xdr:from>
      <xdr:col>11</xdr:col>
      <xdr:colOff>119061</xdr:colOff>
      <xdr:row>121</xdr:row>
      <xdr:rowOff>95251</xdr:rowOff>
    </xdr:from>
    <xdr:to>
      <xdr:col>21</xdr:col>
      <xdr:colOff>197754</xdr:colOff>
      <xdr:row>124</xdr:row>
      <xdr:rowOff>312965</xdr:rowOff>
    </xdr:to>
    <xdr:sp macro="" textlink="">
      <xdr:nvSpPr>
        <xdr:cNvPr id="49" name="線吹き出し 1 (枠付き) 48"/>
        <xdr:cNvSpPr/>
      </xdr:nvSpPr>
      <xdr:spPr>
        <a:xfrm>
          <a:off x="9426347" y="33310287"/>
          <a:ext cx="8515121" cy="1700892"/>
        </a:xfrm>
        <a:prstGeom prst="borderCallout1">
          <a:avLst>
            <a:gd name="adj1" fmla="val -154"/>
            <a:gd name="adj2" fmla="val 40308"/>
            <a:gd name="adj3" fmla="val -76796"/>
            <a:gd name="adj4" fmla="val 21591"/>
          </a:avLst>
        </a:prstGeom>
        <a:solidFill>
          <a:srgbClr val="FFFFC5"/>
        </a:solidFill>
        <a:ln w="76200" cmpd="tri">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導入計画が、要件を満たさない場合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000">
              <a:solidFill>
                <a:sysClr val="windowText" lastClr="000000"/>
              </a:solidFill>
              <a:latin typeface="メイリオ" panose="020B0604030504040204" pitchFamily="50" charset="-128"/>
              <a:ea typeface="メイリオ" panose="020B0604030504040204" pitchFamily="50" charset="-128"/>
            </a:rPr>
            <a:t>”</a:t>
          </a:r>
          <a:r>
            <a:rPr kumimoji="1" lang="ja-JP" altLang="en-US" sz="2000">
              <a:solidFill>
                <a:srgbClr val="FF0000"/>
              </a:solidFill>
              <a:latin typeface="メイリオ" panose="020B0604030504040204" pitchFamily="50" charset="-128"/>
              <a:ea typeface="メイリオ" panose="020B0604030504040204" pitchFamily="50" charset="-128"/>
            </a:rPr>
            <a:t>省エネ設備更新の要件を満たしていないため、申請できません。</a:t>
          </a:r>
          <a:r>
            <a:rPr kumimoji="1" lang="ja-JP" altLang="en-US" sz="2000">
              <a:solidFill>
                <a:sysClr val="windowText" lastClr="000000"/>
              </a:solidFill>
              <a:latin typeface="メイリオ" panose="020B0604030504040204" pitchFamily="50" charset="-128"/>
              <a:ea typeface="メイリオ" panose="020B0604030504040204" pitchFamily="50" charset="-128"/>
            </a:rPr>
            <a:t>“</a:t>
          </a: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と表示されます。入力内容を確認してください。</a:t>
          </a:r>
        </a:p>
      </xdr:txBody>
    </xdr:sp>
    <xdr:clientData/>
  </xdr:twoCellAnchor>
  <xdr:twoCellAnchor>
    <xdr:from>
      <xdr:col>22</xdr:col>
      <xdr:colOff>666749</xdr:colOff>
      <xdr:row>130</xdr:row>
      <xdr:rowOff>440532</xdr:rowOff>
    </xdr:from>
    <xdr:to>
      <xdr:col>24</xdr:col>
      <xdr:colOff>166687</xdr:colOff>
      <xdr:row>139</xdr:row>
      <xdr:rowOff>119063</xdr:rowOff>
    </xdr:to>
    <xdr:sp macro="" textlink="">
      <xdr:nvSpPr>
        <xdr:cNvPr id="51" name="正方形/長方形 50"/>
        <xdr:cNvSpPr/>
      </xdr:nvSpPr>
      <xdr:spPr>
        <a:xfrm>
          <a:off x="19061905" y="37623751"/>
          <a:ext cx="1166813" cy="607218"/>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595312</xdr:colOff>
      <xdr:row>1</xdr:row>
      <xdr:rowOff>0</xdr:rowOff>
    </xdr:from>
    <xdr:to>
      <xdr:col>8</xdr:col>
      <xdr:colOff>988219</xdr:colOff>
      <xdr:row>13</xdr:row>
      <xdr:rowOff>238125</xdr:rowOff>
    </xdr:to>
    <xdr:sp macro="" textlink="">
      <xdr:nvSpPr>
        <xdr:cNvPr id="2" name="右中かっこ 1"/>
        <xdr:cNvSpPr/>
      </xdr:nvSpPr>
      <xdr:spPr>
        <a:xfrm>
          <a:off x="8012906" y="238125"/>
          <a:ext cx="392907" cy="32385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105229</xdr:colOff>
      <xdr:row>5</xdr:row>
      <xdr:rowOff>101829</xdr:rowOff>
    </xdr:from>
    <xdr:to>
      <xdr:col>12</xdr:col>
      <xdr:colOff>22226</xdr:colOff>
      <xdr:row>9</xdr:row>
      <xdr:rowOff>70079</xdr:rowOff>
    </xdr:to>
    <xdr:sp macro="" textlink="">
      <xdr:nvSpPr>
        <xdr:cNvPr id="3" name="テキスト ボックス 2"/>
        <xdr:cNvSpPr txBox="1"/>
      </xdr:nvSpPr>
      <xdr:spPr>
        <a:xfrm>
          <a:off x="8534854" y="1340079"/>
          <a:ext cx="2953091" cy="9683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12</xdr:col>
      <xdr:colOff>542925</xdr:colOff>
      <xdr:row>1</xdr:row>
      <xdr:rowOff>26194</xdr:rowOff>
    </xdr:from>
    <xdr:to>
      <xdr:col>15</xdr:col>
      <xdr:colOff>951706</xdr:colOff>
      <xdr:row>8</xdr:row>
      <xdr:rowOff>794</xdr:rowOff>
    </xdr:to>
    <xdr:sp macro="" textlink="">
      <xdr:nvSpPr>
        <xdr:cNvPr id="4" name="テキスト ボックス 3"/>
        <xdr:cNvSpPr txBox="1"/>
      </xdr:nvSpPr>
      <xdr:spPr>
        <a:xfrm>
          <a:off x="12008644" y="264319"/>
          <a:ext cx="3444875" cy="1724819"/>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適合例</a:t>
          </a:r>
        </a:p>
      </xdr:txBody>
    </xdr:sp>
    <xdr:clientData/>
  </xdr:twoCellAnchor>
  <xdr:twoCellAnchor>
    <xdr:from>
      <xdr:col>3</xdr:col>
      <xdr:colOff>522395</xdr:colOff>
      <xdr:row>21</xdr:row>
      <xdr:rowOff>345281</xdr:rowOff>
    </xdr:from>
    <xdr:to>
      <xdr:col>9</xdr:col>
      <xdr:colOff>689357</xdr:colOff>
      <xdr:row>24</xdr:row>
      <xdr:rowOff>229945</xdr:rowOff>
    </xdr:to>
    <xdr:sp macro="" textlink="">
      <xdr:nvSpPr>
        <xdr:cNvPr id="5" name="線吹き出し 1 (枠付き) 4"/>
        <xdr:cNvSpPr/>
      </xdr:nvSpPr>
      <xdr:spPr>
        <a:xfrm>
          <a:off x="2879833" y="5845969"/>
          <a:ext cx="6239149" cy="849070"/>
        </a:xfrm>
        <a:prstGeom prst="borderCallout1">
          <a:avLst>
            <a:gd name="adj1" fmla="val -3485"/>
            <a:gd name="adj2" fmla="val 50700"/>
            <a:gd name="adj3" fmla="val -160118"/>
            <a:gd name="adj4" fmla="val 767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400">
              <a:solidFill>
                <a:srgbClr val="FF0000"/>
              </a:solidFill>
              <a:latin typeface="メイリオ" panose="020B0604030504040204" pitchFamily="50" charset="-128"/>
              <a:ea typeface="メイリオ" panose="020B0604030504040204" pitchFamily="50" charset="-128"/>
            </a:rPr>
            <a:t>中小規模事業所に該当します。</a:t>
          </a:r>
          <a:r>
            <a:rPr kumimoji="1" lang="ja-JP" altLang="en-US" sz="14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xdr:col>
      <xdr:colOff>214312</xdr:colOff>
      <xdr:row>34</xdr:row>
      <xdr:rowOff>209391</xdr:rowOff>
    </xdr:from>
    <xdr:to>
      <xdr:col>6</xdr:col>
      <xdr:colOff>785812</xdr:colOff>
      <xdr:row>36</xdr:row>
      <xdr:rowOff>311095</xdr:rowOff>
    </xdr:to>
    <xdr:sp macro="" textlink="">
      <xdr:nvSpPr>
        <xdr:cNvPr id="6" name="線吹き出し 1 (枠付き) 5"/>
        <xdr:cNvSpPr/>
      </xdr:nvSpPr>
      <xdr:spPr>
        <a:xfrm>
          <a:off x="1559718" y="8889047"/>
          <a:ext cx="4619625" cy="601767"/>
        </a:xfrm>
        <a:prstGeom prst="borderCallout1">
          <a:avLst>
            <a:gd name="adj1" fmla="val -3459"/>
            <a:gd name="adj2" fmla="val 49261"/>
            <a:gd name="adj3" fmla="val -131144"/>
            <a:gd name="adj4" fmla="val -370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メイリオ" panose="020B0604030504040204" pitchFamily="50" charset="-128"/>
              <a:ea typeface="メイリオ" panose="020B0604030504040204" pitchFamily="50" charset="-128"/>
            </a:rPr>
            <a:t>選択漏れのセル</a:t>
          </a:r>
          <a:r>
            <a:rPr kumimoji="1" lang="ja-JP" altLang="en-US" sz="1200">
              <a:solidFill>
                <a:sysClr val="windowText" lastClr="000000"/>
              </a:solidFill>
              <a:latin typeface="メイリオ" panose="020B0604030504040204" pitchFamily="50" charset="-128"/>
              <a:ea typeface="メイリオ" panose="020B0604030504040204" pitchFamily="50" charset="-128"/>
            </a:rPr>
            <a:t>が、無いことを確認してください。</a:t>
          </a:r>
        </a:p>
      </xdr:txBody>
    </xdr:sp>
    <xdr:clientData/>
  </xdr:twoCellAnchor>
  <xdr:twoCellAnchor>
    <xdr:from>
      <xdr:col>10</xdr:col>
      <xdr:colOff>452438</xdr:colOff>
      <xdr:row>19</xdr:row>
      <xdr:rowOff>130969</xdr:rowOff>
    </xdr:from>
    <xdr:to>
      <xdr:col>12</xdr:col>
      <xdr:colOff>488157</xdr:colOff>
      <xdr:row>28</xdr:row>
      <xdr:rowOff>142875</xdr:rowOff>
    </xdr:to>
    <xdr:cxnSp macro="">
      <xdr:nvCxnSpPr>
        <xdr:cNvPr id="7" name="直線コネクタ 6"/>
        <xdr:cNvCxnSpPr>
          <a:endCxn id="14" idx="3"/>
        </xdr:cNvCxnSpPr>
      </xdr:nvCxnSpPr>
      <xdr:spPr>
        <a:xfrm>
          <a:off x="9894094" y="5131594"/>
          <a:ext cx="2059782" cy="196453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500062</xdr:colOff>
      <xdr:row>31</xdr:row>
      <xdr:rowOff>238125</xdr:rowOff>
    </xdr:from>
    <xdr:to>
      <xdr:col>4</xdr:col>
      <xdr:colOff>964408</xdr:colOff>
      <xdr:row>34</xdr:row>
      <xdr:rowOff>209391</xdr:rowOff>
    </xdr:to>
    <xdr:cxnSp macro="">
      <xdr:nvCxnSpPr>
        <xdr:cNvPr id="8" name="直線コネクタ 7"/>
        <xdr:cNvCxnSpPr>
          <a:endCxn id="6" idx="3"/>
        </xdr:cNvCxnSpPr>
      </xdr:nvCxnSpPr>
      <xdr:spPr>
        <a:xfrm flipH="1">
          <a:off x="3869531" y="7917656"/>
          <a:ext cx="464346" cy="9713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202407</xdr:colOff>
      <xdr:row>28</xdr:row>
      <xdr:rowOff>142875</xdr:rowOff>
    </xdr:from>
    <xdr:to>
      <xdr:col>14</xdr:col>
      <xdr:colOff>773907</xdr:colOff>
      <xdr:row>31</xdr:row>
      <xdr:rowOff>18361</xdr:rowOff>
    </xdr:to>
    <xdr:sp macro="" textlink="">
      <xdr:nvSpPr>
        <xdr:cNvPr id="14" name="線吹き出し 1 (枠付き) 13"/>
        <xdr:cNvSpPr/>
      </xdr:nvSpPr>
      <xdr:spPr>
        <a:xfrm>
          <a:off x="9644063" y="7096125"/>
          <a:ext cx="4619625" cy="601767"/>
        </a:xfrm>
        <a:prstGeom prst="borderCallout1">
          <a:avLst>
            <a:gd name="adj1" fmla="val 99426"/>
            <a:gd name="adj2" fmla="val 49003"/>
            <a:gd name="adj3" fmla="val 529691"/>
            <a:gd name="adj4" fmla="val 29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複数の契約</a:t>
          </a:r>
          <a:r>
            <a:rPr kumimoji="1" lang="ja-JP" altLang="en-US" sz="1200">
              <a:solidFill>
                <a:sysClr val="windowText" lastClr="000000"/>
              </a:solidFill>
              <a:latin typeface="メイリオ" panose="020B0604030504040204" pitchFamily="50" charset="-128"/>
              <a:ea typeface="メイリオ" panose="020B0604030504040204" pitchFamily="50" charset="-128"/>
            </a:rPr>
            <a:t>が有る場合は、契約内容を記入してください。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595312</xdr:colOff>
      <xdr:row>1</xdr:row>
      <xdr:rowOff>0</xdr:rowOff>
    </xdr:from>
    <xdr:to>
      <xdr:col>8</xdr:col>
      <xdr:colOff>988219</xdr:colOff>
      <xdr:row>13</xdr:row>
      <xdr:rowOff>238125</xdr:rowOff>
    </xdr:to>
    <xdr:sp macro="" textlink="">
      <xdr:nvSpPr>
        <xdr:cNvPr id="2" name="右中かっこ 1"/>
        <xdr:cNvSpPr/>
      </xdr:nvSpPr>
      <xdr:spPr>
        <a:xfrm>
          <a:off x="8005762" y="238125"/>
          <a:ext cx="392907" cy="320992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105229</xdr:colOff>
      <xdr:row>5</xdr:row>
      <xdr:rowOff>101829</xdr:rowOff>
    </xdr:from>
    <xdr:to>
      <xdr:col>12</xdr:col>
      <xdr:colOff>22226</xdr:colOff>
      <xdr:row>9</xdr:row>
      <xdr:rowOff>70079</xdr:rowOff>
    </xdr:to>
    <xdr:sp macro="" textlink="">
      <xdr:nvSpPr>
        <xdr:cNvPr id="3" name="テキスト ボックス 2"/>
        <xdr:cNvSpPr txBox="1"/>
      </xdr:nvSpPr>
      <xdr:spPr>
        <a:xfrm>
          <a:off x="8525329" y="1330554"/>
          <a:ext cx="2945947" cy="9588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入力の</a:t>
          </a:r>
          <a:r>
            <a:rPr kumimoji="1" lang="ja-JP" altLang="en-US" sz="1400">
              <a:solidFill>
                <a:srgbClr val="FF0000"/>
              </a:solidFill>
              <a:latin typeface="メイリオ" panose="020B0604030504040204" pitchFamily="50" charset="-128"/>
              <a:ea typeface="メイリオ" panose="020B0604030504040204" pitchFamily="50" charset="-128"/>
            </a:rPr>
            <a:t>注意事項</a:t>
          </a:r>
          <a:r>
            <a:rPr kumimoji="1" lang="ja-JP" altLang="en-US" sz="1400">
              <a:latin typeface="メイリオ" panose="020B0604030504040204" pitchFamily="50" charset="-128"/>
              <a:ea typeface="メイリオ" panose="020B0604030504040204" pitchFamily="50" charset="-128"/>
            </a:rPr>
            <a:t>です。</a:t>
          </a:r>
          <a:endParaRPr kumimoji="1" lang="en-US" altLang="ja-JP" sz="1400">
            <a:latin typeface="メイリオ" panose="020B0604030504040204" pitchFamily="50" charset="-128"/>
            <a:ea typeface="メイリオ" panose="020B0604030504040204" pitchFamily="50" charset="-128"/>
          </a:endParaRPr>
        </a:p>
        <a:p>
          <a:pPr algn="ctr"/>
          <a:r>
            <a:rPr kumimoji="1" lang="ja-JP" altLang="en-US" sz="1400">
              <a:latin typeface="メイリオ" panose="020B0604030504040204" pitchFamily="50" charset="-128"/>
              <a:ea typeface="メイリオ" panose="020B0604030504040204" pitchFamily="50" charset="-128"/>
            </a:rPr>
            <a:t>必ず、お読みください。</a:t>
          </a:r>
          <a:r>
            <a:rPr kumimoji="1" lang="en-US" altLang="ja-JP" sz="1400">
              <a:latin typeface="メイリオ" panose="020B0604030504040204" pitchFamily="50" charset="-128"/>
              <a:ea typeface="メイリオ" panose="020B0604030504040204" pitchFamily="50" charset="-128"/>
            </a:rPr>
            <a:t> </a:t>
          </a:r>
        </a:p>
      </xdr:txBody>
    </xdr:sp>
    <xdr:clientData/>
  </xdr:twoCellAnchor>
  <xdr:twoCellAnchor>
    <xdr:from>
      <xdr:col>12</xdr:col>
      <xdr:colOff>542925</xdr:colOff>
      <xdr:row>1</xdr:row>
      <xdr:rowOff>26194</xdr:rowOff>
    </xdr:from>
    <xdr:to>
      <xdr:col>15</xdr:col>
      <xdr:colOff>951706</xdr:colOff>
      <xdr:row>8</xdr:row>
      <xdr:rowOff>794</xdr:rowOff>
    </xdr:to>
    <xdr:sp macro="" textlink="">
      <xdr:nvSpPr>
        <xdr:cNvPr id="4" name="テキスト ボックス 3"/>
        <xdr:cNvSpPr txBox="1"/>
      </xdr:nvSpPr>
      <xdr:spPr>
        <a:xfrm>
          <a:off x="11991975" y="264319"/>
          <a:ext cx="3437731" cy="1708150"/>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適合例</a:t>
          </a:r>
        </a:p>
      </xdr:txBody>
    </xdr:sp>
    <xdr:clientData/>
  </xdr:twoCellAnchor>
  <xdr:twoCellAnchor>
    <xdr:from>
      <xdr:col>3</xdr:col>
      <xdr:colOff>535781</xdr:colOff>
      <xdr:row>31</xdr:row>
      <xdr:rowOff>154782</xdr:rowOff>
    </xdr:from>
    <xdr:to>
      <xdr:col>5</xdr:col>
      <xdr:colOff>59531</xdr:colOff>
      <xdr:row>33</xdr:row>
      <xdr:rowOff>178593</xdr:rowOff>
    </xdr:to>
    <xdr:cxnSp macro="">
      <xdr:nvCxnSpPr>
        <xdr:cNvPr id="7" name="直線コネクタ 6"/>
        <xdr:cNvCxnSpPr>
          <a:stCxn id="12" idx="3"/>
        </xdr:cNvCxnSpPr>
      </xdr:nvCxnSpPr>
      <xdr:spPr>
        <a:xfrm flipV="1">
          <a:off x="2893219" y="7834313"/>
          <a:ext cx="1547812" cy="53578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892970</xdr:colOff>
      <xdr:row>19</xdr:row>
      <xdr:rowOff>95249</xdr:rowOff>
    </xdr:from>
    <xdr:to>
      <xdr:col>4</xdr:col>
      <xdr:colOff>142875</xdr:colOff>
      <xdr:row>28</xdr:row>
      <xdr:rowOff>214311</xdr:rowOff>
    </xdr:to>
    <xdr:sp macro="" textlink="">
      <xdr:nvSpPr>
        <xdr:cNvPr id="10" name="正方形/長方形 9"/>
        <xdr:cNvSpPr/>
      </xdr:nvSpPr>
      <xdr:spPr>
        <a:xfrm>
          <a:off x="2238376" y="5095874"/>
          <a:ext cx="1273968" cy="2071687"/>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4</xdr:col>
      <xdr:colOff>869156</xdr:colOff>
      <xdr:row>30</xdr:row>
      <xdr:rowOff>83343</xdr:rowOff>
    </xdr:from>
    <xdr:to>
      <xdr:col>6</xdr:col>
      <xdr:colOff>154781</xdr:colOff>
      <xdr:row>32</xdr:row>
      <xdr:rowOff>154781</xdr:rowOff>
    </xdr:to>
    <xdr:sp macro="" textlink="">
      <xdr:nvSpPr>
        <xdr:cNvPr id="11" name="正方形/長方形 10"/>
        <xdr:cNvSpPr/>
      </xdr:nvSpPr>
      <xdr:spPr>
        <a:xfrm>
          <a:off x="4238625" y="7512843"/>
          <a:ext cx="1309687" cy="559594"/>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309563</xdr:colOff>
      <xdr:row>33</xdr:row>
      <xdr:rowOff>178593</xdr:rowOff>
    </xdr:from>
    <xdr:to>
      <xdr:col>5</xdr:col>
      <xdr:colOff>881062</xdr:colOff>
      <xdr:row>36</xdr:row>
      <xdr:rowOff>154781</xdr:rowOff>
    </xdr:to>
    <xdr:sp macro="" textlink="">
      <xdr:nvSpPr>
        <xdr:cNvPr id="12" name="線吹き出し 1 (枠付き) 11"/>
        <xdr:cNvSpPr/>
      </xdr:nvSpPr>
      <xdr:spPr>
        <a:xfrm>
          <a:off x="523876" y="8370093"/>
          <a:ext cx="4738686" cy="964407"/>
        </a:xfrm>
        <a:prstGeom prst="borderCallout1">
          <a:avLst>
            <a:gd name="adj1" fmla="val -1485"/>
            <a:gd name="adj2" fmla="val 49947"/>
            <a:gd name="adj3" fmla="val -219748"/>
            <a:gd name="adj4" fmla="val 49150"/>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記入漏れがあるセルの番号又は選択欄が黄色になります。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入力又は、選択を行ってください。</a:t>
          </a:r>
        </a:p>
      </xdr:txBody>
    </xdr:sp>
    <xdr:clientData/>
  </xdr:twoCellAnchor>
  <xdr:twoCellAnchor>
    <xdr:from>
      <xdr:col>6</xdr:col>
      <xdr:colOff>47626</xdr:colOff>
      <xdr:row>20</xdr:row>
      <xdr:rowOff>59530</xdr:rowOff>
    </xdr:from>
    <xdr:to>
      <xdr:col>12</xdr:col>
      <xdr:colOff>130968</xdr:colOff>
      <xdr:row>28</xdr:row>
      <xdr:rowOff>130968</xdr:rowOff>
    </xdr:to>
    <xdr:sp macro="" textlink="">
      <xdr:nvSpPr>
        <xdr:cNvPr id="14" name="線吹き出し 1 (枠付き) 13"/>
        <xdr:cNvSpPr/>
      </xdr:nvSpPr>
      <xdr:spPr>
        <a:xfrm>
          <a:off x="5441157" y="5322093"/>
          <a:ext cx="6155530" cy="1762125"/>
        </a:xfrm>
        <a:prstGeom prst="borderCallout1">
          <a:avLst>
            <a:gd name="adj1" fmla="val -911"/>
            <a:gd name="adj2" fmla="val 39696"/>
            <a:gd name="adj3" fmla="val -37233"/>
            <a:gd name="adj4" fmla="val 53193"/>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必要事項の記入又は、選択漏れがある場合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未入力欄が有ります。確認してください。</a:t>
          </a:r>
          <a:r>
            <a:rPr kumimoji="1" lang="ja-JP" altLang="en-US" sz="1600">
              <a:solidFill>
                <a:sysClr val="windowText" lastClr="000000"/>
              </a:solidFill>
              <a:latin typeface="メイリオ" panose="020B0604030504040204" pitchFamily="50" charset="-128"/>
              <a:ea typeface="メイリオ" panose="020B0604030504040204" pitchFamily="50" charset="-128"/>
            </a:rPr>
            <a:t>“</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600">
              <a:solidFill>
                <a:sysClr val="windowText" lastClr="00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エネルギー種別・単位を選択してください。</a:t>
          </a:r>
          <a:r>
            <a:rPr kumimoji="1" lang="en-US" altLang="ja-JP" sz="1600">
              <a:solidFill>
                <a:sysClr val="windowText" lastClr="000000"/>
              </a:solidFill>
              <a:latin typeface="メイリオ" panose="020B0604030504040204" pitchFamily="50" charset="-128"/>
              <a:ea typeface="メイリオ" panose="020B0604030504040204" pitchFamily="50" charset="-128"/>
            </a:rPr>
            <a:t>"</a:t>
          </a: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　などのエラーメッセージが表示されます。</a:t>
          </a:r>
        </a:p>
      </xdr:txBody>
    </xdr:sp>
    <xdr:clientData/>
  </xdr:twoCellAnchor>
  <xdr:twoCellAnchor>
    <xdr:from>
      <xdr:col>12</xdr:col>
      <xdr:colOff>750094</xdr:colOff>
      <xdr:row>32</xdr:row>
      <xdr:rowOff>202408</xdr:rowOff>
    </xdr:from>
    <xdr:to>
      <xdr:col>15</xdr:col>
      <xdr:colOff>95249</xdr:colOff>
      <xdr:row>34</xdr:row>
      <xdr:rowOff>119062</xdr:rowOff>
    </xdr:to>
    <xdr:cxnSp macro="">
      <xdr:nvCxnSpPr>
        <xdr:cNvPr id="15" name="直線コネクタ 14"/>
        <xdr:cNvCxnSpPr/>
      </xdr:nvCxnSpPr>
      <xdr:spPr>
        <a:xfrm>
          <a:off x="12215813" y="8120064"/>
          <a:ext cx="2381249" cy="654842"/>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821533</xdr:colOff>
      <xdr:row>21</xdr:row>
      <xdr:rowOff>380999</xdr:rowOff>
    </xdr:from>
    <xdr:to>
      <xdr:col>16</xdr:col>
      <xdr:colOff>202406</xdr:colOff>
      <xdr:row>24</xdr:row>
      <xdr:rowOff>142874</xdr:rowOff>
    </xdr:to>
    <xdr:sp macro="" textlink="">
      <xdr:nvSpPr>
        <xdr:cNvPr id="16" name="正方形/長方形 15"/>
        <xdr:cNvSpPr/>
      </xdr:nvSpPr>
      <xdr:spPr>
        <a:xfrm>
          <a:off x="14311314" y="5881687"/>
          <a:ext cx="1404936" cy="726281"/>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14</xdr:col>
      <xdr:colOff>857251</xdr:colOff>
      <xdr:row>33</xdr:row>
      <xdr:rowOff>369093</xdr:rowOff>
    </xdr:from>
    <xdr:to>
      <xdr:col>16</xdr:col>
      <xdr:colOff>142875</xdr:colOff>
      <xdr:row>36</xdr:row>
      <xdr:rowOff>119063</xdr:rowOff>
    </xdr:to>
    <xdr:sp macro="" textlink="">
      <xdr:nvSpPr>
        <xdr:cNvPr id="17" name="正方形/長方形 16"/>
        <xdr:cNvSpPr/>
      </xdr:nvSpPr>
      <xdr:spPr>
        <a:xfrm>
          <a:off x="14347032" y="8536781"/>
          <a:ext cx="1309687" cy="738188"/>
        </a:xfrm>
        <a:prstGeom prst="rect">
          <a:avLst/>
        </a:prstGeom>
        <a:noFill/>
        <a:ln w="571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9</xdr:col>
      <xdr:colOff>892967</xdr:colOff>
      <xdr:row>29</xdr:row>
      <xdr:rowOff>83345</xdr:rowOff>
    </xdr:from>
    <xdr:to>
      <xdr:col>15</xdr:col>
      <xdr:colOff>380998</xdr:colOff>
      <xdr:row>32</xdr:row>
      <xdr:rowOff>196320</xdr:rowOff>
    </xdr:to>
    <xdr:sp macro="" textlink="">
      <xdr:nvSpPr>
        <xdr:cNvPr id="18" name="線吹き出し 1 (枠付き) 17"/>
        <xdr:cNvSpPr/>
      </xdr:nvSpPr>
      <xdr:spPr>
        <a:xfrm>
          <a:off x="9322592" y="7274720"/>
          <a:ext cx="5560219" cy="839256"/>
        </a:xfrm>
        <a:prstGeom prst="borderCallout1">
          <a:avLst>
            <a:gd name="adj1" fmla="val 1352"/>
            <a:gd name="adj2" fmla="val 50475"/>
            <a:gd name="adj3" fmla="val -110349"/>
            <a:gd name="adj4" fmla="val 95587"/>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記入又は、選択漏れが有る場合に、</a:t>
          </a:r>
          <a:r>
            <a:rPr kumimoji="1" lang="ja-JP" altLang="en-US" sz="1200">
              <a:solidFill>
                <a:srgbClr val="FF0000"/>
              </a:solidFill>
              <a:latin typeface="メイリオ" panose="020B0604030504040204" pitchFamily="50" charset="-128"/>
              <a:ea typeface="メイリオ" panose="020B0604030504040204" pitchFamily="50" charset="-128"/>
            </a:rPr>
            <a:t>エラーメッセージが表示されます</a:t>
          </a:r>
          <a:r>
            <a:rPr kumimoji="1" lang="ja-JP" altLang="en-US" sz="1200">
              <a:solidFill>
                <a:sysClr val="windowText" lastClr="000000"/>
              </a:solidFill>
              <a:latin typeface="メイリオ" panose="020B0604030504040204" pitchFamily="50" charset="-128"/>
              <a:ea typeface="メイリオ" panose="020B0604030504040204" pitchFamily="50" charset="-128"/>
            </a:rPr>
            <a:t>。</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表示内容に従い、入力欄又は選択欄を確認してください。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500062</xdr:colOff>
      <xdr:row>1</xdr:row>
      <xdr:rowOff>26194</xdr:rowOff>
    </xdr:from>
    <xdr:to>
      <xdr:col>15</xdr:col>
      <xdr:colOff>951706</xdr:colOff>
      <xdr:row>8</xdr:row>
      <xdr:rowOff>794</xdr:rowOff>
    </xdr:to>
    <xdr:sp macro="" textlink="">
      <xdr:nvSpPr>
        <xdr:cNvPr id="4" name="テキスト ボックス 3"/>
        <xdr:cNvSpPr txBox="1"/>
      </xdr:nvSpPr>
      <xdr:spPr>
        <a:xfrm>
          <a:off x="10953750" y="264319"/>
          <a:ext cx="4499769" cy="1724819"/>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b="1">
              <a:solidFill>
                <a:srgbClr val="FF0000"/>
              </a:solidFill>
              <a:latin typeface="メイリオ" panose="020B0604030504040204" pitchFamily="50" charset="-128"/>
              <a:ea typeface="メイリオ" panose="020B0604030504040204" pitchFamily="50" charset="-128"/>
            </a:rPr>
            <a:t>不適合例</a:t>
          </a:r>
        </a:p>
      </xdr:txBody>
    </xdr:sp>
    <xdr:clientData/>
  </xdr:twoCellAnchor>
  <xdr:twoCellAnchor>
    <xdr:from>
      <xdr:col>4</xdr:col>
      <xdr:colOff>0</xdr:colOff>
      <xdr:row>22</xdr:row>
      <xdr:rowOff>119063</xdr:rowOff>
    </xdr:from>
    <xdr:to>
      <xdr:col>12</xdr:col>
      <xdr:colOff>741817</xdr:colOff>
      <xdr:row>35</xdr:row>
      <xdr:rowOff>95250</xdr:rowOff>
    </xdr:to>
    <xdr:sp macro="" textlink="">
      <xdr:nvSpPr>
        <xdr:cNvPr id="10" name="線吹き出し 1 (枠付き) 9"/>
        <xdr:cNvSpPr/>
      </xdr:nvSpPr>
      <xdr:spPr>
        <a:xfrm>
          <a:off x="3369469" y="6107907"/>
          <a:ext cx="8838067" cy="2893218"/>
        </a:xfrm>
        <a:prstGeom prst="borderCallout1">
          <a:avLst>
            <a:gd name="adj1" fmla="val -154"/>
            <a:gd name="adj2" fmla="val 40308"/>
            <a:gd name="adj3" fmla="val -50437"/>
            <a:gd name="adj4" fmla="val 56514"/>
          </a:avLst>
        </a:prstGeom>
        <a:solidFill>
          <a:srgbClr val="FFFFC5"/>
        </a:solidFill>
        <a:ln w="76200" cmpd="tri">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メイリオ" panose="020B0604030504040204" pitchFamily="50" charset="-128"/>
              <a:ea typeface="メイリオ" panose="020B0604030504040204" pitchFamily="50" charset="-128"/>
            </a:rPr>
            <a:t>エネルギー使用量が、中小規模事業所の要件を満たさない場合</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000">
              <a:solidFill>
                <a:sysClr val="windowText" lastClr="000000"/>
              </a:solidFill>
              <a:latin typeface="メイリオ" panose="020B0604030504040204" pitchFamily="50" charset="-128"/>
              <a:ea typeface="メイリオ" panose="020B0604030504040204" pitchFamily="50" charset="-128"/>
            </a:rPr>
            <a:t>”</a:t>
          </a:r>
          <a:r>
            <a:rPr kumimoji="1" lang="ja-JP" altLang="en-US" sz="2000">
              <a:solidFill>
                <a:srgbClr val="FF0000"/>
              </a:solidFill>
              <a:latin typeface="メイリオ" panose="020B0604030504040204" pitchFamily="50" charset="-128"/>
              <a:ea typeface="メイリオ" panose="020B0604030504040204" pitchFamily="50" charset="-128"/>
            </a:rPr>
            <a:t>中小規模事業所の要件を満たしていないため、申請できません。</a:t>
          </a:r>
          <a:r>
            <a:rPr kumimoji="1" lang="ja-JP" altLang="en-US" sz="2000">
              <a:solidFill>
                <a:sysClr val="windowText" lastClr="000000"/>
              </a:solidFill>
              <a:latin typeface="メイリオ" panose="020B0604030504040204" pitchFamily="50" charset="-128"/>
              <a:ea typeface="メイリオ" panose="020B0604030504040204" pitchFamily="50" charset="-128"/>
            </a:rPr>
            <a:t>“</a:t>
          </a:r>
          <a:endParaRPr kumimoji="1" lang="en-US" altLang="ja-JP" sz="20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と表示されます。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申請する事業所の電気、ガス等のエネルギー使用量の原油換算合計量が</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年間</a:t>
          </a:r>
          <a:r>
            <a:rPr kumimoji="1" lang="en-US" altLang="ja-JP" sz="1400">
              <a:solidFill>
                <a:sysClr val="windowText" lastClr="000000"/>
              </a:solidFill>
              <a:latin typeface="メイリオ" panose="020B0604030504040204" pitchFamily="50" charset="-128"/>
              <a:ea typeface="メイリオ" panose="020B0604030504040204" pitchFamily="50" charset="-128"/>
            </a:rPr>
            <a:t>1,500kL</a:t>
          </a:r>
          <a:r>
            <a:rPr kumimoji="1" lang="ja-JP" altLang="en-US" sz="1400">
              <a:solidFill>
                <a:sysClr val="windowText" lastClr="000000"/>
              </a:solidFill>
              <a:latin typeface="メイリオ" panose="020B0604030504040204" pitchFamily="50" charset="-128"/>
              <a:ea typeface="メイリオ" panose="020B0604030504040204" pitchFamily="50" charset="-128"/>
            </a:rPr>
            <a:t>以上の場合、申請できません。</a:t>
          </a:r>
        </a:p>
      </xdr:txBody>
    </xdr:sp>
    <xdr:clientData/>
  </xdr:twoCellAnchor>
  <xdr:twoCellAnchor>
    <xdr:from>
      <xdr:col>12</xdr:col>
      <xdr:colOff>741817</xdr:colOff>
      <xdr:row>30</xdr:row>
      <xdr:rowOff>125016</xdr:rowOff>
    </xdr:from>
    <xdr:to>
      <xdr:col>15</xdr:col>
      <xdr:colOff>142874</xdr:colOff>
      <xdr:row>34</xdr:row>
      <xdr:rowOff>202406</xdr:rowOff>
    </xdr:to>
    <xdr:cxnSp macro="">
      <xdr:nvCxnSpPr>
        <xdr:cNvPr id="11" name="直線コネクタ 10"/>
        <xdr:cNvCxnSpPr>
          <a:endCxn id="10" idx="0"/>
        </xdr:cNvCxnSpPr>
      </xdr:nvCxnSpPr>
      <xdr:spPr>
        <a:xfrm flipH="1" flipV="1">
          <a:off x="12207536" y="7554516"/>
          <a:ext cx="2437151" cy="13037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741817</xdr:colOff>
      <xdr:row>23</xdr:row>
      <xdr:rowOff>23812</xdr:rowOff>
    </xdr:from>
    <xdr:to>
      <xdr:col>15</xdr:col>
      <xdr:colOff>119062</xdr:colOff>
      <xdr:row>30</xdr:row>
      <xdr:rowOff>125016</xdr:rowOff>
    </xdr:to>
    <xdr:cxnSp macro="">
      <xdr:nvCxnSpPr>
        <xdr:cNvPr id="12" name="直線コネクタ 11"/>
        <xdr:cNvCxnSpPr>
          <a:endCxn id="10" idx="0"/>
        </xdr:cNvCxnSpPr>
      </xdr:nvCxnSpPr>
      <xdr:spPr>
        <a:xfrm flipH="1">
          <a:off x="12207536" y="6250781"/>
          <a:ext cx="2413339" cy="13037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443178</xdr:colOff>
      <xdr:row>5</xdr:row>
      <xdr:rowOff>117740</xdr:rowOff>
    </xdr:from>
    <xdr:to>
      <xdr:col>16</xdr:col>
      <xdr:colOff>109802</xdr:colOff>
      <xdr:row>13</xdr:row>
      <xdr:rowOff>11907</xdr:rowOff>
    </xdr:to>
    <xdr:sp macro="" textlink="">
      <xdr:nvSpPr>
        <xdr:cNvPr id="11" name="テキスト ボックス 10"/>
        <xdr:cNvSpPr txBox="1"/>
      </xdr:nvSpPr>
      <xdr:spPr>
        <a:xfrm>
          <a:off x="8051272" y="1355990"/>
          <a:ext cx="3988593" cy="1894417"/>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7200"/>
            </a:lnSpc>
          </a:pPr>
          <a:r>
            <a:rPr kumimoji="1" lang="ja-JP" altLang="en-US" sz="4800" b="1">
              <a:solidFill>
                <a:srgbClr val="FF0000"/>
              </a:solidFill>
              <a:latin typeface="メイリオ" panose="020B0604030504040204" pitchFamily="50" charset="-128"/>
              <a:ea typeface="メイリオ" panose="020B0604030504040204" pitchFamily="50" charset="-128"/>
            </a:rPr>
            <a:t>適合例１</a:t>
          </a:r>
          <a:endParaRPr kumimoji="1" lang="en-US" altLang="ja-JP" sz="4800" b="1">
            <a:solidFill>
              <a:srgbClr val="FF0000"/>
            </a:solidFill>
            <a:latin typeface="メイリオ" panose="020B0604030504040204" pitchFamily="50" charset="-128"/>
            <a:ea typeface="メイリオ" panose="020B0604030504040204" pitchFamily="50" charset="-128"/>
          </a:endParaRPr>
        </a:p>
        <a:p>
          <a:pPr algn="ctr"/>
          <a:r>
            <a:rPr kumimoji="1" lang="ja-JP" altLang="en-US" sz="1600" b="0">
              <a:solidFill>
                <a:srgbClr val="FF0000"/>
              </a:solidFill>
              <a:latin typeface="メイリオ" panose="020B0604030504040204" pitchFamily="50" charset="-128"/>
              <a:ea typeface="メイリオ" panose="020B0604030504040204" pitchFamily="50" charset="-128"/>
            </a:rPr>
            <a:t>サーバーの設置が無い場合</a:t>
          </a:r>
        </a:p>
      </xdr:txBody>
    </xdr:sp>
    <xdr:clientData/>
  </xdr:twoCellAnchor>
  <xdr:twoCellAnchor>
    <xdr:from>
      <xdr:col>7</xdr:col>
      <xdr:colOff>507999</xdr:colOff>
      <xdr:row>14</xdr:row>
      <xdr:rowOff>84666</xdr:rowOff>
    </xdr:from>
    <xdr:to>
      <xdr:col>11</xdr:col>
      <xdr:colOff>169333</xdr:colOff>
      <xdr:row>16</xdr:row>
      <xdr:rowOff>201083</xdr:rowOff>
    </xdr:to>
    <xdr:sp macro="" textlink="">
      <xdr:nvSpPr>
        <xdr:cNvPr id="12" name="楕円 11"/>
        <xdr:cNvSpPr/>
      </xdr:nvSpPr>
      <xdr:spPr>
        <a:xfrm>
          <a:off x="5259916" y="3799416"/>
          <a:ext cx="2518834" cy="7937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10</xdr:col>
      <xdr:colOff>158751</xdr:colOff>
      <xdr:row>11</xdr:row>
      <xdr:rowOff>214312</xdr:rowOff>
    </xdr:from>
    <xdr:to>
      <xdr:col>12</xdr:col>
      <xdr:colOff>464343</xdr:colOff>
      <xdr:row>14</xdr:row>
      <xdr:rowOff>137583</xdr:rowOff>
    </xdr:to>
    <xdr:cxnSp macro="">
      <xdr:nvCxnSpPr>
        <xdr:cNvPr id="14" name="直線矢印コネクタ 13"/>
        <xdr:cNvCxnSpPr/>
      </xdr:nvCxnSpPr>
      <xdr:spPr>
        <a:xfrm flipH="1">
          <a:off x="7552532" y="2952750"/>
          <a:ext cx="1508124" cy="971021"/>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1121833</xdr:colOff>
      <xdr:row>18</xdr:row>
      <xdr:rowOff>201085</xdr:rowOff>
    </xdr:from>
    <xdr:to>
      <xdr:col>7</xdr:col>
      <xdr:colOff>52916</xdr:colOff>
      <xdr:row>22</xdr:row>
      <xdr:rowOff>116418</xdr:rowOff>
    </xdr:to>
    <xdr:sp macro="" textlink="">
      <xdr:nvSpPr>
        <xdr:cNvPr id="16" name="楕円 15"/>
        <xdr:cNvSpPr/>
      </xdr:nvSpPr>
      <xdr:spPr>
        <a:xfrm>
          <a:off x="2921000" y="5259918"/>
          <a:ext cx="1883833" cy="1714500"/>
        </a:xfrm>
        <a:prstGeom prst="ellipse">
          <a:avLst/>
        </a:prstGeom>
        <a:noFill/>
        <a:ln w="38100" cap="flat" cmpd="sng" algn="ctr">
          <a:solidFill>
            <a:srgbClr val="FF0000"/>
          </a:solidFill>
          <a:prstDash val="dash"/>
          <a:miter lim="800000"/>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677333</xdr:colOff>
      <xdr:row>16</xdr:row>
      <xdr:rowOff>148166</xdr:rowOff>
    </xdr:from>
    <xdr:to>
      <xdr:col>8</xdr:col>
      <xdr:colOff>359833</xdr:colOff>
      <xdr:row>19</xdr:row>
      <xdr:rowOff>179916</xdr:rowOff>
    </xdr:to>
    <xdr:cxnSp macro="">
      <xdr:nvCxnSpPr>
        <xdr:cNvPr id="17" name="直線矢印コネクタ 16"/>
        <xdr:cNvCxnSpPr/>
      </xdr:nvCxnSpPr>
      <xdr:spPr>
        <a:xfrm flipH="1">
          <a:off x="4550833" y="4540249"/>
          <a:ext cx="1439333" cy="941917"/>
        </a:xfrm>
        <a:prstGeom prst="straightConnector1">
          <a:avLst/>
        </a:prstGeom>
        <a:noFill/>
        <a:ln w="38100" cap="flat" cmpd="sng" algn="ctr">
          <a:solidFill>
            <a:srgbClr val="FF0000"/>
          </a:solidFill>
          <a:prstDash val="solid"/>
          <a:miter lim="800000"/>
          <a:tailEnd type="triangle" w="lg" len="lg"/>
        </a:ln>
        <a:effectLst/>
      </xdr:spPr>
    </xdr:cxnSp>
    <xdr:clientData/>
  </xdr:twoCellAnchor>
  <xdr:twoCellAnchor>
    <xdr:from>
      <xdr:col>8</xdr:col>
      <xdr:colOff>148166</xdr:colOff>
      <xdr:row>18</xdr:row>
      <xdr:rowOff>211667</xdr:rowOff>
    </xdr:from>
    <xdr:to>
      <xdr:col>13</xdr:col>
      <xdr:colOff>349250</xdr:colOff>
      <xdr:row>21</xdr:row>
      <xdr:rowOff>402166</xdr:rowOff>
    </xdr:to>
    <xdr:sp macro="" textlink="">
      <xdr:nvSpPr>
        <xdr:cNvPr id="18" name="テキスト ボックス 17"/>
        <xdr:cNvSpPr txBox="1"/>
      </xdr:nvSpPr>
      <xdr:spPr>
        <a:xfrm>
          <a:off x="5778499" y="5270500"/>
          <a:ext cx="3989918" cy="1471083"/>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各項目を入力してください。</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事業所の区分は、プルダウンメニューより</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選択してください。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466990</xdr:colOff>
      <xdr:row>4</xdr:row>
      <xdr:rowOff>141552</xdr:rowOff>
    </xdr:from>
    <xdr:to>
      <xdr:col>16</xdr:col>
      <xdr:colOff>133614</xdr:colOff>
      <xdr:row>12</xdr:row>
      <xdr:rowOff>35719</xdr:rowOff>
    </xdr:to>
    <xdr:sp macro="" textlink="">
      <xdr:nvSpPr>
        <xdr:cNvPr id="2" name="テキスト ボックス 1"/>
        <xdr:cNvSpPr txBox="1"/>
      </xdr:nvSpPr>
      <xdr:spPr>
        <a:xfrm>
          <a:off x="8075084" y="1129771"/>
          <a:ext cx="3988593" cy="1894417"/>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7200"/>
            </a:lnSpc>
          </a:pPr>
          <a:r>
            <a:rPr kumimoji="1" lang="ja-JP" altLang="en-US" sz="4800" b="1">
              <a:solidFill>
                <a:srgbClr val="FF0000"/>
              </a:solidFill>
              <a:latin typeface="メイリオ" panose="020B0604030504040204" pitchFamily="50" charset="-128"/>
              <a:ea typeface="メイリオ" panose="020B0604030504040204" pitchFamily="50" charset="-128"/>
            </a:rPr>
            <a:t>適合例２</a:t>
          </a:r>
          <a:endParaRPr kumimoji="1" lang="en-US" altLang="ja-JP" sz="4800" b="1">
            <a:solidFill>
              <a:srgbClr val="FF0000"/>
            </a:solidFill>
            <a:latin typeface="メイリオ" panose="020B0604030504040204" pitchFamily="50" charset="-128"/>
            <a:ea typeface="メイリオ" panose="020B0604030504040204" pitchFamily="50" charset="-128"/>
          </a:endParaRPr>
        </a:p>
        <a:p>
          <a:pPr algn="ctr"/>
          <a:r>
            <a:rPr kumimoji="1" lang="ja-JP" altLang="en-US" sz="1600" b="0">
              <a:solidFill>
                <a:srgbClr val="FF0000"/>
              </a:solidFill>
              <a:latin typeface="メイリオ" panose="020B0604030504040204" pitchFamily="50" charset="-128"/>
              <a:ea typeface="メイリオ" panose="020B0604030504040204" pitchFamily="50" charset="-128"/>
            </a:rPr>
            <a:t>サーバーの設置が有る場合</a:t>
          </a:r>
        </a:p>
      </xdr:txBody>
    </xdr:sp>
    <xdr:clientData/>
  </xdr:twoCellAnchor>
  <xdr:twoCellAnchor>
    <xdr:from>
      <xdr:col>7</xdr:col>
      <xdr:colOff>497416</xdr:colOff>
      <xdr:row>14</xdr:row>
      <xdr:rowOff>52917</xdr:rowOff>
    </xdr:from>
    <xdr:to>
      <xdr:col>11</xdr:col>
      <xdr:colOff>137583</xdr:colOff>
      <xdr:row>16</xdr:row>
      <xdr:rowOff>264584</xdr:rowOff>
    </xdr:to>
    <xdr:sp macro="" textlink="">
      <xdr:nvSpPr>
        <xdr:cNvPr id="3" name="楕円 2"/>
        <xdr:cNvSpPr/>
      </xdr:nvSpPr>
      <xdr:spPr>
        <a:xfrm>
          <a:off x="5249333" y="3767667"/>
          <a:ext cx="2497667" cy="88900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10</xdr:col>
      <xdr:colOff>156105</xdr:colOff>
      <xdr:row>10</xdr:row>
      <xdr:rowOff>202406</xdr:rowOff>
    </xdr:from>
    <xdr:to>
      <xdr:col>12</xdr:col>
      <xdr:colOff>642937</xdr:colOff>
      <xdr:row>14</xdr:row>
      <xdr:rowOff>224896</xdr:rowOff>
    </xdr:to>
    <xdr:cxnSp macro="">
      <xdr:nvCxnSpPr>
        <xdr:cNvPr id="4" name="直線矢印コネクタ 3"/>
        <xdr:cNvCxnSpPr/>
      </xdr:nvCxnSpPr>
      <xdr:spPr>
        <a:xfrm flipH="1">
          <a:off x="7549886" y="2690812"/>
          <a:ext cx="1689364" cy="1320272"/>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42334</xdr:colOff>
      <xdr:row>28</xdr:row>
      <xdr:rowOff>31749</xdr:rowOff>
    </xdr:from>
    <xdr:to>
      <xdr:col>6</xdr:col>
      <xdr:colOff>762000</xdr:colOff>
      <xdr:row>32</xdr:row>
      <xdr:rowOff>31749</xdr:rowOff>
    </xdr:to>
    <xdr:sp macro="" textlink="">
      <xdr:nvSpPr>
        <xdr:cNvPr id="5" name="楕円 4"/>
        <xdr:cNvSpPr/>
      </xdr:nvSpPr>
      <xdr:spPr>
        <a:xfrm>
          <a:off x="3037417" y="9175749"/>
          <a:ext cx="1598083" cy="2074333"/>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444500</xdr:colOff>
      <xdr:row>16</xdr:row>
      <xdr:rowOff>275167</xdr:rowOff>
    </xdr:from>
    <xdr:to>
      <xdr:col>8</xdr:col>
      <xdr:colOff>497416</xdr:colOff>
      <xdr:row>28</xdr:row>
      <xdr:rowOff>190500</xdr:rowOff>
    </xdr:to>
    <xdr:cxnSp macro="">
      <xdr:nvCxnSpPr>
        <xdr:cNvPr id="6" name="直線矢印コネクタ 5"/>
        <xdr:cNvCxnSpPr/>
      </xdr:nvCxnSpPr>
      <xdr:spPr>
        <a:xfrm flipH="1">
          <a:off x="4318000" y="4667250"/>
          <a:ext cx="1809749" cy="4667250"/>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xdr:colOff>
      <xdr:row>21</xdr:row>
      <xdr:rowOff>158750</xdr:rowOff>
    </xdr:from>
    <xdr:to>
      <xdr:col>9</xdr:col>
      <xdr:colOff>328424</xdr:colOff>
      <xdr:row>23</xdr:row>
      <xdr:rowOff>89959</xdr:rowOff>
    </xdr:to>
    <xdr:sp macro="" textlink="">
      <xdr:nvSpPr>
        <xdr:cNvPr id="10" name="テキスト ボックス 9"/>
        <xdr:cNvSpPr txBox="1"/>
      </xdr:nvSpPr>
      <xdr:spPr>
        <a:xfrm>
          <a:off x="3884083" y="6498167"/>
          <a:ext cx="2953091" cy="968375"/>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各項目を入力してください。</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事業所の区分は、固定です。</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300;\200_&#20491;&#20154;&#29992;\&#21644;&#30000;\&#9670;&#25563;&#27671;&#37327;&#12539;&#30465;&#12456;&#12493;&#35336;&#31639;&#12471;&#12540;&#12488;&#65288;R4_Ver5.5&#65289;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1.換気～比較表(適合例)"/>
      <sheetName val="1.換気～比較表(入力不足)"/>
      <sheetName val="1.換気～比較表 (不適合)"/>
      <sheetName val="2-3.設備仕様入力(適合例)"/>
      <sheetName val="2-3.設備仕様入力 (入力不足)"/>
      <sheetName val="2-3.設備仕様入力 (不適合)"/>
      <sheetName val="4.エネルギー使用量(適合例)"/>
      <sheetName val="4.エネルギー使用量 (入力不足)"/>
      <sheetName val="計算"/>
      <sheetName val="計算式"/>
      <sheetName val="4.エネルギー使用量 (不適合)"/>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38100">
          <a:solidFill>
            <a:srgbClr val="FFC000"/>
          </a:solidFill>
        </a:ln>
      </a:spPr>
      <a:bodyPr vertOverflow="clip" horzOverflow="clip" rtlCol="0" anchor="ctr"/>
      <a:lstStyle>
        <a:defPPr algn="l">
          <a:defRPr kumimoji="1" sz="1400">
            <a:solidFill>
              <a:sysClr val="windowText" lastClr="000000"/>
            </a:solidFill>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D76"/>
  <sheetViews>
    <sheetView zoomScale="90" zoomScaleNormal="90" workbookViewId="0">
      <selection activeCell="J29" sqref="J29"/>
    </sheetView>
  </sheetViews>
  <sheetFormatPr defaultColWidth="8.796875" defaultRowHeight="18.75" x14ac:dyDescent="0.45"/>
  <cols>
    <col min="1" max="1" width="8.796875" style="5"/>
    <col min="2" max="2" width="22.19921875" style="5" customWidth="1"/>
    <col min="3" max="3" width="10.296875" style="5" customWidth="1"/>
    <col min="4" max="4" width="8.59765625" style="5" bestFit="1" customWidth="1"/>
    <col min="5" max="5" width="10.5" style="8" bestFit="1" customWidth="1"/>
    <col min="6" max="6" width="11.3984375" style="5" bestFit="1" customWidth="1"/>
    <col min="7" max="7" width="7" style="5" customWidth="1"/>
    <col min="8" max="9" width="5.296875" style="5" customWidth="1"/>
    <col min="10" max="10" width="7.8984375" style="5" customWidth="1"/>
    <col min="11" max="11" width="9.3984375" style="5" bestFit="1" customWidth="1"/>
    <col min="12" max="13" width="8.796875" style="5"/>
    <col min="14" max="14" width="13.8984375" style="5" customWidth="1"/>
    <col min="15" max="15" width="11.8984375" style="5" customWidth="1"/>
    <col min="16" max="16" width="19.09765625" style="5" customWidth="1"/>
    <col min="17" max="17" width="16.09765625" style="5" customWidth="1"/>
    <col min="18" max="19" width="19.3984375" style="5" customWidth="1"/>
    <col min="20" max="20" width="14.296875" style="5" customWidth="1"/>
    <col min="21" max="21" width="23" style="5" customWidth="1"/>
    <col min="22" max="22" width="11.19921875" style="5" customWidth="1"/>
    <col min="23" max="23" width="8.796875" style="5"/>
    <col min="24" max="24" width="13.796875" style="5" customWidth="1"/>
    <col min="25" max="25" width="15.19921875" style="5" customWidth="1"/>
    <col min="26" max="26" width="16.8984375" style="5" customWidth="1"/>
    <col min="27" max="27" width="12.19921875" style="5" customWidth="1"/>
    <col min="28" max="28" width="12.296875" style="5" customWidth="1"/>
    <col min="29" max="16384" width="8.796875" style="5"/>
  </cols>
  <sheetData>
    <row r="1" spans="1:29" ht="19.5" thickBot="1" x14ac:dyDescent="0.5">
      <c r="J1" s="357" t="s">
        <v>161</v>
      </c>
      <c r="K1" s="357"/>
    </row>
    <row r="2" spans="1:29" x14ac:dyDescent="0.45">
      <c r="B2" s="5" t="s">
        <v>82</v>
      </c>
      <c r="C2" s="5" t="s">
        <v>81</v>
      </c>
      <c r="I2" s="86" t="s">
        <v>447</v>
      </c>
      <c r="J2" s="18" t="s">
        <v>20</v>
      </c>
      <c r="K2" s="17" t="s">
        <v>19</v>
      </c>
      <c r="N2" s="5" t="s">
        <v>80</v>
      </c>
      <c r="Q2" s="226" t="s">
        <v>514</v>
      </c>
      <c r="Y2" s="119" t="s">
        <v>262</v>
      </c>
      <c r="Z2" s="5" t="s">
        <v>269</v>
      </c>
    </row>
    <row r="3" spans="1:29" x14ac:dyDescent="0.45">
      <c r="B3" s="5" t="s">
        <v>79</v>
      </c>
      <c r="C3" s="6">
        <v>9.76</v>
      </c>
      <c r="D3" s="5" t="s">
        <v>78</v>
      </c>
      <c r="E3" s="5">
        <v>0.48899999999999999</v>
      </c>
      <c r="F3" s="5" t="s">
        <v>77</v>
      </c>
      <c r="I3" s="86" t="s">
        <v>449</v>
      </c>
      <c r="J3" s="19">
        <f>IF(ISERROR('4.エネルギー使用量（適合例）'!$O$23/1000*$C$3*$C$7),"",ROUND('4.エネルギー使用量（適合例）'!$O$23/1000*$C$3*$C$7,2))</f>
        <v>3.42</v>
      </c>
      <c r="K3" s="13">
        <f>IF(ISERROR('4.エネルギー使用量（適合例）'!$O$23/1000*$E$3),"",ROUND('4.エネルギー使用量（適合例）'!$O$23/1000*$E$3,2))</f>
        <v>6.64</v>
      </c>
      <c r="N3" s="5" t="s">
        <v>76</v>
      </c>
      <c r="O3" s="5" t="s">
        <v>177</v>
      </c>
      <c r="Q3" s="5" t="s">
        <v>259</v>
      </c>
      <c r="R3" s="5" t="s">
        <v>104</v>
      </c>
      <c r="S3" s="5" t="s">
        <v>104</v>
      </c>
      <c r="T3" s="5" t="s">
        <v>105</v>
      </c>
      <c r="U3" s="3" t="s">
        <v>104</v>
      </c>
      <c r="V3" s="3" t="s">
        <v>211</v>
      </c>
      <c r="X3" s="5" t="s">
        <v>106</v>
      </c>
      <c r="Y3" s="119" t="s">
        <v>107</v>
      </c>
      <c r="Z3" s="5" t="s">
        <v>107</v>
      </c>
      <c r="AA3" s="5" t="s">
        <v>76</v>
      </c>
      <c r="AB3" s="5" t="s">
        <v>226</v>
      </c>
      <c r="AC3" s="5" t="s">
        <v>241</v>
      </c>
    </row>
    <row r="4" spans="1:29" ht="23.25" thickBot="1" x14ac:dyDescent="0.5">
      <c r="A4" s="234" t="s">
        <v>501</v>
      </c>
      <c r="B4" s="5" t="s">
        <v>502</v>
      </c>
      <c r="C4" s="6">
        <v>1.36</v>
      </c>
      <c r="D4" s="5" t="s">
        <v>75</v>
      </c>
      <c r="E4" s="5">
        <v>5.7000000000000002E-2</v>
      </c>
      <c r="F4" s="5" t="s">
        <v>74</v>
      </c>
      <c r="N4" s="5" t="s">
        <v>73</v>
      </c>
      <c r="O4" s="5" t="s">
        <v>175</v>
      </c>
      <c r="Q4" s="5" t="s">
        <v>513</v>
      </c>
      <c r="R4" s="5" t="s">
        <v>192</v>
      </c>
      <c r="S4" s="5" t="s">
        <v>192</v>
      </c>
      <c r="T4" s="5" t="s">
        <v>83</v>
      </c>
      <c r="U4" s="3" t="s">
        <v>14</v>
      </c>
      <c r="V4" s="5" t="s">
        <v>244</v>
      </c>
      <c r="X4" s="5" t="s">
        <v>163</v>
      </c>
      <c r="Y4" s="119" t="s">
        <v>90</v>
      </c>
      <c r="Z4" s="5" t="s">
        <v>90</v>
      </c>
      <c r="AA4" s="5" t="s">
        <v>89</v>
      </c>
      <c r="AB4" s="5" t="s">
        <v>227</v>
      </c>
      <c r="AC4" s="105">
        <v>0.9</v>
      </c>
    </row>
    <row r="5" spans="1:29" ht="22.5" x14ac:dyDescent="0.45">
      <c r="B5" s="20" t="s">
        <v>503</v>
      </c>
      <c r="C5" s="6">
        <v>1.02</v>
      </c>
      <c r="D5" s="5" t="s">
        <v>72</v>
      </c>
      <c r="E5" s="5">
        <v>0.06</v>
      </c>
      <c r="F5" s="5" t="s">
        <v>71</v>
      </c>
      <c r="I5" s="86" t="s">
        <v>448</v>
      </c>
      <c r="J5" s="18" t="s">
        <v>20</v>
      </c>
      <c r="K5" s="17" t="s">
        <v>19</v>
      </c>
      <c r="N5" s="5" t="s">
        <v>70</v>
      </c>
      <c r="O5" s="5" t="s">
        <v>176</v>
      </c>
      <c r="Q5" s="5" t="s">
        <v>441</v>
      </c>
      <c r="R5" s="5" t="s">
        <v>193</v>
      </c>
      <c r="T5" s="5" t="s">
        <v>84</v>
      </c>
      <c r="U5" s="3" t="s">
        <v>15</v>
      </c>
      <c r="V5" s="5" t="s">
        <v>245</v>
      </c>
      <c r="X5" s="5" t="s">
        <v>171</v>
      </c>
      <c r="Y5" s="119" t="s">
        <v>101</v>
      </c>
      <c r="Z5" s="5" t="s">
        <v>101</v>
      </c>
      <c r="AA5" s="5" t="s">
        <v>73</v>
      </c>
      <c r="AB5" s="5" t="s">
        <v>228</v>
      </c>
      <c r="AC5" s="105">
        <v>2.6</v>
      </c>
    </row>
    <row r="6" spans="1:29" ht="22.5" x14ac:dyDescent="0.45">
      <c r="B6" s="20" t="s">
        <v>504</v>
      </c>
      <c r="C6" s="6">
        <v>1.36</v>
      </c>
      <c r="D6" s="5" t="s">
        <v>72</v>
      </c>
      <c r="E6" s="5">
        <v>5.7000000000000002E-2</v>
      </c>
      <c r="F6" s="5" t="s">
        <v>71</v>
      </c>
      <c r="I6" s="86" t="s">
        <v>453</v>
      </c>
      <c r="J6" s="14">
        <f>IF(ISERROR('4.エネルギー使用量（適合例）'!$O$35/1000*$C$10*$C$7*$C$15),"",ROUND('4.エネルギー使用量（適合例）'!$O$35/1000*$C$10*$C$7*$C$15,2))</f>
        <v>1.37</v>
      </c>
      <c r="K6" s="13">
        <f>IF(ISERROR('4.エネルギー使用量（適合例）'!$O$35/1000*$C$10*$E$10*$E$7),"",ROUND('4.エネルギー使用量（適合例）'!$O$35/1000*$C$10*$E$10*$E$7,2))</f>
        <v>2.74</v>
      </c>
      <c r="L6" s="5" t="s">
        <v>454</v>
      </c>
      <c r="N6" s="5" t="s">
        <v>41</v>
      </c>
      <c r="O6" s="199" t="s">
        <v>441</v>
      </c>
      <c r="Q6" s="5" t="s">
        <v>491</v>
      </c>
      <c r="R6" s="5" t="s">
        <v>6</v>
      </c>
      <c r="S6" s="5" t="s">
        <v>6</v>
      </c>
      <c r="T6" s="5" t="s">
        <v>85</v>
      </c>
      <c r="U6" s="3" t="s">
        <v>17</v>
      </c>
      <c r="V6" s="5" t="s">
        <v>246</v>
      </c>
      <c r="X6" s="5" t="s">
        <v>94</v>
      </c>
      <c r="Y6" s="119" t="s">
        <v>100</v>
      </c>
      <c r="Z6" s="5" t="s">
        <v>100</v>
      </c>
      <c r="AA6" s="5" t="s">
        <v>70</v>
      </c>
      <c r="AB6" s="5" t="s">
        <v>229</v>
      </c>
      <c r="AC6" s="105">
        <v>1.5</v>
      </c>
    </row>
    <row r="7" spans="1:29" ht="22.5" x14ac:dyDescent="0.45">
      <c r="B7" s="5" t="s">
        <v>69</v>
      </c>
      <c r="C7" s="8">
        <v>2.58E-2</v>
      </c>
      <c r="D7" s="5" t="s">
        <v>68</v>
      </c>
      <c r="E7" s="5">
        <f>44/12</f>
        <v>3.6666666666666665</v>
      </c>
      <c r="F7" s="5" t="s">
        <v>67</v>
      </c>
      <c r="I7" s="86" t="s">
        <v>451</v>
      </c>
      <c r="J7" s="14">
        <f>IF(ISERROR('4.エネルギー使用量（適合例）'!$O$35/$G$11*$C$11*$C$7),"",ROUND('4.エネルギー使用量（適合例）'!$O$35/$G$11*$C$11*$C$7,2))</f>
        <v>3.32</v>
      </c>
      <c r="K7" s="13">
        <f>IF(ISERROR('4.エネルギー使用量（適合例）'!$O$35/$G$11*$C$11*$E$11*$E$7),"",ROUND('4.エネルギー使用量（適合例）'!$O$35/$G$11*$C$11*$E$11*$E$7,2))</f>
        <v>7.6</v>
      </c>
      <c r="L7" s="62">
        <f>IF(ISERROR('4.エネルギー使用量（適合例）'!$O$35/1000*$C$11*$C$7),"",'4.エネルギー使用量（適合例）'!$O$35/1000*$C$11*$C$7)</f>
        <v>1.6016020799999999</v>
      </c>
      <c r="M7" s="5" t="s">
        <v>256</v>
      </c>
      <c r="N7" s="5" t="s">
        <v>66</v>
      </c>
      <c r="O7" s="5" t="s">
        <v>177</v>
      </c>
      <c r="Q7" s="5" t="s">
        <v>492</v>
      </c>
      <c r="R7" s="5" t="s">
        <v>194</v>
      </c>
      <c r="S7" s="5" t="s">
        <v>194</v>
      </c>
      <c r="T7" s="3" t="s">
        <v>86</v>
      </c>
      <c r="Y7" s="119" t="s">
        <v>99</v>
      </c>
      <c r="Z7" s="5" t="s">
        <v>99</v>
      </c>
      <c r="AA7" s="5" t="s">
        <v>41</v>
      </c>
      <c r="AB7" s="5" t="s">
        <v>230</v>
      </c>
      <c r="AC7" s="105">
        <v>1</v>
      </c>
    </row>
    <row r="8" spans="1:29" ht="22.5" x14ac:dyDescent="0.45">
      <c r="I8" s="86" t="s">
        <v>452</v>
      </c>
      <c r="J8" s="14">
        <f>IF(ISERROR('4.エネルギー使用量（適合例）'!$O$35*$C$28*$C$12*$C$7),"",ROUND('4.エネルギー使用量（適合例）'!$O$35*$C$28*$C$12*$C$7,2))</f>
        <v>0.78</v>
      </c>
      <c r="K8" s="13">
        <f>IF(ISERROR('4.エネルギー使用量（適合例）'!$O$35*$C$28*$C$12*$E$12*$E$7),"",ROUND('4.エネルギー使用量（適合例）'!$O$35*$C$28*$C$12*$E$12*$E$7,2))</f>
        <v>1.51</v>
      </c>
      <c r="N8" s="5" t="s">
        <v>42</v>
      </c>
      <c r="O8" s="5" t="s">
        <v>442</v>
      </c>
      <c r="Q8" s="5" t="s">
        <v>493</v>
      </c>
      <c r="R8" s="5" t="s">
        <v>195</v>
      </c>
      <c r="S8" s="5" t="s">
        <v>195</v>
      </c>
      <c r="Y8" s="119" t="s">
        <v>98</v>
      </c>
      <c r="Z8" s="5" t="s">
        <v>263</v>
      </c>
      <c r="AA8" s="5" t="s">
        <v>66</v>
      </c>
      <c r="AB8" s="5" t="s">
        <v>11</v>
      </c>
      <c r="AC8" s="105">
        <v>1.2</v>
      </c>
    </row>
    <row r="9" spans="1:29" x14ac:dyDescent="0.45">
      <c r="C9" s="5" t="s">
        <v>65</v>
      </c>
      <c r="I9" s="86" t="s">
        <v>455</v>
      </c>
      <c r="J9" s="14">
        <f>IF(ISERROR('4.エネルギー使用量（適合例）'!$O$35/1000*$C$13*$C$7),"",ROUND('4.エネルギー使用量（適合例）'!$O$35/1000*$C$13*$C$7,2))</f>
        <v>1.42</v>
      </c>
      <c r="K9" s="13">
        <f>IF(ISERROR('4.エネルギー使用量（適合例）'!$O$35/1000*$C$12*$E$12*$E$7),"",ROUND('4.エネルギー使用量（適合例）'!$O$35/1000*$C$12*$E$12*$E$7,2))</f>
        <v>3.3</v>
      </c>
      <c r="O9" s="200" t="s">
        <v>450</v>
      </c>
      <c r="Q9" s="5" t="s">
        <v>494</v>
      </c>
      <c r="Y9" s="119" t="s">
        <v>97</v>
      </c>
      <c r="Z9" s="5" t="s">
        <v>266</v>
      </c>
      <c r="AA9" s="5" t="s">
        <v>42</v>
      </c>
    </row>
    <row r="10" spans="1:29" ht="19.5" thickBot="1" x14ac:dyDescent="0.5">
      <c r="B10" s="5" t="s">
        <v>64</v>
      </c>
      <c r="C10" s="12">
        <v>45</v>
      </c>
      <c r="D10" s="5" t="s">
        <v>57</v>
      </c>
      <c r="E10" s="8">
        <v>1.3599999999999999E-2</v>
      </c>
      <c r="F10" s="5" t="s">
        <v>54</v>
      </c>
      <c r="I10" s="86" t="s">
        <v>456</v>
      </c>
      <c r="J10" s="11">
        <f>IF(ISERROR('4.エネルギー使用量（適合例）'!$O$35/1000*$C$14*$C$7),"",ROUND('4.エネルギー使用量（適合例）'!$O$35/1000*$C$14*$C$7,2))</f>
        <v>1.37</v>
      </c>
      <c r="K10" s="10">
        <f>IF(ISERROR('4.エネルギー使用量（適合例）'!$O$35/1000*$C$14*$E$14*$E$7),"",ROUND('4.エネルギー使用量（適合例）'!$O$35/1000*$C$14*$E$14*$E$7,2))</f>
        <v>2.71</v>
      </c>
      <c r="O10" s="5" t="s">
        <v>177</v>
      </c>
      <c r="Q10" s="5" t="s">
        <v>495</v>
      </c>
      <c r="Y10" s="119" t="s">
        <v>96</v>
      </c>
      <c r="Z10" s="5" t="s">
        <v>97</v>
      </c>
    </row>
    <row r="11" spans="1:29" x14ac:dyDescent="0.45">
      <c r="B11" s="5" t="s">
        <v>63</v>
      </c>
      <c r="C11" s="12">
        <v>50.8</v>
      </c>
      <c r="D11" s="5" t="s">
        <v>60</v>
      </c>
      <c r="E11" s="8">
        <v>1.61E-2</v>
      </c>
      <c r="F11" s="5" t="s">
        <v>54</v>
      </c>
      <c r="G11" s="7">
        <v>482</v>
      </c>
      <c r="H11" s="5" t="s">
        <v>62</v>
      </c>
      <c r="O11" s="5" t="s">
        <v>442</v>
      </c>
      <c r="Q11" s="5" t="s">
        <v>496</v>
      </c>
      <c r="Y11" s="119" t="s">
        <v>95</v>
      </c>
      <c r="Z11" s="5" t="s">
        <v>96</v>
      </c>
    </row>
    <row r="12" spans="1:29" x14ac:dyDescent="0.45">
      <c r="B12" s="5" t="s">
        <v>61</v>
      </c>
      <c r="C12" s="12">
        <v>54.6</v>
      </c>
      <c r="D12" s="5" t="s">
        <v>60</v>
      </c>
      <c r="E12" s="8">
        <v>1.35E-2</v>
      </c>
      <c r="F12" s="5" t="s">
        <v>54</v>
      </c>
      <c r="G12" s="5">
        <f>1000/G11</f>
        <v>2.0746887966804981</v>
      </c>
      <c r="O12" s="5" t="s">
        <v>461</v>
      </c>
      <c r="Q12" s="5" t="s">
        <v>497</v>
      </c>
      <c r="Z12" s="5" t="s">
        <v>264</v>
      </c>
    </row>
    <row r="13" spans="1:29" ht="19.5" x14ac:dyDescent="0.45">
      <c r="B13" s="5" t="s">
        <v>59</v>
      </c>
      <c r="C13" s="12">
        <v>44.9</v>
      </c>
      <c r="D13" s="5" t="s">
        <v>57</v>
      </c>
      <c r="E13" s="8">
        <v>1.4200000000000001E-2</v>
      </c>
      <c r="F13" s="5" t="s">
        <v>54</v>
      </c>
      <c r="G13" s="44" t="s">
        <v>169</v>
      </c>
      <c r="N13" s="3" t="s">
        <v>103</v>
      </c>
      <c r="O13" s="3"/>
      <c r="P13" s="3"/>
      <c r="Z13" s="5" t="s">
        <v>265</v>
      </c>
    </row>
    <row r="14" spans="1:29" ht="19.5" x14ac:dyDescent="0.45">
      <c r="B14" s="5" t="s">
        <v>58</v>
      </c>
      <c r="C14" s="12">
        <v>43.5</v>
      </c>
      <c r="D14" s="5" t="s">
        <v>57</v>
      </c>
      <c r="E14" s="8">
        <v>1.3899999999999999E-2</v>
      </c>
      <c r="F14" s="5" t="s">
        <v>54</v>
      </c>
      <c r="G14" s="44" t="s">
        <v>170</v>
      </c>
      <c r="N14" s="120" t="s">
        <v>102</v>
      </c>
      <c r="O14" s="120"/>
      <c r="P14" s="120"/>
      <c r="Z14" s="5" t="s">
        <v>95</v>
      </c>
    </row>
    <row r="15" spans="1:29" ht="20.25" thickBot="1" x14ac:dyDescent="0.5">
      <c r="B15" s="5" t="s">
        <v>248</v>
      </c>
      <c r="C15" s="5">
        <v>0.9666547347078589</v>
      </c>
      <c r="J15" s="6"/>
      <c r="K15" s="6"/>
      <c r="N15" s="54"/>
      <c r="O15" s="54" t="s">
        <v>93</v>
      </c>
      <c r="P15" s="54" t="s">
        <v>92</v>
      </c>
      <c r="Q15" s="3"/>
      <c r="R15" s="50" t="s">
        <v>172</v>
      </c>
      <c r="U15" s="43" t="s">
        <v>105</v>
      </c>
    </row>
    <row r="16" spans="1:29" ht="19.5" x14ac:dyDescent="0.45">
      <c r="I16" s="86" t="s">
        <v>457</v>
      </c>
      <c r="J16" s="16" t="s">
        <v>20</v>
      </c>
      <c r="K16" s="15" t="s">
        <v>19</v>
      </c>
      <c r="N16" s="54" t="s">
        <v>90</v>
      </c>
      <c r="O16" s="54">
        <v>800</v>
      </c>
      <c r="P16" s="54">
        <v>400</v>
      </c>
      <c r="Q16" s="3"/>
      <c r="U16" s="43" t="s">
        <v>83</v>
      </c>
    </row>
    <row r="17" spans="2:30" ht="19.5" x14ac:dyDescent="0.45">
      <c r="B17" s="5" t="s">
        <v>56</v>
      </c>
      <c r="C17" s="12">
        <v>38.200000000000003</v>
      </c>
      <c r="D17" s="5" t="s">
        <v>55</v>
      </c>
      <c r="E17" s="8">
        <v>1.8700000000000001E-2</v>
      </c>
      <c r="F17" s="5" t="s">
        <v>54</v>
      </c>
      <c r="I17" s="86" t="s">
        <v>89</v>
      </c>
      <c r="J17" s="19">
        <f>IF(ISERROR('4.エネルギー使用量（適合例）'!$O$46/1000*$C$3*$C$7),"",ROUND('4.エネルギー使用量（適合例）'!$O$46/1000*$C$3*$C$7,2))</f>
        <v>47.48</v>
      </c>
      <c r="K17" s="13">
        <f>IF(ISERROR('4.エネルギー使用量（適合例）'!$O$23/1000*$E$3),"",ROUND('4.エネルギー使用量（適合例）'!$O$23/1000*$E$3,2))</f>
        <v>6.64</v>
      </c>
      <c r="N17" s="54" t="s">
        <v>101</v>
      </c>
      <c r="O17" s="54">
        <v>900</v>
      </c>
      <c r="P17" s="54">
        <v>400</v>
      </c>
      <c r="Q17" s="3"/>
      <c r="R17" s="50" t="s">
        <v>128</v>
      </c>
      <c r="S17" s="43"/>
      <c r="T17" s="43" t="s">
        <v>129</v>
      </c>
      <c r="U17" s="43" t="s">
        <v>84</v>
      </c>
    </row>
    <row r="18" spans="2:30" ht="19.5" x14ac:dyDescent="0.45">
      <c r="B18" s="5" t="s">
        <v>53</v>
      </c>
      <c r="C18" s="12">
        <v>36.700000000000003</v>
      </c>
      <c r="D18" s="5" t="s">
        <v>49</v>
      </c>
      <c r="E18" s="8">
        <v>1.8499999999999999E-2</v>
      </c>
      <c r="F18" s="5" t="s">
        <v>48</v>
      </c>
      <c r="I18" s="86" t="s">
        <v>453</v>
      </c>
      <c r="J18" s="14">
        <f>IF(ISERROR('4.エネルギー使用量（適合例）'!$O$46/1000*$C$10*$C$7*$C$15),"",ROUND('4.エネルギー使用量（適合例）'!$O$46/1000*$C$10*$C$7*$C$15,2))</f>
        <v>211.59</v>
      </c>
      <c r="K18" s="13">
        <f>IF(ISERROR('4.エネルギー使用量（適合例）'!$O$35/1000*$C$10*$E$10*$E$7),"",ROUND('4.エネルギー使用量（適合例）'!$O$35/1000*$C$10*$E$10*$E$7,2))</f>
        <v>2.74</v>
      </c>
      <c r="L18" s="5" t="s">
        <v>454</v>
      </c>
      <c r="N18" s="54" t="s">
        <v>100</v>
      </c>
      <c r="O18" s="54">
        <v>1000</v>
      </c>
      <c r="P18" s="54">
        <v>500</v>
      </c>
      <c r="Q18" s="3"/>
      <c r="R18" s="50" t="s">
        <v>131</v>
      </c>
      <c r="S18" s="43"/>
      <c r="T18" s="43" t="s">
        <v>132</v>
      </c>
      <c r="U18" s="43" t="s">
        <v>85</v>
      </c>
    </row>
    <row r="19" spans="2:30" ht="19.5" x14ac:dyDescent="0.45">
      <c r="B19" s="5" t="s">
        <v>52</v>
      </c>
      <c r="C19" s="12">
        <v>37.700000000000003</v>
      </c>
      <c r="D19" s="5" t="s">
        <v>49</v>
      </c>
      <c r="E19" s="8">
        <v>1.8700000000000001E-2</v>
      </c>
      <c r="F19" s="5" t="s">
        <v>48</v>
      </c>
      <c r="I19" s="86" t="s">
        <v>186</v>
      </c>
      <c r="J19" s="19">
        <f>IF(ISERROR('4.エネルギー使用量（適合例）'!$O$46/1000*$C$4*$C$7),"",ROUND('4.エネルギー使用量（適合例）'!$O$46/1000*$C$4*$C$7,2))</f>
        <v>6.62</v>
      </c>
      <c r="K19" s="13">
        <f>IF(ISERROR('4.エネルギー使用量（適合例）'!$O$46/1000*$C$4*$E$4),"",ROUND('4.エネルギー使用量（適合例）'!$O$46/1000*$C$4*$E$4,2))</f>
        <v>14.62</v>
      </c>
      <c r="L19" s="86"/>
      <c r="N19" s="54" t="s">
        <v>99</v>
      </c>
      <c r="O19" s="54">
        <v>1000</v>
      </c>
      <c r="P19" s="54">
        <v>1200</v>
      </c>
      <c r="Q19" s="3"/>
      <c r="R19" s="50" t="s">
        <v>134</v>
      </c>
      <c r="S19" s="43"/>
      <c r="T19" s="43"/>
      <c r="U19" s="43" t="s">
        <v>86</v>
      </c>
    </row>
    <row r="20" spans="2:30" ht="19.5" x14ac:dyDescent="0.45">
      <c r="B20" s="5" t="s">
        <v>51</v>
      </c>
      <c r="C20" s="12">
        <v>39.1</v>
      </c>
      <c r="D20" s="5" t="s">
        <v>49</v>
      </c>
      <c r="E20" s="8">
        <v>1.89E-2</v>
      </c>
      <c r="F20" s="5" t="s">
        <v>48</v>
      </c>
      <c r="I20" s="86" t="s">
        <v>187</v>
      </c>
      <c r="J20" s="19">
        <f>IF(ISERROR('4.エネルギー使用量（適合例）'!$O$46/1000*$C$5*$C$7),"",ROUND('4.エネルギー使用量（適合例）'!$O$46/1000*$C$5*$C$7,2))</f>
        <v>4.96</v>
      </c>
      <c r="K20" s="13">
        <f>IF(ISERROR('4.エネルギー使用量（適合例）'!$O$46/1000*$C$5*$E$5),"",ROUND('4.エネルギー使用量（適合例）'!$O$46/1000*$C$5*$E$5,2))</f>
        <v>11.54</v>
      </c>
      <c r="N20" s="54" t="s">
        <v>263</v>
      </c>
      <c r="O20" s="54">
        <v>400</v>
      </c>
      <c r="P20" s="54">
        <v>500</v>
      </c>
      <c r="Q20" s="3"/>
      <c r="R20" s="50" t="s">
        <v>135</v>
      </c>
      <c r="S20" s="43"/>
      <c r="T20" s="43" t="s">
        <v>482</v>
      </c>
      <c r="U20" s="43" t="s">
        <v>489</v>
      </c>
    </row>
    <row r="21" spans="2:30" ht="19.5" x14ac:dyDescent="0.45">
      <c r="B21" s="5" t="s">
        <v>50</v>
      </c>
      <c r="C21" s="12">
        <v>41.9</v>
      </c>
      <c r="D21" s="5" t="s">
        <v>49</v>
      </c>
      <c r="E21" s="8">
        <v>1.95E-2</v>
      </c>
      <c r="F21" s="5" t="s">
        <v>48</v>
      </c>
      <c r="I21" s="86" t="s">
        <v>188</v>
      </c>
      <c r="J21" s="19">
        <f>IF(ISERROR('4.エネルギー使用量（適合例）'!$O$46/1000*$C$6*$C$7),"",ROUND('4.エネルギー使用量（適合例）'!$O$46/1000*$C$6*$C$7,2))</f>
        <v>6.62</v>
      </c>
      <c r="K21" s="13">
        <f>IF(ISERROR('4.エネルギー使用量（適合例）'!$O$46/1000*$C$6*$E$6),"",'4.エネルギー使用量（適合例）'!$O$46/1000*$C$6*$E$6)</f>
        <v>14.615543280000002</v>
      </c>
      <c r="N21" s="54" t="s">
        <v>266</v>
      </c>
      <c r="O21" s="54">
        <v>400</v>
      </c>
      <c r="P21" s="54">
        <v>500</v>
      </c>
      <c r="Q21" s="3"/>
      <c r="R21" s="50" t="s">
        <v>137</v>
      </c>
      <c r="S21" s="43"/>
      <c r="T21" s="43" t="s">
        <v>483</v>
      </c>
      <c r="U21" s="43"/>
    </row>
    <row r="22" spans="2:30" ht="19.5" x14ac:dyDescent="0.45">
      <c r="I22" s="86" t="s">
        <v>182</v>
      </c>
      <c r="J22" s="14">
        <f>IF(ISERROR('4.エネルギー使用量（適合例）'!$O$46/1000*$C$18*$C$7),"",ROUND('4.エネルギー使用量（適合例）'!$O$46/1000*$C$18*$C$7,2))</f>
        <v>178.52</v>
      </c>
      <c r="K22" s="13">
        <f>IF(ISERROR('4.エネルギー使用量（適合例）'!$O$46/1000*$C$18*$E$18*$E$7),"",ROUND('4.エネルギー使用量（適合例）'!$O$46/1000*$C$18*$E$18*$E$7,2))</f>
        <v>469.36</v>
      </c>
      <c r="N22" s="54" t="s">
        <v>97</v>
      </c>
      <c r="O22" s="54">
        <v>1000</v>
      </c>
      <c r="P22" s="54">
        <v>900</v>
      </c>
      <c r="Q22" s="3"/>
      <c r="R22" s="50" t="s">
        <v>138</v>
      </c>
      <c r="S22" s="43"/>
      <c r="T22" s="43" t="s">
        <v>524</v>
      </c>
      <c r="U22" s="43"/>
    </row>
    <row r="23" spans="2:30" ht="19.5" x14ac:dyDescent="0.45">
      <c r="B23" s="5" t="s">
        <v>47</v>
      </c>
      <c r="C23" s="5" t="s">
        <v>46</v>
      </c>
      <c r="I23" s="86" t="s">
        <v>183</v>
      </c>
      <c r="J23" s="14">
        <f>IF(ISERROR('4.エネルギー使用量（適合例）'!$O$46/1000*$C$19*$C$7),"",ROUND('4.エネルギー使用量（適合例）'!$O$46/1000*$C$19*$C$7,2))</f>
        <v>183.38</v>
      </c>
      <c r="K23" s="13">
        <f>IF(ISERROR('4.エネルギー使用量（適合例）'!$O$46/1000*$C$19*$E$19*$E$7),"",ROUND('4.エネルギー使用量（適合例）'!$O$46/1000*$C$19*$E$19*$E$7,2))</f>
        <v>487.37</v>
      </c>
      <c r="N23" s="54" t="s">
        <v>96</v>
      </c>
      <c r="O23" s="54">
        <v>1000</v>
      </c>
      <c r="P23" s="54">
        <v>500</v>
      </c>
      <c r="Q23" s="3"/>
      <c r="R23" s="50" t="s">
        <v>139</v>
      </c>
      <c r="S23" s="43"/>
      <c r="T23" s="43" t="s">
        <v>505</v>
      </c>
    </row>
    <row r="24" spans="2:30" ht="19.5" x14ac:dyDescent="0.45">
      <c r="B24" s="5" t="s">
        <v>45</v>
      </c>
      <c r="C24" s="9">
        <f>1/502</f>
        <v>1.9920318725099601E-3</v>
      </c>
      <c r="D24" s="5" t="s">
        <v>39</v>
      </c>
      <c r="I24" s="86" t="s">
        <v>184</v>
      </c>
      <c r="J24" s="14">
        <f>IF(ISERROR('4.エネルギー使用量（適合例）'!$O$46/1000*$C$20*$C$7),"",ROUND('4.エネルギー使用量（適合例）'!$O$46/1000*$C$20*$C$7,2))</f>
        <v>190.19</v>
      </c>
      <c r="K24" s="13">
        <f>IF(ISERROR('4.エネルギー使用量（適合例）'!$O$46/1000*$C$20*$E$20*$E$7),"",ROUND('4.エネルギー使用量（適合例）'!$O$46/1000*$C$20*$E$20*$E$7,2))</f>
        <v>510.87</v>
      </c>
      <c r="N24" s="54" t="s">
        <v>270</v>
      </c>
      <c r="O24" s="54">
        <v>800</v>
      </c>
      <c r="P24" s="54">
        <v>400</v>
      </c>
      <c r="Q24" s="3"/>
      <c r="R24" s="50" t="s">
        <v>127</v>
      </c>
      <c r="S24" s="43"/>
      <c r="T24" s="43" t="s">
        <v>506</v>
      </c>
    </row>
    <row r="25" spans="2:30" ht="19.5" thickBot="1" x14ac:dyDescent="0.5">
      <c r="B25" s="5" t="s">
        <v>44</v>
      </c>
      <c r="C25" s="9">
        <f>1/355</f>
        <v>2.8169014084507044E-3</v>
      </c>
      <c r="D25" s="5" t="s">
        <v>39</v>
      </c>
      <c r="I25" s="86" t="s">
        <v>185</v>
      </c>
      <c r="J25" s="11">
        <f>IF(ISERROR('4.エネルギー使用量（適合例）'!$O$46/1000*$C$21*$C$7),"",ROUND('4.エネルギー使用量（適合例）'!$O$46/1000*$C$21*$C$7,2))</f>
        <v>203.81</v>
      </c>
      <c r="K25" s="10">
        <f>IF(ISERROR('4.エネルギー使用量（適合例）'!$O$46/1000*$C$21*$E$21*$E$7),"",ROUND('4.エネルギー使用量（適合例）'!$O$46/1000*$C$21*$E$21*$E$7,2))</f>
        <v>564.83000000000004</v>
      </c>
      <c r="N25" s="54" t="s">
        <v>265</v>
      </c>
      <c r="O25" s="54">
        <v>800</v>
      </c>
      <c r="P25" s="54">
        <v>400</v>
      </c>
      <c r="Q25" s="3"/>
      <c r="R25" s="3"/>
    </row>
    <row r="26" spans="2:30" ht="20.25" thickBot="1" x14ac:dyDescent="0.5">
      <c r="B26" s="5" t="s">
        <v>43</v>
      </c>
      <c r="C26" s="9">
        <f>1/458</f>
        <v>2.1834061135371178E-3</v>
      </c>
      <c r="D26" s="5" t="s">
        <v>39</v>
      </c>
      <c r="N26" s="54" t="s">
        <v>95</v>
      </c>
      <c r="O26" s="54">
        <v>800</v>
      </c>
      <c r="P26" s="54">
        <v>400</v>
      </c>
      <c r="Q26" s="3"/>
      <c r="T26" s="43" t="s">
        <v>208</v>
      </c>
    </row>
    <row r="27" spans="2:30" x14ac:dyDescent="0.45">
      <c r="B27" s="5" t="s">
        <v>42</v>
      </c>
      <c r="C27" s="9">
        <f>1/1220</f>
        <v>8.1967213114754098E-4</v>
      </c>
      <c r="D27" s="5" t="s">
        <v>39</v>
      </c>
      <c r="E27" s="6">
        <f>C33/C32</f>
        <v>1208.955223880597</v>
      </c>
      <c r="F27" s="5" t="s">
        <v>38</v>
      </c>
      <c r="I27" s="86" t="s">
        <v>458</v>
      </c>
      <c r="J27" s="16" t="s">
        <v>20</v>
      </c>
      <c r="K27" s="15" t="s">
        <v>19</v>
      </c>
      <c r="N27" s="3"/>
      <c r="O27" s="3"/>
      <c r="P27" s="3"/>
      <c r="Q27" s="3"/>
    </row>
    <row r="28" spans="2:30" ht="19.5" x14ac:dyDescent="0.45">
      <c r="B28" s="5" t="s">
        <v>41</v>
      </c>
      <c r="C28" s="9">
        <f>1/E28</f>
        <v>4.557823129251701E-4</v>
      </c>
      <c r="D28" s="5" t="s">
        <v>39</v>
      </c>
      <c r="E28" s="6">
        <f>C31/C32*1000</f>
        <v>2194.0298507462685</v>
      </c>
      <c r="F28" s="5" t="s">
        <v>38</v>
      </c>
      <c r="I28" s="86" t="s">
        <v>89</v>
      </c>
      <c r="J28" s="19">
        <f>IF(ISERROR('4.エネルギー使用量（適合例）'!$O$57/1000*$C$3*$C$7),"",ROUND('4.エネルギー使用量（適合例）'!$O$57/1000*$C$3*$C$7,2))</f>
        <v>0.91</v>
      </c>
      <c r="K28" s="13">
        <f>IF(ISERROR('4.エネルギー使用量（適合例）'!$O$23/1000*$E$3),"",ROUND('4.エネルギー使用量（適合例）'!$O$23/1000*$E$3,2))</f>
        <v>6.64</v>
      </c>
      <c r="N28" s="23"/>
      <c r="O28" s="23"/>
      <c r="P28" s="353" t="s">
        <v>162</v>
      </c>
      <c r="Q28" s="354"/>
      <c r="R28" s="354"/>
      <c r="S28" s="354"/>
      <c r="T28" s="354"/>
      <c r="U28" s="354"/>
      <c r="V28" s="354"/>
      <c r="W28" s="354"/>
      <c r="X28" s="354"/>
      <c r="Y28" s="354"/>
      <c r="Z28" s="354"/>
      <c r="AA28" s="354"/>
      <c r="AB28" s="354"/>
      <c r="AC28" s="354"/>
      <c r="AD28" s="355"/>
    </row>
    <row r="29" spans="2:30" ht="19.5" x14ac:dyDescent="0.45">
      <c r="I29" s="86" t="s">
        <v>453</v>
      </c>
      <c r="J29" s="14">
        <f>IF(ISERROR('4.エネルギー使用量（適合例）'!$O$57/1000*$C$10*$C$7*$C$15),"",ROUND('4.エネルギー使用量（適合例）'!$O$57/1000*$C$10*$C$7*$C$15,2))</f>
        <v>4.0599999999999996</v>
      </c>
      <c r="K29" s="13">
        <f>IF(ISERROR('4.エネルギー使用量（適合例）'!$O$35/1000*$C$10*$E$10*$E$7),"",ROUND('4.エネルギー使用量（適合例）'!$O$35/1000*$C$10*$E$10*$E$7,2))</f>
        <v>2.74</v>
      </c>
      <c r="L29" s="5" t="s">
        <v>454</v>
      </c>
      <c r="N29" s="23"/>
      <c r="O29" s="23"/>
      <c r="P29" s="356" t="s">
        <v>165</v>
      </c>
      <c r="Q29" s="356"/>
      <c r="R29" s="356"/>
      <c r="S29" s="356" t="s">
        <v>164</v>
      </c>
      <c r="T29" s="356"/>
      <c r="U29" s="356"/>
      <c r="V29" s="356" t="s">
        <v>109</v>
      </c>
      <c r="W29" s="356"/>
      <c r="X29" s="356"/>
      <c r="Y29" s="356" t="s">
        <v>110</v>
      </c>
      <c r="Z29" s="356"/>
      <c r="AA29" s="356"/>
      <c r="AB29" s="356" t="s">
        <v>111</v>
      </c>
      <c r="AC29" s="356"/>
      <c r="AD29" s="356"/>
    </row>
    <row r="30" spans="2:30" ht="19.5" x14ac:dyDescent="0.45">
      <c r="B30" s="5" t="s">
        <v>40</v>
      </c>
      <c r="I30" s="86" t="s">
        <v>186</v>
      </c>
      <c r="J30" s="19">
        <f>IF(ISERROR('4.エネルギー使用量（適合例）'!$O$57/1000*$C$4*$C$7),"",ROUND('4.エネルギー使用量（適合例）'!$O$57/1000*$C$4*$C$7,2))</f>
        <v>0.13</v>
      </c>
      <c r="K30" s="13">
        <f>IF(ISERROR('4.エネルギー使用量（適合例）'!$O$57/1000*$C$4*$E$4),"",ROUND('4.エネルギー使用量（適合例）'!$O$57/1000*$C$4*$E$4,2))</f>
        <v>0.28000000000000003</v>
      </c>
      <c r="N30" s="23"/>
      <c r="O30" s="23"/>
      <c r="P30" s="48" t="s">
        <v>93</v>
      </c>
      <c r="Q30" s="48" t="s">
        <v>92</v>
      </c>
      <c r="R30" s="48" t="s">
        <v>91</v>
      </c>
      <c r="S30" s="48" t="s">
        <v>93</v>
      </c>
      <c r="T30" s="48" t="s">
        <v>92</v>
      </c>
      <c r="U30" s="48" t="s">
        <v>91</v>
      </c>
      <c r="V30" s="48" t="s">
        <v>93</v>
      </c>
      <c r="W30" s="48" t="s">
        <v>92</v>
      </c>
      <c r="X30" s="48" t="s">
        <v>91</v>
      </c>
      <c r="Y30" s="48" t="s">
        <v>93</v>
      </c>
      <c r="Z30" s="48" t="s">
        <v>92</v>
      </c>
      <c r="AA30" s="48" t="s">
        <v>91</v>
      </c>
      <c r="AB30" s="48" t="s">
        <v>93</v>
      </c>
      <c r="AC30" s="48" t="s">
        <v>92</v>
      </c>
      <c r="AD30" s="48" t="s">
        <v>91</v>
      </c>
    </row>
    <row r="31" spans="2:30" ht="19.5" x14ac:dyDescent="0.45">
      <c r="C31" s="7">
        <f>147000</f>
        <v>147000</v>
      </c>
      <c r="D31" s="5" t="s">
        <v>38</v>
      </c>
      <c r="I31" s="86" t="s">
        <v>187</v>
      </c>
      <c r="J31" s="19">
        <f>IF(ISERROR('4.エネルギー使用量（適合例）'!$O$57/1000*$C$5*$C$7),"",ROUND('4.エネルギー使用量（適合例）'!$O$57/1000*$C$5*$C$7,2))</f>
        <v>0.1</v>
      </c>
      <c r="K31" s="13">
        <f>IF(ISERROR('4.エネルギー使用量（適合例）'!$O$57/1000*$C$5*$E$5),"",ROUND('4.エネルギー使用量（適合例）'!$O$57/1000*$C$5*$E$5,2))</f>
        <v>0.22</v>
      </c>
      <c r="N31" s="85" t="s">
        <v>141</v>
      </c>
      <c r="O31" s="38">
        <f>IF(AND('2-3.設備仕様入力（適合）'!D$124="電気",'2-3.設備仕様入力（適合）'!D$130="kW"),1,IF(AND('2-3.設備仕様入力（適合）'!D$124="都市ガス",'2-3.設備仕様入力（適合）'!D$130="kW"),2,IF(AND('2-3.設備仕様入力（適合）'!D$124="都市ガス",'2-3.設備仕様入力（適合）'!D$130="ｍ3N/h"),3,IF(AND('2-3.設備仕様入力（適合）'!D$124="LPG",'2-3.設備仕様入力（適合）'!D$130="kW"),4,IF(AND('2-3.設備仕様入力（適合）'!D$124="LPG",'2-3.設備仕様入力（適合）'!D$130="kg/h"),5,"")))))</f>
        <v>1</v>
      </c>
      <c r="P31" s="45">
        <f>IF(OR('2-3.設備仕様入力（適合）'!$D$122="電気式パッケージ形空調機",'2-3.設備仕様入力（適合）'!$D$122="ルームエアコン"),ROUND('2-3.設備仕様入力（適合）'!$D$128*'2-3.設備仕様入力（適合）'!$D$123*計算!$C$3*VLOOKUP('2-3.設備仕様入力（適合）'!$D$125,計算!$N$16:$P$26,2,FALSE)/1000,1),"")</f>
        <v>28.1</v>
      </c>
      <c r="Q31" s="45">
        <f>IF(OR('2-3.設備仕様入力（適合）'!$D$122="電気式パッケージ形空調機",'2-3.設備仕様入力（適合）'!$D$122="ルームエアコン"),ROUND('2-3.設備仕様入力（適合）'!$D$129*'2-3.設備仕様入力（適合）'!$D$123*計算!$C$3*VLOOKUP('2-3.設備仕様入力（適合）'!$D$125,計算!$N$16:$P$26,3,FALSE)/1000,1),"")</f>
        <v>14.8</v>
      </c>
      <c r="R31" s="45">
        <f t="shared" ref="R31:R40" si="0">IF(AND(P31="",Q31=""),"",P31+Q31)</f>
        <v>42.900000000000006</v>
      </c>
      <c r="S31" s="45" t="str">
        <f>IF('2-3.設備仕様入力（適合）'!$D$122="ガスヒートポンプ式空調機",IF('2-3.設備仕様入力（適合）'!$D$124="都市ガス",IF('2-3.設備仕様入力（適合）'!$D$130="kW",ROUND('2-3.設備仕様入力（適合）'!$D$123*'2-3.設備仕様入力（適合）'!$D$128*3.6/1000*VLOOKUP('2-3.設備仕様入力（適合）'!$D$125,計算!$N$16:$P$26,2,FALSE),1),""),""),"")</f>
        <v/>
      </c>
      <c r="T31" s="45" t="str">
        <f>IF('2-3.設備仕様入力（適合）'!$D$122="ガスヒートポンプ式空調機",IF('2-3.設備仕様入力（適合）'!$D$124="都市ガス",IF('2-3.設備仕様入力（適合）'!$D$130="kW",ROUND('2-3.設備仕様入力（適合）'!$D$123*'2-3.設備仕様入力（適合）'!$D$129*3.6/1000*VLOOKUP('2-3.設備仕様入力（適合）'!$D$125,計算!$N$16:$P$26,3,FALSE),1),""),""),"")</f>
        <v/>
      </c>
      <c r="U31" s="45" t="str">
        <f t="shared" ref="U31:U40" si="1">IF(AND(S31="",T31=""),"",S31+T31)</f>
        <v/>
      </c>
      <c r="V31" s="45" t="str">
        <f>IF('2-3.設備仕様入力（適合）'!$D$122="ガスヒートポンプ式空調機",IF('2-3.設備仕様入力（適合）'!$D$130="ｍ3N/h",ROUND('2-3.設備仕様入力（適合）'!$D$123*'2-3.設備仕様入力（適合）'!$D$128*計算!$C$10/1000*VLOOKUP('2-3.設備仕様入力（適合）'!$D$125,計算!$N$16:$P$26,2,FALSE),1),""),"")</f>
        <v/>
      </c>
      <c r="W31" s="45" t="str">
        <f>IF('2-3.設備仕様入力（適合）'!$D$122="ガスヒートポンプ式空調機",IF('2-3.設備仕様入力（適合）'!$D$130="ｍ3N/h",ROUND('2-3.設備仕様入力（適合）'!$D$123*'2-3.設備仕様入力（適合）'!$D$129*計算!$C$10/1000*VLOOKUP('2-3.設備仕様入力（適合）'!$D$125,計算!$N$16:$P$26,3,FALSE),1),""),"")</f>
        <v/>
      </c>
      <c r="X31" s="45" t="str">
        <f t="shared" ref="X31:X40" si="2">IF(AND(V31="",W31=""),"",V31+W31)</f>
        <v/>
      </c>
      <c r="Y31" s="45" t="str">
        <f>IF('2-3.設備仕様入力（適合）'!$D$122="ガスヒートポンプ式空調機",IF('2-3.設備仕様入力（適合）'!$D$124="LPG",IF('2-3.設備仕様入力（適合）'!$D$130="kW",ROUND('2-3.設備仕様入力（適合）'!$D$123*'2-3.設備仕様入力（適合）'!$D$128*3.6/1000*VLOOKUP('2-3.設備仕様入力（適合）'!$D$125,計算!$N$16:$P$26,2,FALSE),1),""),""),"")</f>
        <v/>
      </c>
      <c r="Z31" s="45" t="str">
        <f>IF('2-3.設備仕様入力（適合）'!$D$122="ガスヒートポンプ式空調機",IF('2-3.設備仕様入力（適合）'!$D$124="LPG",IF('2-3.設備仕様入力（適合）'!$D$130="kW",ROUND('2-3.設備仕様入力（適合）'!$D$123*'2-3.設備仕様入力（適合）'!$D$129*3.6/1000*VLOOKUP('2-3.設備仕様入力（適合）'!$D$125,計算!$N$16:$P$26,3,FALSE),1),""),""),"")</f>
        <v/>
      </c>
      <c r="AA31" s="45" t="str">
        <f t="shared" ref="AA31:AA40" si="3">IF(AND(Y31="",Z31=""),"",Y31+Z31)</f>
        <v/>
      </c>
      <c r="AB31" s="45" t="str">
        <f>IF('2-3.設備仕様入力（適合）'!$D$122="ガスヒートポンプ式空調機",IF('2-3.設備仕様入力（適合）'!$D$124="LPG",IF('2-3.設備仕様入力（適合）'!$D$130="kg/h",ROUND('2-3.設備仕様入力（適合）'!$D$123*'2-3.設備仕様入力（適合）'!$D$128*計算!$C$11/1000*VLOOKUP('2-3.設備仕様入力（適合）'!$D$125,計算!$N$16:$P$26,2,FALSE),1),""),""),"")</f>
        <v/>
      </c>
      <c r="AC31" s="45" t="str">
        <f>IF('2-3.設備仕様入力（適合）'!$D$122="ガスヒートポンプ式空調機",IF('2-3.設備仕様入力（適合）'!$D$124="LPG",IF('2-3.設備仕様入力（適合）'!$D$130="kg/h",ROUND('2-3.設備仕様入力（適合）'!$D$123*'2-3.設備仕様入力（適合）'!$D$129*計算!$C$11/1000*VLOOKUP('2-3.設備仕様入力（適合）'!$D$125,計算!$N$16:$P$26,3,FALSE),1),""),""),"")</f>
        <v/>
      </c>
      <c r="AD31" s="45" t="str">
        <f t="shared" ref="AD31:AD40" si="4">IF(AND(AB31="",AC31=""),"",AB31+AC31)</f>
        <v/>
      </c>
    </row>
    <row r="32" spans="2:30" ht="19.5" x14ac:dyDescent="0.45">
      <c r="C32" s="7">
        <f>67000</f>
        <v>67000</v>
      </c>
      <c r="D32" s="5" t="s">
        <v>39</v>
      </c>
      <c r="I32" s="86" t="s">
        <v>188</v>
      </c>
      <c r="J32" s="19">
        <f>IF(ISERROR('4.エネルギー使用量（適合例）'!$O$57/1000*$C$6*$C$7),"",ROUND('4.エネルギー使用量（適合例）'!$O$57/1000*$C$6*$C$7,2))</f>
        <v>0.13</v>
      </c>
      <c r="K32" s="13">
        <f>IF(ISERROR('4.エネルギー使用量（適合例）'!$O$57/1000*$C$6*$E$6),"",ROUND('4.エネルギー使用量（適合例）'!$O$57/1000*$C$6*$E$6,2))</f>
        <v>0.28000000000000003</v>
      </c>
      <c r="N32" s="85" t="s">
        <v>112</v>
      </c>
      <c r="O32" s="38" t="str">
        <f>IF(AND('2-3.設備仕様入力（適合）'!E$124="電気",'2-3.設備仕様入力（適合）'!E$130="kW"),1,IF(AND('2-3.設備仕様入力（適合）'!E$124="都市ガス",'2-3.設備仕様入力（適合）'!E$130="kW"),2,IF(AND('2-3.設備仕様入力（適合）'!E$124="都市ガス",'2-3.設備仕様入力（適合）'!E$130="ｍ3N/h"),3,IF(AND('2-3.設備仕様入力（適合）'!E$124="LPG",'2-3.設備仕様入力（適合）'!E$130="kW"),4,IF(AND('2-3.設備仕様入力（適合）'!E$124="LPG",'2-3.設備仕様入力（適合）'!E$130="kg/h"),5,"")))))</f>
        <v/>
      </c>
      <c r="P32" s="45" t="str">
        <f>IF(OR('2-3.設備仕様入力（適合）'!$E$122="電気式パッケージ形空調機",'2-3.設備仕様入力（適合）'!$E$122="ルームエアコン"),ROUND('2-3.設備仕様入力（適合）'!$E$128*'2-3.設備仕様入力（適合）'!$E$123*計算!$C$3*VLOOKUP('2-3.設備仕様入力（適合）'!$E$125,計算!$N$16:$P$26,2,FALSE)/1000,1),"")</f>
        <v/>
      </c>
      <c r="Q32" s="45" t="str">
        <f>IF(OR('2-3.設備仕様入力（適合）'!$E$122="電気式パッケージ形空調機",'2-3.設備仕様入力（適合）'!$E$122="ルームエアコン"),ROUND('2-3.設備仕様入力（適合）'!$E$129*'2-3.設備仕様入力（適合）'!$E$123*計算!$C$3*VLOOKUP('2-3.設備仕様入力（適合）'!$E$125,計算!$N$16:$P$26,3,FALSE)/1000,1),"")</f>
        <v/>
      </c>
      <c r="R32" s="45" t="str">
        <f t="shared" si="0"/>
        <v/>
      </c>
      <c r="S32" s="45" t="str">
        <f>IF('2-3.設備仕様入力（適合）'!$E$122="ガスヒートポンプ式空調機",IF('2-3.設備仕様入力（適合）'!$E$124="都市ガス",IF('2-3.設備仕様入力（適合）'!$E$130="kW",ROUND('2-3.設備仕様入力（適合）'!$E$123*'2-3.設備仕様入力（適合）'!$E$128*3.6/1000*VLOOKUP('2-3.設備仕様入力（適合）'!$E$125,計算!$N$16:$P$26,2,FALSE),1),""),""),"")</f>
        <v/>
      </c>
      <c r="T32" s="45" t="str">
        <f>IF('2-3.設備仕様入力（適合）'!$E$122="ガスヒートポンプ式空調機",IF('2-3.設備仕様入力（適合）'!$E$124="都市ガス",IF('2-3.設備仕様入力（適合）'!$E$130="kW",ROUND('2-3.設備仕様入力（適合）'!$E$123*'2-3.設備仕様入力（適合）'!$E$129*3.6/1000*VLOOKUP('2-3.設備仕様入力（適合）'!$E$125,計算!$N$16:$P$26,3,FALSE),1),""),""),"")</f>
        <v/>
      </c>
      <c r="U32" s="45" t="str">
        <f t="shared" si="1"/>
        <v/>
      </c>
      <c r="V32" s="45" t="str">
        <f>IF('2-3.設備仕様入力（適合）'!$E$122="ガスヒートポンプ式空調機",IF('2-3.設備仕様入力（適合）'!$E$130="ｍ3N/h",ROUND('2-3.設備仕様入力（適合）'!$E$123*'2-3.設備仕様入力（適合）'!$E$128*計算!$C$10/1000*VLOOKUP('2-3.設備仕様入力（適合）'!$E$125,計算!$N$16:$P$26,2,FALSE),1),""),"")</f>
        <v/>
      </c>
      <c r="W32" s="45" t="str">
        <f>IF('2-3.設備仕様入力（適合）'!$E$122="ガスヒートポンプ式空調機",IF('2-3.設備仕様入力（適合）'!$E$130="ｍ3N/h",ROUND('2-3.設備仕様入力（適合）'!$E$123*'2-3.設備仕様入力（適合）'!$E$129*計算!$C$10/1000*VLOOKUP('2-3.設備仕様入力（適合）'!$E$125,計算!$N$16:$P$26,3,FALSE),1),""),"")</f>
        <v/>
      </c>
      <c r="X32" s="45" t="str">
        <f t="shared" si="2"/>
        <v/>
      </c>
      <c r="Y32" s="45" t="str">
        <f>IF('2-3.設備仕様入力（適合）'!$E$122="ガスヒートポンプ式空調機",IF('2-3.設備仕様入力（適合）'!$E$124="LPG",IF('2-3.設備仕様入力（適合）'!$E$130="kW",ROUND('2-3.設備仕様入力（適合）'!$E$123*'2-3.設備仕様入力（適合）'!$E$128*3.6/1000*VLOOKUP('2-3.設備仕様入力（適合）'!$E$125,計算!$N$16:$P$26,2,FALSE),1),""),""),"")</f>
        <v/>
      </c>
      <c r="Z32" s="45" t="str">
        <f>IF('2-3.設備仕様入力（適合）'!$E$122="ガスヒートポンプ式空調機",IF('2-3.設備仕様入力（適合）'!$E$124="LPG",IF('2-3.設備仕様入力（適合）'!$E$130="kW",ROUND('2-3.設備仕様入力（適合）'!$E$123*'2-3.設備仕様入力（適合）'!$E$129*3.6/1000*VLOOKUP('2-3.設備仕様入力（適合）'!$E$125,計算!$N$16:$P$26,3,FALSE),1),""),""),"")</f>
        <v/>
      </c>
      <c r="AA32" s="45" t="str">
        <f t="shared" si="3"/>
        <v/>
      </c>
      <c r="AB32" s="45" t="str">
        <f>IF('2-3.設備仕様入力（適合）'!$E$122="ガスヒートポンプ式空調機",IF('2-3.設備仕様入力（適合）'!$E$124="LPG",IF('2-3.設備仕様入力（適合）'!$E$130="kg/h",ROUND('2-3.設備仕様入力（適合）'!$E$123*'2-3.設備仕様入力（適合）'!$E$128*計算!$C$11/1000*VLOOKUP('2-3.設備仕様入力（適合）'!$E$125,計算!$N$16:$P$26,2,FALSE),1),""),""),"")</f>
        <v/>
      </c>
      <c r="AC32" s="45" t="str">
        <f>IF('2-3.設備仕様入力（適合）'!$E$122="ガスヒートポンプ式空調機",IF('2-3.設備仕様入力（適合）'!$E$124="LPG",IF('2-3.設備仕様入力（適合）'!$E$130="kg/h",ROUND('2-3.設備仕様入力（適合）'!$E$123*'2-3.設備仕様入力（適合）'!$E$129*計算!$C$11/1000*VLOOKUP('2-3.設備仕様入力（適合）'!$E$125,計算!$N$16:$P$26,3,FALSE),1),""),""),"")</f>
        <v/>
      </c>
      <c r="AD32" s="45" t="str">
        <f t="shared" si="4"/>
        <v/>
      </c>
    </row>
    <row r="33" spans="3:30" ht="19.5" x14ac:dyDescent="0.45">
      <c r="C33" s="7">
        <f>81000000</f>
        <v>81000000</v>
      </c>
      <c r="D33" s="5" t="s">
        <v>38</v>
      </c>
      <c r="E33" s="6">
        <f>C33/C31</f>
        <v>551.0204081632653</v>
      </c>
      <c r="F33" s="5" t="s">
        <v>37</v>
      </c>
      <c r="I33" s="86" t="s">
        <v>182</v>
      </c>
      <c r="J33" s="14">
        <f>IF(ISERROR('4.エネルギー使用量（適合例）'!$O$57/1000*$C$18*$C$7),"",ROUND('4.エネルギー使用量（適合例）'!$O$57/1000*$C$18*$C$7,2))</f>
        <v>3.42</v>
      </c>
      <c r="K33" s="13">
        <f>IF(ISERROR('4.エネルギー使用量（適合例）'!$O$57/1000*$C$18*$E$18*$E$7),"",ROUND('4.エネルギー使用量（適合例）'!$O$57/1000*$C$18*$E$18*$E$7,2))</f>
        <v>9</v>
      </c>
      <c r="N33" s="85" t="s">
        <v>113</v>
      </c>
      <c r="O33" s="38" t="str">
        <f>IF(AND('2-3.設備仕様入力（適合）'!F$124="電気",'2-3.設備仕様入力（適合）'!F$130="kW"),1,IF(AND('2-3.設備仕様入力（適合）'!F$124="都市ガス",'2-3.設備仕様入力（適合）'!F$130="kW"),2,IF(AND('2-3.設備仕様入力（適合）'!F$124="都市ガス",'2-3.設備仕様入力（適合）'!F$130="ｍ3N/h"),3,IF(AND('2-3.設備仕様入力（適合）'!F$124="LPG",'2-3.設備仕様入力（適合）'!F$130="kW"),4,IF(AND('2-3.設備仕様入力（適合）'!F$124="LPG",'2-3.設備仕様入力（適合）'!F$130="kg/h"),5,"")))))</f>
        <v/>
      </c>
      <c r="P33" s="45" t="str">
        <f>IF(OR('2-3.設備仕様入力（適合）'!$F$122="電気式パッケージ形空調機",'2-3.設備仕様入力（適合）'!$F$122="ルームエアコン"),ROUND('2-3.設備仕様入力（適合）'!$F$128*'2-3.設備仕様入力（適合）'!$F$123*計算!$C$3*VLOOKUP('2-3.設備仕様入力（適合）'!$F$125,計算!$N$16:$P$26,2,FALSE)/1000,1),"")</f>
        <v/>
      </c>
      <c r="Q33" s="45" t="str">
        <f>IF(OR('2-3.設備仕様入力（適合）'!$F$122="電気式パッケージ形空調機",'2-3.設備仕様入力（適合）'!$F$122="ルームエアコン"),ROUND('2-3.設備仕様入力（適合）'!$F$129*'2-3.設備仕様入力（適合）'!$F$123*計算!$C$3*VLOOKUP('2-3.設備仕様入力（適合）'!$F$125,計算!$N$16:$P$26,3,FALSE)/1000,1),"")</f>
        <v/>
      </c>
      <c r="R33" s="45" t="str">
        <f t="shared" si="0"/>
        <v/>
      </c>
      <c r="S33" s="45" t="str">
        <f>IF('2-3.設備仕様入力（適合）'!$F$122="ガスヒートポンプ式空調機",IF('2-3.設備仕様入力（適合）'!$F$124="都市ガス",IF('2-3.設備仕様入力（適合）'!$F$130="kW",ROUND('2-3.設備仕様入力（適合）'!$F$123*'2-3.設備仕様入力（適合）'!$F$128*3.6/1000*VLOOKUP('2-3.設備仕様入力（適合）'!$F$125,計算!$N$16:$P$26,2,FALSE),1),""),""),"")</f>
        <v/>
      </c>
      <c r="T33" s="45" t="str">
        <f>IF('2-3.設備仕様入力（適合）'!$F$122="ガスヒートポンプ式空調機",IF('2-3.設備仕様入力（適合）'!$F$124="都市ガス",IF('2-3.設備仕様入力（適合）'!$F$130="kW",ROUND('2-3.設備仕様入力（適合）'!$F$123*'2-3.設備仕様入力（適合）'!$F$129*3.6/1000*VLOOKUP('2-3.設備仕様入力（適合）'!$F$125,計算!$N$16:$P$26,3,FALSE),1),""),""),"")</f>
        <v/>
      </c>
      <c r="U33" s="45" t="str">
        <f t="shared" si="1"/>
        <v/>
      </c>
      <c r="V33" s="45" t="str">
        <f>IF('2-3.設備仕様入力（適合）'!$F$122="ガスヒートポンプ式空調機",IF('2-3.設備仕様入力（適合）'!$F$130="ｍ3N/h",ROUND('2-3.設備仕様入力（適合）'!$F$123*'2-3.設備仕様入力（適合）'!$F$128*計算!$C$10/1000*VLOOKUP('2-3.設備仕様入力（適合）'!$F$125,計算!$N$16:$P$26,2,FALSE),1),""),"")</f>
        <v/>
      </c>
      <c r="W33" s="45" t="str">
        <f>IF('2-3.設備仕様入力（適合）'!$F$122="ガスヒートポンプ式空調機",IF('2-3.設備仕様入力（適合）'!$F$130="ｍ3N/h",ROUND('2-3.設備仕様入力（適合）'!$F$123*'2-3.設備仕様入力（適合）'!$F$129*計算!$C$10/1000*VLOOKUP('2-3.設備仕様入力（適合）'!$F$125,計算!$N$16:$P$26,3,FALSE),1),""),"")</f>
        <v/>
      </c>
      <c r="X33" s="45" t="str">
        <f t="shared" si="2"/>
        <v/>
      </c>
      <c r="Y33" s="45" t="str">
        <f>IF('2-3.設備仕様入力（適合）'!$F$122="ガスヒートポンプ式空調機",IF('2-3.設備仕様入力（適合）'!$F$124="LPG",IF('2-3.設備仕様入力（適合）'!$F$130="kW",ROUND('2-3.設備仕様入力（適合）'!$F$123*'2-3.設備仕様入力（適合）'!$F$128*3.6/1000*VLOOKUP('2-3.設備仕様入力（適合）'!$F$125,計算!$N$16:$P$26,2,FALSE),1),""),""),"")</f>
        <v/>
      </c>
      <c r="Z33" s="45" t="str">
        <f>IF('2-3.設備仕様入力（適合）'!$F$122="ガスヒートポンプ式空調機",IF('2-3.設備仕様入力（適合）'!$F$124="LPG",IF('2-3.設備仕様入力（適合）'!$F$130="kW",ROUND('2-3.設備仕様入力（適合）'!$F$123*'2-3.設備仕様入力（適合）'!$F$129*3.6/1000*VLOOKUP('2-3.設備仕様入力（適合）'!$F$125,計算!$N$16:$P$26,3,FALSE),1),""),""),"")</f>
        <v/>
      </c>
      <c r="AA33" s="45" t="str">
        <f t="shared" si="3"/>
        <v/>
      </c>
      <c r="AB33" s="45" t="str">
        <f>IF('2-3.設備仕様入力（適合）'!$F$122="ガスヒートポンプ式空調機",IF('2-3.設備仕様入力（適合）'!$F$124="LPG",IF('2-3.設備仕様入力（適合）'!$F$130="kg/h",ROUND('2-3.設備仕様入力（適合）'!$F$123*'2-3.設備仕様入力（適合）'!$F$128*計算!$C$11/1000*VLOOKUP('2-3.設備仕様入力（適合）'!$F$125,計算!$N$16:$P$26,2,FALSE),1),""),""),"")</f>
        <v/>
      </c>
      <c r="AC33" s="45" t="str">
        <f>IF('2-3.設備仕様入力（適合）'!$F$122="ガスヒートポンプ式空調機",IF('2-3.設備仕様入力（適合）'!$F$124="LPG",IF('2-3.設備仕様入力（適合）'!$F$130="kg/h",ROUND('2-3.設備仕様入力（適合）'!$F$123*'2-3.設備仕様入力（適合）'!$F$129*計算!$C$11/1000*VLOOKUP('2-3.設備仕様入力（適合）'!$F$125,計算!$N$16:$P$26,3,FALSE),1),""),""),"")</f>
        <v/>
      </c>
      <c r="AD33" s="45" t="str">
        <f t="shared" si="4"/>
        <v/>
      </c>
    </row>
    <row r="34" spans="3:30" ht="19.5" x14ac:dyDescent="0.45">
      <c r="I34" s="86" t="s">
        <v>183</v>
      </c>
      <c r="J34" s="14">
        <f>IF(ISERROR('4.エネルギー使用量（適合例）'!$O$57/1000*$C$19*$C$7),"",ROUND('4.エネルギー使用量（適合例）'!$O$57/1000*$C$19*$C$7,2))</f>
        <v>3.52</v>
      </c>
      <c r="K34" s="13">
        <f>IF(ISERROR('4.エネルギー使用量（適合例）'!$O$57/1000*$C$19*$E$19*$E$7),"",ROUND('4.エネルギー使用量（適合例）'!$O$57/1000*$C$19*$E$19*$E$7,2))</f>
        <v>9.35</v>
      </c>
      <c r="N34" s="85" t="s">
        <v>114</v>
      </c>
      <c r="O34" s="38" t="str">
        <f>IF(AND('2-3.設備仕様入力（適合）'!G$124="電気",'2-3.設備仕様入力（適合）'!G$130="kW"),1,IF(AND('2-3.設備仕様入力（適合）'!G$124="都市ガス",'2-3.設備仕様入力（適合）'!G$130="kW"),2,IF(AND('2-3.設備仕様入力（適合）'!G$124="都市ガス",'2-3.設備仕様入力（適合）'!G$130="ｍ3N/h"),3,IF(AND('2-3.設備仕様入力（適合）'!G$124="LPG",'2-3.設備仕様入力（適合）'!G$130="kW"),4,IF(AND('2-3.設備仕様入力（適合）'!G$124="LPG",'2-3.設備仕様入力（適合）'!G$130="kg/h"),5,"")))))</f>
        <v/>
      </c>
      <c r="P34" s="45" t="str">
        <f>IF(OR('2-3.設備仕様入力（適合）'!$G$122="電気式パッケージ形空調機",'2-3.設備仕様入力（適合）'!$G$122="ルームエアコン"),ROUND('2-3.設備仕様入力（適合）'!$G$128*'2-3.設備仕様入力（適合）'!$G$123*計算!$C$3*VLOOKUP('2-3.設備仕様入力（適合）'!$G$125,計算!$N$16:$P$26,2,FALSE)/1000,1),"")</f>
        <v/>
      </c>
      <c r="Q34" s="45" t="str">
        <f>IF(OR('2-3.設備仕様入力（適合）'!$G$122="電気式パッケージ形空調機",'2-3.設備仕様入力（適合）'!$G$122="ルームエアコン"),ROUND('2-3.設備仕様入力（適合）'!$G$129*'2-3.設備仕様入力（適合）'!$G$123*計算!$C$3*VLOOKUP('2-3.設備仕様入力（適合）'!$G$125,計算!$N$16:$P$26,3,FALSE)/1000,1),"")</f>
        <v/>
      </c>
      <c r="R34" s="45" t="str">
        <f t="shared" si="0"/>
        <v/>
      </c>
      <c r="S34" s="45" t="str">
        <f>IF('2-3.設備仕様入力（適合）'!$G$122="ガスヒートポンプ式空調機",IF('2-3.設備仕様入力（適合）'!$G$124="都市ガス",IF('2-3.設備仕様入力（適合）'!$G$130="kW",ROUND('2-3.設備仕様入力（適合）'!$G$123*'2-3.設備仕様入力（適合）'!$G$128*3.6/1000*VLOOKUP('2-3.設備仕様入力（適合）'!$G$125,計算!$N$16:$P$26,2,FALSE),1),""),""),"")</f>
        <v/>
      </c>
      <c r="T34" s="45" t="str">
        <f>IF('2-3.設備仕様入力（適合）'!$G$122="ガスヒートポンプ式空調機",IF('2-3.設備仕様入力（適合）'!$G$124="都市ガス",IF('2-3.設備仕様入力（適合）'!$G$130="kW",ROUND('2-3.設備仕様入力（適合）'!$G$123*'2-3.設備仕様入力（適合）'!$G$129*3.6/1000*VLOOKUP('2-3.設備仕様入力（適合）'!$G$125,計算!$N$16:$P$26,3,FALSE),1),""),""),"")</f>
        <v/>
      </c>
      <c r="U34" s="45" t="str">
        <f t="shared" si="1"/>
        <v/>
      </c>
      <c r="V34" s="45" t="str">
        <f>IF('2-3.設備仕様入力（適合）'!$G$122="ガスヒートポンプ式空調機",IF('2-3.設備仕様入力（適合）'!$G$130="ｍ3N/h",ROUND('2-3.設備仕様入力（適合）'!$G$123*'2-3.設備仕様入力（適合）'!$G$128*計算!$C$10/1000*VLOOKUP('2-3.設備仕様入力（適合）'!$G$125,計算!$N$16:$P$26,2,FALSE),1),""),"")</f>
        <v/>
      </c>
      <c r="W34" s="45" t="str">
        <f>IF('2-3.設備仕様入力（適合）'!$G$122="ガスヒートポンプ式空調機",IF('2-3.設備仕様入力（適合）'!$G$130="ｍ3N/h",ROUND('2-3.設備仕様入力（適合）'!$G$123*'2-3.設備仕様入力（適合）'!$G$129*計算!$C$10/1000*VLOOKUP('2-3.設備仕様入力（適合）'!$G$125,計算!$N$16:$P$26,3,FALSE),1),""),"")</f>
        <v/>
      </c>
      <c r="X34" s="45" t="str">
        <f t="shared" si="2"/>
        <v/>
      </c>
      <c r="Y34" s="45" t="str">
        <f>IF('2-3.設備仕様入力（適合）'!$G$122="ガスヒートポンプ式空調機",IF('2-3.設備仕様入力（適合）'!$G$124="LPG",IF('2-3.設備仕様入力（適合）'!$G$130="kW",ROUND('2-3.設備仕様入力（適合）'!$G$123*'2-3.設備仕様入力（適合）'!$G$128*3.6/1000*VLOOKUP('2-3.設備仕様入力（適合）'!$G$125,計算!$N$16:$P$26,2,FALSE),1),""),""),"")</f>
        <v/>
      </c>
      <c r="Z34" s="45" t="str">
        <f>IF('2-3.設備仕様入力（適合）'!$G$122="ガスヒートポンプ式空調機",IF('2-3.設備仕様入力（適合）'!$G$124="LPG",IF('2-3.設備仕様入力（適合）'!$G$130="kW",ROUND('2-3.設備仕様入力（適合）'!$G$123*'2-3.設備仕様入力（適合）'!$G$129*3.6/1000*VLOOKUP('2-3.設備仕様入力（適合）'!$G$125,計算!$N$16:$P$26,3,FALSE),1),""),""),"")</f>
        <v/>
      </c>
      <c r="AA34" s="45" t="str">
        <f t="shared" si="3"/>
        <v/>
      </c>
      <c r="AB34" s="45" t="str">
        <f>IF('2-3.設備仕様入力（適合）'!$G$122="ガスヒートポンプ式空調機",IF('2-3.設備仕様入力（適合）'!$G$124="LPG",IF('2-3.設備仕様入力（適合）'!$G$130="kg/h",ROUND('2-3.設備仕様入力（適合）'!$G$123*'2-3.設備仕様入力（適合）'!$G$128*計算!$C$11/1000*VLOOKUP('2-3.設備仕様入力（適合）'!$G$125,計算!$N$16:$P$26,2,FALSE),1),""),""),"")</f>
        <v/>
      </c>
      <c r="AC34" s="45" t="str">
        <f>IF('2-3.設備仕様入力（適合）'!$G$122="ガスヒートポンプ式空調機",IF('2-3.設備仕様入力（適合）'!$G$124="LPG",IF('2-3.設備仕様入力（適合）'!$G$130="kg/h",ROUND('2-3.設備仕様入力（適合）'!$G$123*'2-3.設備仕様入力（適合）'!$G$129*計算!$C$11/1000*VLOOKUP('2-3.設備仕様入力（適合）'!$G$125,計算!$N$16:$P$26,3,FALSE),1),""),""),"")</f>
        <v/>
      </c>
      <c r="AD34" s="45" t="str">
        <f t="shared" si="4"/>
        <v/>
      </c>
    </row>
    <row r="35" spans="3:30" ht="19.5" x14ac:dyDescent="0.45">
      <c r="I35" s="86" t="s">
        <v>184</v>
      </c>
      <c r="J35" s="14">
        <f>IF(ISERROR('4.エネルギー使用量（適合例）'!$O$57/1000*$C$20*$C$7),"",ROUND('4.エネルギー使用量（適合例）'!$O$57/1000*$C$20*$C$7,2))</f>
        <v>3.65</v>
      </c>
      <c r="K35" s="13">
        <f>IF(ISERROR('4.エネルギー使用量（適合例）'!$O$57/1000*$C$20*$E$20*$E$7),"",ROUND('4.エネルギー使用量（適合例）'!$O$57/1000*$C$20*$E$20*$E$7,2))</f>
        <v>9.8000000000000007</v>
      </c>
      <c r="N35" s="85" t="s">
        <v>115</v>
      </c>
      <c r="O35" s="38" t="str">
        <f>IF(AND('2-3.設備仕様入力（適合）'!H$124="電気",'2-3.設備仕様入力（適合）'!H$130="kW"),1,IF(AND('2-3.設備仕様入力（適合）'!H$124="都市ガス",'2-3.設備仕様入力（適合）'!H$130="kW"),2,IF(AND('2-3.設備仕様入力（適合）'!H$124="都市ガス",'2-3.設備仕様入力（適合）'!H$130="ｍ3N/h"),3,IF(AND('2-3.設備仕様入力（適合）'!H$124="LPG",'2-3.設備仕様入力（適合）'!H$130="kW"),4,IF(AND('2-3.設備仕様入力（適合）'!H$124="LPG",'2-3.設備仕様入力（適合）'!H$130="kg/h"),5,"")))))</f>
        <v/>
      </c>
      <c r="P35" s="45" t="str">
        <f>IF(OR('2-3.設備仕様入力（適合）'!$H$122="電気式パッケージ形空調機",'2-3.設備仕様入力（適合）'!$H$122="ルームエアコン"),ROUND('2-3.設備仕様入力（適合）'!$H$128*'2-3.設備仕様入力（適合）'!$H$123*計算!$C$3*VLOOKUP('2-3.設備仕様入力（適合）'!$H$125,計算!$N$16:$P$26,2,FALSE)/1000,1),"")</f>
        <v/>
      </c>
      <c r="Q35" s="45" t="str">
        <f>IF(OR('2-3.設備仕様入力（適合）'!$H$122="電気式パッケージ形空調機",'2-3.設備仕様入力（適合）'!$H$122="ルームエアコン"),ROUND('2-3.設備仕様入力（適合）'!$H$129*'2-3.設備仕様入力（適合）'!$H$123*計算!$C$3*VLOOKUP('2-3.設備仕様入力（適合）'!$H$125,計算!$N$16:$P$26,3,FALSE)/1000,1),"")</f>
        <v/>
      </c>
      <c r="R35" s="45" t="str">
        <f t="shared" si="0"/>
        <v/>
      </c>
      <c r="S35" s="45" t="str">
        <f>IF('2-3.設備仕様入力（適合）'!$H$122="ガスヒートポンプ式空調機",IF('2-3.設備仕様入力（適合）'!$H$124="都市ガス",IF('2-3.設備仕様入力（適合）'!$H$130="kW",ROUND('2-3.設備仕様入力（適合）'!$H$123*'2-3.設備仕様入力（適合）'!$H$128*3.6/1000*VLOOKUP('2-3.設備仕様入力（適合）'!$H$125,計算!$N$16:$P$26,2,FALSE),1),""),""),"")</f>
        <v/>
      </c>
      <c r="T35" s="45" t="str">
        <f>IF('2-3.設備仕様入力（適合）'!$H$122="ガスヒートポンプ式空調機",IF('2-3.設備仕様入力（適合）'!$H$124="都市ガス",IF('2-3.設備仕様入力（適合）'!$H$130="kW",ROUND('2-3.設備仕様入力（適合）'!$H$123*'2-3.設備仕様入力（適合）'!$H$129*3.6/1000*VLOOKUP('2-3.設備仕様入力（適合）'!$H$125,計算!$N$16:$P$26,3,FALSE),1),""),""),"")</f>
        <v/>
      </c>
      <c r="U35" s="45" t="str">
        <f t="shared" si="1"/>
        <v/>
      </c>
      <c r="V35" s="45" t="str">
        <f>IF('2-3.設備仕様入力（適合）'!$H$122="ガスヒートポンプ式空調機",IF('2-3.設備仕様入力（適合）'!$H$130="ｍ3N/h",ROUND('2-3.設備仕様入力（適合）'!$H$123*'2-3.設備仕様入力（適合）'!$H$128*計算!$C$10/1000*VLOOKUP('2-3.設備仕様入力（適合）'!$H$125,計算!$N$16:$P$26,2,FALSE),1),""),"")</f>
        <v/>
      </c>
      <c r="W35" s="45" t="str">
        <f>IF('2-3.設備仕様入力（適合）'!$H$122="ガスヒートポンプ式空調機",IF('2-3.設備仕様入力（適合）'!$H$130="ｍ3N/h",ROUND('2-3.設備仕様入力（適合）'!$H$123*'2-3.設備仕様入力（適合）'!$H$129*計算!$C$10/1000*VLOOKUP('2-3.設備仕様入力（適合）'!$H$125,計算!$N$16:$P$26,3,FALSE),1),""),"")</f>
        <v/>
      </c>
      <c r="X35" s="45" t="str">
        <f t="shared" si="2"/>
        <v/>
      </c>
      <c r="Y35" s="45" t="str">
        <f>IF('2-3.設備仕様入力（適合）'!$H$122="ガスヒートポンプ式空調機",IF('2-3.設備仕様入力（適合）'!$H$124="LPG",IF('2-3.設備仕様入力（適合）'!$H$130="kW",ROUND('2-3.設備仕様入力（適合）'!$H$123*'2-3.設備仕様入力（適合）'!$H$128*3.6/1000*VLOOKUP('2-3.設備仕様入力（適合）'!$H$125,計算!$N$16:$P$26,2,FALSE),1),""),""),"")</f>
        <v/>
      </c>
      <c r="Z35" s="45" t="str">
        <f>IF('2-3.設備仕様入力（適合）'!$H$122="ガスヒートポンプ式空調機",IF('2-3.設備仕様入力（適合）'!$H$124="LPG",IF('2-3.設備仕様入力（適合）'!$H$130="kW",ROUND('2-3.設備仕様入力（適合）'!$H$123*'2-3.設備仕様入力（適合）'!$H$129*3.6/1000*VLOOKUP('2-3.設備仕様入力（適合）'!$H$125,計算!$N$16:$P$26,3,FALSE),1),""),""),"")</f>
        <v/>
      </c>
      <c r="AA35" s="45" t="str">
        <f t="shared" si="3"/>
        <v/>
      </c>
      <c r="AB35" s="45" t="str">
        <f>IF('2-3.設備仕様入力（適合）'!$H$122="ガスヒートポンプ式空調機",IF('2-3.設備仕様入力（適合）'!$H$124="LPG",IF('2-3.設備仕様入力（適合）'!$H$130="kg/h",ROUND('2-3.設備仕様入力（適合）'!$H$123*'2-3.設備仕様入力（適合）'!$H$128*計算!$C$11/1000*VLOOKUP('2-3.設備仕様入力（適合）'!$H$125,計算!$N$16:$P$26,2,FALSE),1),""),""),"")</f>
        <v/>
      </c>
      <c r="AC35" s="45" t="str">
        <f>IF('2-3.設備仕様入力（適合）'!$H$122="ガスヒートポンプ式空調機",IF('2-3.設備仕様入力（適合）'!$H$124="LPG",IF('2-3.設備仕様入力（適合）'!$H$130="kg/h",ROUND('2-3.設備仕様入力（適合）'!$H$123*'2-3.設備仕様入力（適合）'!$H$129*計算!$C$11/1000*VLOOKUP('2-3.設備仕様入力（適合）'!$H$125,計算!$N$16:$P$26,3,FALSE),1),""),""),"")</f>
        <v/>
      </c>
      <c r="AD35" s="45" t="str">
        <f t="shared" si="4"/>
        <v/>
      </c>
    </row>
    <row r="36" spans="3:30" ht="20.25" thickBot="1" x14ac:dyDescent="0.5">
      <c r="I36" s="86" t="s">
        <v>185</v>
      </c>
      <c r="J36" s="11">
        <f>IF(ISERROR('4.エネルギー使用量（適合例）'!$O$57/1000*$C$21*$C$7),"",ROUND('4.エネルギー使用量（適合例）'!$O$57/1000*$C$21*$C$7,2))</f>
        <v>3.91</v>
      </c>
      <c r="K36" s="10">
        <f>IF(ISERROR('4.エネルギー使用量（適合例）'!$O$57/1000*$C$21*$E$21*$E$7),"",ROUND('4.エネルギー使用量（適合例）'!$O$57/1000*$C$21*$E$21*$E$7,2))</f>
        <v>10.84</v>
      </c>
      <c r="N36" s="85" t="s">
        <v>116</v>
      </c>
      <c r="O36" s="38" t="str">
        <f>IF(AND('2-3.設備仕様入力（適合）'!I$124="電気",'2-3.設備仕様入力（適合）'!I$130="kW"),1,IF(AND('2-3.設備仕様入力（適合）'!I$124="都市ガス",'2-3.設備仕様入力（適合）'!I$130="kW"),2,IF(AND('2-3.設備仕様入力（適合）'!I$124="都市ガス",'2-3.設備仕様入力（適合）'!I$130="ｍ3N/h"),3,IF(AND('2-3.設備仕様入力（適合）'!I$124="LPG",'2-3.設備仕様入力（適合）'!I$130="kW"),4,IF(AND('2-3.設備仕様入力（適合）'!I$124="LPG",'2-3.設備仕様入力（適合）'!I$130="kg/h"),5,"")))))</f>
        <v/>
      </c>
      <c r="P36" s="45" t="str">
        <f>IF(OR('2-3.設備仕様入力（適合）'!$I$122="電気式パッケージ形空調機",'2-3.設備仕様入力（適合）'!$I$122="ルームエアコン"),ROUND('2-3.設備仕様入力（適合）'!$I$128*'2-3.設備仕様入力（適合）'!$I$123*計算!$C$3*VLOOKUP('2-3.設備仕様入力（適合）'!$I$125,計算!$N$16:$P$26,2,FALSE)/1000,1),"")</f>
        <v/>
      </c>
      <c r="Q36" s="45" t="str">
        <f>IF(OR('2-3.設備仕様入力（適合）'!$I$122="電気式パッケージ形空調機",'2-3.設備仕様入力（適合）'!$I$122="ルームエアコン"),ROUND('2-3.設備仕様入力（適合）'!$I$129*'2-3.設備仕様入力（適合）'!$I$123*計算!$C$3*VLOOKUP('2-3.設備仕様入力（適合）'!$I$125,計算!$N$16:$P$26,3,FALSE)/1000,1),"")</f>
        <v/>
      </c>
      <c r="R36" s="45" t="str">
        <f t="shared" si="0"/>
        <v/>
      </c>
      <c r="S36" s="45" t="str">
        <f>IF('2-3.設備仕様入力（適合）'!$I$122="ガスヒートポンプ式空調機",IF('2-3.設備仕様入力（適合）'!$I$124="都市ガス",IF('2-3.設備仕様入力（適合）'!$I$130="kW",ROUND('2-3.設備仕様入力（適合）'!$I$123*'2-3.設備仕様入力（適合）'!$I$128*3.6/1000*VLOOKUP('2-3.設備仕様入力（適合）'!$I$125,計算!$N$16:$P$26,2,FALSE),1),""),""),"")</f>
        <v/>
      </c>
      <c r="T36" s="45" t="str">
        <f>IF('2-3.設備仕様入力（適合）'!$I$122="ガスヒートポンプ式空調機",IF('2-3.設備仕様入力（適合）'!$I$124="都市ガス",IF('2-3.設備仕様入力（適合）'!$I$130="kW",ROUND('2-3.設備仕様入力（適合）'!$I$123*'2-3.設備仕様入力（適合）'!$I$129*3.6/1000*VLOOKUP('2-3.設備仕様入力（適合）'!$I$125,計算!$N$16:$P$26,3,FALSE),1),""),""),"")</f>
        <v/>
      </c>
      <c r="U36" s="45" t="str">
        <f t="shared" si="1"/>
        <v/>
      </c>
      <c r="V36" s="45" t="str">
        <f>IF('2-3.設備仕様入力（適合）'!$I$122="ガスヒートポンプ式空調機",IF('2-3.設備仕様入力（適合）'!$I$130="ｍ3N/h",ROUND('2-3.設備仕様入力（適合）'!$I$123*'2-3.設備仕様入力（適合）'!$I$128*計算!$C$10/1000*VLOOKUP('2-3.設備仕様入力（適合）'!$I$125,計算!$N$16:$P$26,2,FALSE),1),""),"")</f>
        <v/>
      </c>
      <c r="W36" s="45" t="str">
        <f>IF('2-3.設備仕様入力（適合）'!$I$122="ガスヒートポンプ式空調機",IF('2-3.設備仕様入力（適合）'!$I$130="ｍ3N/h",ROUND('2-3.設備仕様入力（適合）'!$I$123*'2-3.設備仕様入力（適合）'!$I$129*計算!$C$10/1000*VLOOKUP('2-3.設備仕様入力（適合）'!$I$125,計算!$N$16:$P$26,3,FALSE),1),""),"")</f>
        <v/>
      </c>
      <c r="X36" s="45" t="str">
        <f t="shared" si="2"/>
        <v/>
      </c>
      <c r="Y36" s="45" t="str">
        <f>IF('2-3.設備仕様入力（適合）'!$I$122="ガスヒートポンプ式空調機",IF('2-3.設備仕様入力（適合）'!$I$124="LPG",IF('2-3.設備仕様入力（適合）'!$I$130="kW",ROUND('2-3.設備仕様入力（適合）'!$I$123*'2-3.設備仕様入力（適合）'!$I$128*3.6/1000*VLOOKUP('2-3.設備仕様入力（適合）'!$I$125,計算!$N$16:$P$26,2,FALSE),1),""),""),"")</f>
        <v/>
      </c>
      <c r="Z36" s="45" t="str">
        <f>IF('2-3.設備仕様入力（適合）'!$I$122="ガスヒートポンプ式空調機",IF('2-3.設備仕様入力（適合）'!$I$124="LPG",IF('2-3.設備仕様入力（適合）'!$I$130="kW",ROUND('2-3.設備仕様入力（適合）'!$I$123*'2-3.設備仕様入力（適合）'!$I$129*3.6/1000*VLOOKUP('2-3.設備仕様入力（適合）'!$I$125,計算!$N$16:$P$26,3,FALSE),1),""),""),"")</f>
        <v/>
      </c>
      <c r="AA36" s="45" t="str">
        <f t="shared" si="3"/>
        <v/>
      </c>
      <c r="AB36" s="45" t="str">
        <f>IF('2-3.設備仕様入力（適合）'!$I$122="ガスヒートポンプ式空調機",IF('2-3.設備仕様入力（適合）'!$I$124="LPG",IF('2-3.設備仕様入力（適合）'!$I$130="kg/h",ROUND('2-3.設備仕様入力（適合）'!$I$123*'2-3.設備仕様入力（適合）'!$I$128*計算!$C$11/1000*VLOOKUP('2-3.設備仕様入力（適合）'!$I$125,計算!$N$16:$P$26,2,FALSE),1),""),""),"")</f>
        <v/>
      </c>
      <c r="AC36" s="45" t="str">
        <f>IF('2-3.設備仕様入力（適合）'!$I$122="ガスヒートポンプ式空調機",IF('2-3.設備仕様入力（適合）'!$I$124="LPG",IF('2-3.設備仕様入力（適合）'!$I$130="kg/h",ROUND('2-3.設備仕様入力（適合）'!$I$123*'2-3.設備仕様入力（適合）'!$I$129*計算!$C$11/1000*VLOOKUP('2-3.設備仕様入力（適合）'!$I$125,計算!$N$16:$P$26,3,FALSE),1),""),""),"")</f>
        <v/>
      </c>
      <c r="AD36" s="45" t="str">
        <f t="shared" si="4"/>
        <v/>
      </c>
    </row>
    <row r="37" spans="3:30" ht="20.25" thickBot="1" x14ac:dyDescent="0.5">
      <c r="F37" s="7"/>
      <c r="N37" s="85" t="s">
        <v>117</v>
      </c>
      <c r="O37" s="38" t="str">
        <f>IF(AND('2-3.設備仕様入力（適合）'!J$124="電気",'2-3.設備仕様入力（適合）'!J$130="kW"),1,IF(AND('2-3.設備仕様入力（適合）'!J$124="都市ガス",'2-3.設備仕様入力（適合）'!J$130="kW"),2,IF(AND('2-3.設備仕様入力（適合）'!J$124="都市ガス",'2-3.設備仕様入力（適合）'!J$130="ｍ3N/h"),3,IF(AND('2-3.設備仕様入力（適合）'!J$124="LPG",'2-3.設備仕様入力（適合）'!J$130="kW"),4,IF(AND('2-3.設備仕様入力（適合）'!J$124="LPG",'2-3.設備仕様入力（適合）'!J$130="kg/h"),5,"")))))</f>
        <v/>
      </c>
      <c r="P37" s="45" t="str">
        <f>IF(OR('2-3.設備仕様入力（適合）'!$J$122="電気式パッケージ形空調機",'2-3.設備仕様入力（適合）'!$J$122="ルームエアコン"),ROUND('2-3.設備仕様入力（適合）'!$J$128*'2-3.設備仕様入力（適合）'!$J$123*計算!$C$3*VLOOKUP('2-3.設備仕様入力（適合）'!$J$125,計算!$N$16:$P$26,2,FALSE)/1000,1),"")</f>
        <v/>
      </c>
      <c r="Q37" s="45" t="str">
        <f>IF(OR('2-3.設備仕様入力（適合）'!$J$122="電気式パッケージ形空調機",'2-3.設備仕様入力（適合）'!$J$122="ルームエアコン"),ROUND('2-3.設備仕様入力（適合）'!$J$129*'2-3.設備仕様入力（適合）'!$J$123*計算!$C$3*VLOOKUP('2-3.設備仕様入力（適合）'!$J$125,計算!$N$16:$P$26,3,FALSE)/1000,1),"")</f>
        <v/>
      </c>
      <c r="R37" s="45" t="str">
        <f t="shared" si="0"/>
        <v/>
      </c>
      <c r="S37" s="45" t="str">
        <f>IF('2-3.設備仕様入力（適合）'!$J$122="ガスヒートポンプ式空調機",IF('2-3.設備仕様入力（適合）'!$J$124="都市ガス",IF('2-3.設備仕様入力（適合）'!$J$130="kW",ROUND('2-3.設備仕様入力（適合）'!$J$123*'2-3.設備仕様入力（適合）'!$J$128*3.6/1000*VLOOKUP('2-3.設備仕様入力（適合）'!$J$125,計算!$N$16:$P$26,2,FALSE),1),""),""),"")</f>
        <v/>
      </c>
      <c r="T37" s="45" t="str">
        <f>IF('2-3.設備仕様入力（適合）'!$J$122="ガスヒートポンプ式空調機",IF('2-3.設備仕様入力（適合）'!$J$124="都市ガス",IF('2-3.設備仕様入力（適合）'!$J$130="kW",ROUND('2-3.設備仕様入力（適合）'!$J$123*'2-3.設備仕様入力（適合）'!$J$129*3.6/1000*VLOOKUP('2-3.設備仕様入力（適合）'!$J$125,計算!$N$16:$P$26,3,FALSE),1),""),""),"")</f>
        <v/>
      </c>
      <c r="U37" s="45" t="str">
        <f t="shared" si="1"/>
        <v/>
      </c>
      <c r="V37" s="45" t="str">
        <f>IF('2-3.設備仕様入力（適合）'!$J$122="ガスヒートポンプ式空調機",IF('2-3.設備仕様入力（適合）'!$J$130="ｍ3N/h",ROUND('2-3.設備仕様入力（適合）'!$J$123*'2-3.設備仕様入力（適合）'!$J$128*計算!$C$10/1000*VLOOKUP('2-3.設備仕様入力（適合）'!$J$125,計算!$N$16:$P$26,2,FALSE),1),""),"")</f>
        <v/>
      </c>
      <c r="W37" s="45" t="str">
        <f>IF('2-3.設備仕様入力（適合）'!$J$122="ガスヒートポンプ式空調機",IF('2-3.設備仕様入力（適合）'!$J$130="ｍ3N/h",ROUND('2-3.設備仕様入力（適合）'!$J$123*'2-3.設備仕様入力（適合）'!$J$129*計算!$C$10/1000*VLOOKUP('2-3.設備仕様入力（適合）'!$J$125,計算!$N$16:$P$26,3,FALSE),1),""),"")</f>
        <v/>
      </c>
      <c r="X37" s="45" t="str">
        <f t="shared" si="2"/>
        <v/>
      </c>
      <c r="Y37" s="45" t="str">
        <f>IF('2-3.設備仕様入力（適合）'!$J$122="ガスヒートポンプ式空調機",IF('2-3.設備仕様入力（適合）'!$J$124="LPG",IF('2-3.設備仕様入力（適合）'!$J$130="kW",ROUND('2-3.設備仕様入力（適合）'!$J$123*'2-3.設備仕様入力（適合）'!$J$128*3.6/1000*VLOOKUP('2-3.設備仕様入力（適合）'!$J$125,計算!$N$16:$P$26,2,FALSE),1),""),""),"")</f>
        <v/>
      </c>
      <c r="Z37" s="45" t="str">
        <f>IF('2-3.設備仕様入力（適合）'!$J$122="ガスヒートポンプ式空調機",IF('2-3.設備仕様入力（適合）'!$J$124="LPG",IF('2-3.設備仕様入力（適合）'!$J$130="kW",ROUND('2-3.設備仕様入力（適合）'!$J$123*'2-3.設備仕様入力（適合）'!$J$129*3.6/1000*VLOOKUP('2-3.設備仕様入力（適合）'!$J$125,計算!$N$16:$P$26,3,FALSE),1),""),""),"")</f>
        <v/>
      </c>
      <c r="AA37" s="45" t="str">
        <f t="shared" si="3"/>
        <v/>
      </c>
      <c r="AB37" s="45" t="str">
        <f>IF('2-3.設備仕様入力（適合）'!$J$122="ガスヒートポンプ式空調機",IF('2-3.設備仕様入力（適合）'!$J$124="LPG",IF('2-3.設備仕様入力（適合）'!$J$130="kg/h",ROUND('2-3.設備仕様入力（適合）'!$J$123*'2-3.設備仕様入力（適合）'!$J$128*計算!$C$11/1000*VLOOKUP('2-3.設備仕様入力（適合）'!$J$125,計算!$N$16:$P$26,2,FALSE),1),""),""),"")</f>
        <v/>
      </c>
      <c r="AC37" s="45" t="str">
        <f>IF('2-3.設備仕様入力（適合）'!$J$122="ガスヒートポンプ式空調機",IF('2-3.設備仕様入力（適合）'!$J$124="LPG",IF('2-3.設備仕様入力（適合）'!$J$130="kg/h",ROUND('2-3.設備仕様入力（適合）'!$J$123*'2-3.設備仕様入力（適合）'!$J$129*計算!$C$11/1000*VLOOKUP('2-3.設備仕様入力（適合）'!$J$125,計算!$N$16:$P$26,3,FALSE),1),""),""),"")</f>
        <v/>
      </c>
      <c r="AD37" s="45" t="str">
        <f t="shared" si="4"/>
        <v/>
      </c>
    </row>
    <row r="38" spans="3:30" ht="19.5" x14ac:dyDescent="0.45">
      <c r="F38" s="7"/>
      <c r="I38" s="86" t="s">
        <v>459</v>
      </c>
      <c r="J38" s="16" t="s">
        <v>20</v>
      </c>
      <c r="K38" s="15" t="s">
        <v>19</v>
      </c>
      <c r="N38" s="85" t="s">
        <v>118</v>
      </c>
      <c r="O38" s="38" t="str">
        <f>IF(AND('2-3.設備仕様入力（適合）'!K$124="電気",'2-3.設備仕様入力（適合）'!K$130="kW"),1,IF(AND('2-3.設備仕様入力（適合）'!K$124="都市ガス",'2-3.設備仕様入力（適合）'!K$130="kW"),2,IF(AND('2-3.設備仕様入力（適合）'!K$124="都市ガス",'2-3.設備仕様入力（適合）'!K$130="ｍ3N/h"),3,IF(AND('2-3.設備仕様入力（適合）'!K$124="LPG",'2-3.設備仕様入力（適合）'!K$130="kW"),4,IF(AND('2-3.設備仕様入力（適合）'!K$124="LPG",'2-3.設備仕様入力（適合）'!K$130="kg/h"),5,"")))))</f>
        <v/>
      </c>
      <c r="P38" s="45" t="str">
        <f>IF(OR('2-3.設備仕様入力（適合）'!$K$122="電気式パッケージ形空調機",'2-3.設備仕様入力（適合）'!$K$122="ルームエアコン"),ROUND('2-3.設備仕様入力（適合）'!$K$128*'2-3.設備仕様入力（適合）'!$K$123*計算!$C$3*VLOOKUP('2-3.設備仕様入力（適合）'!$K$125,計算!$N$16:$P$26,2,FALSE)/1000,1),"")</f>
        <v/>
      </c>
      <c r="Q38" s="45" t="str">
        <f>IF(OR('2-3.設備仕様入力（適合）'!$K$122="電気式パッケージ形空調機",'2-3.設備仕様入力（適合）'!$K$122="ルームエアコン"),ROUND('2-3.設備仕様入力（適合）'!$K$129*'2-3.設備仕様入力（適合）'!$K$123*計算!$C$3*VLOOKUP('2-3.設備仕様入力（適合）'!$K$125,計算!$N$16:$P$26,3,FALSE)/1000,1),"")</f>
        <v/>
      </c>
      <c r="R38" s="45" t="str">
        <f t="shared" si="0"/>
        <v/>
      </c>
      <c r="S38" s="45" t="str">
        <f>IF('2-3.設備仕様入力（適合）'!$K$122="ガスヒートポンプ式空調機",IF('2-3.設備仕様入力（適合）'!$K$124="都市ガス",IF('2-3.設備仕様入力（適合）'!$K$130="kW",ROUND('2-3.設備仕様入力（適合）'!$K$123*'2-3.設備仕様入力（適合）'!$K$128*3.6/1000*VLOOKUP('2-3.設備仕様入力（適合）'!$K$125,計算!$N$16:$P$26,2,FALSE),1),""),""),"")</f>
        <v/>
      </c>
      <c r="T38" s="45" t="str">
        <f>IF('2-3.設備仕様入力（適合）'!$K$122="ガスヒートポンプ式空調機",IF('2-3.設備仕様入力（適合）'!$K$124="都市ガス",IF('2-3.設備仕様入力（適合）'!$K$130="kW",ROUND('2-3.設備仕様入力（適合）'!$K$123*'2-3.設備仕様入力（適合）'!$K$129*3.6/1000*VLOOKUP('2-3.設備仕様入力（適合）'!$K$125,計算!$N$16:$P$26,3,FALSE),1),""),""),"")</f>
        <v/>
      </c>
      <c r="U38" s="45" t="str">
        <f t="shared" si="1"/>
        <v/>
      </c>
      <c r="V38" s="45" t="str">
        <f>IF('2-3.設備仕様入力（適合）'!$K$122="ガスヒートポンプ式空調機",IF('2-3.設備仕様入力（適合）'!$K$130="ｍ3N/h",ROUND('2-3.設備仕様入力（適合）'!$K$123*'2-3.設備仕様入力（適合）'!$K$128*計算!$C$10/1000*VLOOKUP('2-3.設備仕様入力（適合）'!$K$125,計算!$N$16:$P$26,2,FALSE),1),""),"")</f>
        <v/>
      </c>
      <c r="W38" s="45" t="str">
        <f>IF('2-3.設備仕様入力（適合）'!$K$122="ガスヒートポンプ式空調機",IF('2-3.設備仕様入力（適合）'!$K$130="ｍ3N/h",ROUND('2-3.設備仕様入力（適合）'!$K$123*'2-3.設備仕様入力（適合）'!$K$129*計算!$C$10/1000*VLOOKUP('2-3.設備仕様入力（適合）'!$K$125,計算!$N$16:$P$26,3,FALSE),1),""),"")</f>
        <v/>
      </c>
      <c r="X38" s="45" t="str">
        <f t="shared" si="2"/>
        <v/>
      </c>
      <c r="Y38" s="45" t="str">
        <f>IF('2-3.設備仕様入力（適合）'!$K$122="ガスヒートポンプ式空調機",IF('2-3.設備仕様入力（適合）'!$K$124="LPG",IF('2-3.設備仕様入力（適合）'!$K$130="kW",ROUND('2-3.設備仕様入力（適合）'!$K$123*'2-3.設備仕様入力（適合）'!$K$128*3.6/1000*VLOOKUP('2-3.設備仕様入力（適合）'!$K$125,計算!$N$16:$P$26,2,FALSE),1),""),""),"")</f>
        <v/>
      </c>
      <c r="Z38" s="45" t="str">
        <f>IF('2-3.設備仕様入力（適合）'!$K$122="ガスヒートポンプ式空調機",IF('2-3.設備仕様入力（適合）'!$K$124="LPG",IF('2-3.設備仕様入力（適合）'!$K$130="kW",ROUND('2-3.設備仕様入力（適合）'!$K$123*'2-3.設備仕様入力（適合）'!$K$129*3.6/1000*VLOOKUP('2-3.設備仕様入力（適合）'!$K$125,計算!$N$16:$P$26,3,FALSE),1),""),""),"")</f>
        <v/>
      </c>
      <c r="AA38" s="45" t="str">
        <f t="shared" si="3"/>
        <v/>
      </c>
      <c r="AB38" s="45" t="str">
        <f>IF('2-3.設備仕様入力（適合）'!$K$122="ガスヒートポンプ式空調機",IF('2-3.設備仕様入力（適合）'!$K$124="LPG",IF('2-3.設備仕様入力（適合）'!$K$130="kg/h",ROUND('2-3.設備仕様入力（適合）'!$K$123*'2-3.設備仕様入力（適合）'!$K$128*計算!$C$11/1000*VLOOKUP('2-3.設備仕様入力（適合）'!$K$125,計算!$N$16:$P$26,2,FALSE),1),""),""),"")</f>
        <v/>
      </c>
      <c r="AC38" s="45" t="str">
        <f>IF('2-3.設備仕様入力（適合）'!$K$122="ガスヒートポンプ式空調機",IF('2-3.設備仕様入力（適合）'!$K$124="LPG",IF('2-3.設備仕様入力（適合）'!$K$130="kg/h",ROUND('2-3.設備仕様入力（適合）'!$K$123*'2-3.設備仕様入力（適合）'!$K$129*計算!$C$11/1000*VLOOKUP('2-3.設備仕様入力（適合）'!$K$125,計算!$N$16:$P$26,3,FALSE),1),""),""),"")</f>
        <v/>
      </c>
      <c r="AD38" s="45" t="str">
        <f t="shared" si="4"/>
        <v/>
      </c>
    </row>
    <row r="39" spans="3:30" ht="19.5" x14ac:dyDescent="0.45">
      <c r="F39" s="7"/>
      <c r="I39" s="86" t="s">
        <v>89</v>
      </c>
      <c r="J39" s="19" t="str">
        <f>IF(ISERROR('4.エネルギー使用量（適合例）'!$O$68/1000*$C$3*$C$7),"",ROUND('4.エネルギー使用量（適合例）'!$O$68/1000*$C$3*$C$7,2))</f>
        <v/>
      </c>
      <c r="K39" s="13">
        <f>IF(ISERROR('4.エネルギー使用量（適合例）'!$O$23/1000*$E$3),"",ROUND('4.エネルギー使用量（適合例）'!$O$23/1000*$E$3,2))</f>
        <v>6.64</v>
      </c>
      <c r="N39" s="85" t="s">
        <v>119</v>
      </c>
      <c r="O39" s="38" t="str">
        <f>IF(AND('2-3.設備仕様入力（適合）'!L$124="電気",'2-3.設備仕様入力（適合）'!L$130="kW"),1,IF(AND('2-3.設備仕様入力（適合）'!L$124="都市ガス",'2-3.設備仕様入力（適合）'!L$130="kW"),2,IF(AND('2-3.設備仕様入力（適合）'!L$124="都市ガス",'2-3.設備仕様入力（適合）'!L$130="ｍ3N/h"),3,IF(AND('2-3.設備仕様入力（適合）'!L$124="LPG",'2-3.設備仕様入力（適合）'!L$130="kW"),4,IF(AND('2-3.設備仕様入力（適合）'!L$124="LPG",'2-3.設備仕様入力（適合）'!L$130="kg/h"),5,"")))))</f>
        <v/>
      </c>
      <c r="P39" s="45" t="str">
        <f>IF(OR('2-3.設備仕様入力（適合）'!$L$122="電気式パッケージ形空調機",'2-3.設備仕様入力（適合）'!$L$122="ルームエアコン"),ROUND('2-3.設備仕様入力（適合）'!$L$128*'2-3.設備仕様入力（適合）'!$L$123*計算!$C$3*VLOOKUP('2-3.設備仕様入力（適合）'!$L$125,計算!$N$16:$P$26,2,FALSE)/1000,1),"")</f>
        <v/>
      </c>
      <c r="Q39" s="45" t="str">
        <f>IF(OR('2-3.設備仕様入力（適合）'!$L$122="電気式パッケージ形空調機",'2-3.設備仕様入力（適合）'!$L$122="ルームエアコン"),ROUND('2-3.設備仕様入力（適合）'!$L$129*'2-3.設備仕様入力（適合）'!$L$123*計算!$C$3*VLOOKUP('2-3.設備仕様入力（適合）'!$L$125,計算!$N$16:$P$26,3,FALSE)/1000,1),"")</f>
        <v/>
      </c>
      <c r="R39" s="45" t="str">
        <f t="shared" si="0"/>
        <v/>
      </c>
      <c r="S39" s="45" t="str">
        <f>IF('2-3.設備仕様入力（適合）'!$L$122="ガスヒートポンプ式空調機",IF('2-3.設備仕様入力（適合）'!$L$124="都市ガス",IF('2-3.設備仕様入力（適合）'!$L$130="kW",ROUND('2-3.設備仕様入力（適合）'!$L$123*'2-3.設備仕様入力（適合）'!$L$128*3.6/1000*VLOOKUP('2-3.設備仕様入力（適合）'!$L$125,計算!$N$16:$P$26,2,FALSE),1),""),""),"")</f>
        <v/>
      </c>
      <c r="T39" s="45" t="str">
        <f>IF('2-3.設備仕様入力（適合）'!$L$122="ガスヒートポンプ式空調機",IF('2-3.設備仕様入力（適合）'!$L$124="都市ガス",IF('2-3.設備仕様入力（適合）'!$L$130="kW",ROUND('2-3.設備仕様入力（適合）'!$L$123*'2-3.設備仕様入力（適合）'!$L$129*3.6/1000*VLOOKUP('2-3.設備仕様入力（適合）'!$L$125,計算!$N$16:$P$26,3,FALSE),1),""),""),"")</f>
        <v/>
      </c>
      <c r="U39" s="45" t="str">
        <f t="shared" si="1"/>
        <v/>
      </c>
      <c r="V39" s="45" t="str">
        <f>IF('2-3.設備仕様入力（適合）'!$L$122="ガスヒートポンプ式空調機",IF('2-3.設備仕様入力（適合）'!$L$130="ｍ3N/h",ROUND('2-3.設備仕様入力（適合）'!$L$123*'2-3.設備仕様入力（適合）'!$L$128*計算!$C$10/1000*VLOOKUP('2-3.設備仕様入力（適合）'!$L$125,計算!$N$16:$P$26,2,FALSE),1),""),"")</f>
        <v/>
      </c>
      <c r="W39" s="45" t="str">
        <f>IF('2-3.設備仕様入力（適合）'!$L$122="ガスヒートポンプ式空調機",IF('2-3.設備仕様入力（適合）'!$L$130="ｍ3N/h",ROUND('2-3.設備仕様入力（適合）'!$L$123*'2-3.設備仕様入力（適合）'!$L$129*計算!$C$10/1000*VLOOKUP('2-3.設備仕様入力（適合）'!$L$125,計算!$N$16:$P$26,3,FALSE),1),""),"")</f>
        <v/>
      </c>
      <c r="X39" s="45" t="str">
        <f t="shared" si="2"/>
        <v/>
      </c>
      <c r="Y39" s="45" t="str">
        <f>IF('2-3.設備仕様入力（適合）'!$L$122="ガスヒートポンプ式空調機",IF('2-3.設備仕様入力（適合）'!$L$124="LPG",IF('2-3.設備仕様入力（適合）'!$L$130="kW",ROUND('2-3.設備仕様入力（適合）'!$L$123*'2-3.設備仕様入力（適合）'!$L$128*3.6/1000*VLOOKUP('2-3.設備仕様入力（適合）'!$L$125,計算!$N$16:$P$26,2,FALSE),1),""),""),"")</f>
        <v/>
      </c>
      <c r="Z39" s="45" t="str">
        <f>IF('2-3.設備仕様入力（適合）'!$L$122="ガスヒートポンプ式空調機",IF('2-3.設備仕様入力（適合）'!$L$124="LPG",IF('2-3.設備仕様入力（適合）'!$L$130="kW",ROUND('2-3.設備仕様入力（適合）'!$L$123*'2-3.設備仕様入力（適合）'!$L$129*3.6/1000*VLOOKUP('2-3.設備仕様入力（適合）'!$L$125,計算!$N$16:$P$26,3,FALSE),1),""),""),"")</f>
        <v/>
      </c>
      <c r="AA39" s="45" t="str">
        <f t="shared" si="3"/>
        <v/>
      </c>
      <c r="AB39" s="45" t="str">
        <f>IF('2-3.設備仕様入力（適合）'!$L$122="ガスヒートポンプ式空調機",IF('2-3.設備仕様入力（適合）'!$L$124="LPG",IF('2-3.設備仕様入力（適合）'!$L$130="kg/h",ROUND('2-3.設備仕様入力（適合）'!$L$123*'2-3.設備仕様入力（適合）'!$L$128*計算!$C$11/1000*VLOOKUP('2-3.設備仕様入力（適合）'!$L$125,計算!$N$16:$P$26,2,FALSE),1),""),""),"")</f>
        <v/>
      </c>
      <c r="AC39" s="45" t="str">
        <f>IF('2-3.設備仕様入力（適合）'!$L$122="ガスヒートポンプ式空調機",IF('2-3.設備仕様入力（適合）'!$L$124="LPG",IF('2-3.設備仕様入力（適合）'!$L$130="kg/h",ROUND('2-3.設備仕様入力（適合）'!$L$123*'2-3.設備仕様入力（適合）'!$L$129*計算!$C$11/1000*VLOOKUP('2-3.設備仕様入力（適合）'!$L$125,計算!$N$16:$P$26,3,FALSE),1),""),""),"")</f>
        <v/>
      </c>
      <c r="AD39" s="45" t="str">
        <f t="shared" si="4"/>
        <v/>
      </c>
    </row>
    <row r="40" spans="3:30" ht="19.5" x14ac:dyDescent="0.45">
      <c r="F40" s="7"/>
      <c r="I40" s="86" t="s">
        <v>453</v>
      </c>
      <c r="J40" s="14" t="str">
        <f>IF(ISERROR('4.エネルギー使用量（適合例）'!$O$68/1000*$C$10*$C$7*$C$15),"",ROUND('4.エネルギー使用量（適合例）'!$O$68/1000*$C$10*$C$7*$C$15,2))</f>
        <v/>
      </c>
      <c r="K40" s="13">
        <f>IF(ISERROR('4.エネルギー使用量（適合例）'!$O$35/1000*$C$10*$E$10*$E$7),"",ROUND('4.エネルギー使用量（適合例）'!$O$35/1000*$C$10*$E$10*$E$7,2))</f>
        <v>2.74</v>
      </c>
      <c r="L40" s="5" t="s">
        <v>454</v>
      </c>
      <c r="N40" s="85" t="s">
        <v>120</v>
      </c>
      <c r="O40" s="38" t="str">
        <f>IF(AND('2-3.設備仕様入力（適合）'!M$124="電気",'2-3.設備仕様入力（適合）'!M$130="kW"),1,IF(AND('2-3.設備仕様入力（適合）'!M$124="都市ガス",'2-3.設備仕様入力（適合）'!M$130="kW"),2,IF(AND('2-3.設備仕様入力（適合）'!M$124="都市ガス",'2-3.設備仕様入力（適合）'!M$130="ｍ3N/h"),3,IF(AND('2-3.設備仕様入力（適合）'!M$124="LPG",'2-3.設備仕様入力（適合）'!M$130="kW"),4,IF(AND('2-3.設備仕様入力（適合）'!M$124="LPG",'2-3.設備仕様入力（適合）'!M$130="kg/h"),5,"")))))</f>
        <v/>
      </c>
      <c r="P40" s="45" t="str">
        <f>IF(OR('2-3.設備仕様入力（適合）'!$M$122="電気式パッケージ形空調機",'2-3.設備仕様入力（適合）'!$M$122="ルームエアコン"),ROUND('2-3.設備仕様入力（適合）'!$M$128*'2-3.設備仕様入力（適合）'!$M$123*計算!$C$3*VLOOKUP('2-3.設備仕様入力（適合）'!$M$125,計算!$N$16:$P$26,2,FALSE)/1000,1),"")</f>
        <v/>
      </c>
      <c r="Q40" s="45" t="str">
        <f>IF(OR('2-3.設備仕様入力（適合）'!$M$122="電気式パッケージ形空調機",'2-3.設備仕様入力（適合）'!$M$122="ルームエアコン"),ROUND('2-3.設備仕様入力（適合）'!$M$129*'2-3.設備仕様入力（適合）'!$M$123*計算!$C$3*VLOOKUP('2-3.設備仕様入力（適合）'!$M$125,計算!$N$16:$P$26,3,FALSE)/1000,1),"")</f>
        <v/>
      </c>
      <c r="R40" s="45" t="str">
        <f t="shared" si="0"/>
        <v/>
      </c>
      <c r="S40" s="45" t="str">
        <f>IF('2-3.設備仕様入力（適合）'!$M$122="ガスヒートポンプ式空調機",IF('2-3.設備仕様入力（適合）'!$M$124="都市ガス",IF('2-3.設備仕様入力（適合）'!$M$130="kW",ROUND('2-3.設備仕様入力（適合）'!$M$123*'2-3.設備仕様入力（適合）'!$M$128*3.6/1000*VLOOKUP('2-3.設備仕様入力（適合）'!$M$125,計算!$N$16:$P$26,2,FALSE),1),""),""),"")</f>
        <v/>
      </c>
      <c r="T40" s="45" t="str">
        <f>IF('2-3.設備仕様入力（適合）'!$M$122="ガスヒートポンプ式空調機",IF('2-3.設備仕様入力（適合）'!$M$124="都市ガス",IF('2-3.設備仕様入力（適合）'!$M$130="kW",ROUND('2-3.設備仕様入力（適合）'!$M$123*'2-3.設備仕様入力（適合）'!$M$129*3.6/1000*VLOOKUP('2-3.設備仕様入力（適合）'!$M$125,計算!$N$16:$P$26,3,FALSE),1),""),""),"")</f>
        <v/>
      </c>
      <c r="U40" s="45" t="str">
        <f t="shared" si="1"/>
        <v/>
      </c>
      <c r="V40" s="45" t="str">
        <f>IF('2-3.設備仕様入力（適合）'!$M$122="ガスヒートポンプ式空調機",IF('2-3.設備仕様入力（適合）'!$M$130="ｍ3N/h",ROUND('2-3.設備仕様入力（適合）'!$M$123*'2-3.設備仕様入力（適合）'!$M$128*計算!$C$10/1000*VLOOKUP('2-3.設備仕様入力（適合）'!$M$125,計算!$N$16:$P$26,2,FALSE),1),""),"")</f>
        <v/>
      </c>
      <c r="W40" s="45" t="str">
        <f>IF('2-3.設備仕様入力（適合）'!$M$122="ガスヒートポンプ式空調機",IF('2-3.設備仕様入力（適合）'!$M$130="ｍ3N/h",ROUND('2-3.設備仕様入力（適合）'!$M$123*'2-3.設備仕様入力（適合）'!$M$129*計算!$C$10/1000*VLOOKUP('2-3.設備仕様入力（適合）'!$M$125,計算!$N$16:$P$26,3,FALSE),1),""),"")</f>
        <v/>
      </c>
      <c r="X40" s="45" t="str">
        <f t="shared" si="2"/>
        <v/>
      </c>
      <c r="Y40" s="45" t="str">
        <f>IF('2-3.設備仕様入力（適合）'!$M$122="ガスヒートポンプ式空調機",IF('2-3.設備仕様入力（適合）'!$M$124="LPG",IF('2-3.設備仕様入力（適合）'!$M$130="kW",ROUND('2-3.設備仕様入力（適合）'!$M$123*'2-3.設備仕様入力（適合）'!$M$128*3.6/1000*VLOOKUP('2-3.設備仕様入力（適合）'!$M$125,計算!$N$16:$P$26,2,FALSE),1),""),""),"")</f>
        <v/>
      </c>
      <c r="Z40" s="45" t="str">
        <f>IF('2-3.設備仕様入力（適合）'!$M$122="ガスヒートポンプ式空調機",IF('2-3.設備仕様入力（適合）'!$M$124="LPG",IF('2-3.設備仕様入力（適合）'!$M$130="kW",ROUND('2-3.設備仕様入力（適合）'!$M$123*'2-3.設備仕様入力（適合）'!$M$129*3.6/1000*VLOOKUP('2-3.設備仕様入力（適合）'!$M$125,計算!$N$16:$P$26,3,FALSE),1),""),""),"")</f>
        <v/>
      </c>
      <c r="AA40" s="45" t="str">
        <f t="shared" si="3"/>
        <v/>
      </c>
      <c r="AB40" s="45" t="str">
        <f>IF('2-3.設備仕様入力（適合）'!$M$122="ガスヒートポンプ式空調機",IF('2-3.設備仕様入力（適合）'!$M$124="LPG",IF('2-3.設備仕様入力（適合）'!$M$130="kg/h",ROUND('2-3.設備仕様入力（適合）'!$M$123*'2-3.設備仕様入力（適合）'!$M$128*計算!$C$11/1000*VLOOKUP('2-3.設備仕様入力（適合）'!$M$125,計算!$N$16:$P$26,2,FALSE),1),""),""),"")</f>
        <v/>
      </c>
      <c r="AC40" s="45" t="str">
        <f>IF('2-3.設備仕様入力（適合）'!$M$122="ガスヒートポンプ式空調機",IF('2-3.設備仕様入力（適合）'!$M$124="LPG",IF('2-3.設備仕様入力（適合）'!$M$130="kg/h",ROUND('2-3.設備仕様入力（適合）'!$M$123*'2-3.設備仕様入力（適合）'!$M$129*計算!$C$11/1000*VLOOKUP('2-3.設備仕様入力（適合）'!$M$125,計算!$N$16:$P$26,3,FALSE),1),""),""),"")</f>
        <v/>
      </c>
      <c r="AD40" s="45" t="str">
        <f t="shared" si="4"/>
        <v/>
      </c>
    </row>
    <row r="41" spans="3:30" ht="19.5" x14ac:dyDescent="0.45">
      <c r="F41" s="7"/>
      <c r="I41" s="86" t="s">
        <v>186</v>
      </c>
      <c r="J41" s="19" t="str">
        <f>IF(ISERROR('4.エネルギー使用量（適合例）'!$O$68/1000*$C$4*$C$7),"",ROUND('4.エネルギー使用量（適合例）'!$O$68/1000*$C$4*$C$7,2))</f>
        <v/>
      </c>
      <c r="K41" s="13" t="str">
        <f>IF(ISERROR('4.エネルギー使用量（適合例）'!$O$68/1000*$C$4*$E$4),"",ROUND('4.エネルギー使用量（適合例）'!$O$68/1000*$C$4*$E$4,2))</f>
        <v/>
      </c>
      <c r="N41" s="85" t="s">
        <v>377</v>
      </c>
      <c r="O41" s="38" t="str">
        <f>IF(AND('2-3.設備仕様入力（適合）'!N$124="電気",'2-3.設備仕様入力（適合）'!N$130="kW"),1,IF(AND('2-3.設備仕様入力（適合）'!N$124="都市ガス",'2-3.設備仕様入力（適合）'!N$130="kW"),2,IF(AND('2-3.設備仕様入力（適合）'!N$124="都市ガス",'2-3.設備仕様入力（適合）'!N$130="ｍ3N/h"),3,IF(AND('2-3.設備仕様入力（適合）'!N$124="LPG",'2-3.設備仕様入力（適合）'!N$130="kW"),4,IF(AND('2-3.設備仕様入力（適合）'!N$124="LPG",'2-3.設備仕様入力（適合）'!N$130="kg/h"),5,"")))))</f>
        <v/>
      </c>
      <c r="P41" s="45" t="str">
        <f>IF(OR('2-3.設備仕様入力（適合）'!$N$122="電気式パッケージ形空調機",'2-3.設備仕様入力（適合）'!$N$122="ルームエアコン"),ROUND('2-3.設備仕様入力（適合）'!$N$128*'2-3.設備仕様入力（適合）'!$N$123*計算!$C$3*VLOOKUP('2-3.設備仕様入力（適合）'!$N$125,計算!$N$16:$P$26,2,FALSE)/1000,1),"")</f>
        <v/>
      </c>
      <c r="Q41" s="45" t="str">
        <f>IF(OR('2-3.設備仕様入力（適合）'!$N$122="電気式パッケージ形空調機",'2-3.設備仕様入力（適合）'!$N$122="ルームエアコン"),ROUND('2-3.設備仕様入力（適合）'!$N$129*'2-3.設備仕様入力（適合）'!$N$123*計算!$C$3*VLOOKUP('2-3.設備仕様入力（適合）'!$N$125,計算!$N$16:$P$26,3,FALSE)/1000,1),"")</f>
        <v/>
      </c>
      <c r="R41" s="45" t="str">
        <f t="shared" ref="R41:R50" si="5">IF(AND(P41="",Q41=""),"",P41+Q41)</f>
        <v/>
      </c>
      <c r="S41" s="45" t="str">
        <f>IF('2-3.設備仕様入力（適合）'!$N$122="ガスヒートポンプ式空調機",IF('2-3.設備仕様入力（適合）'!$N$124="都市ガス",IF('2-3.設備仕様入力（適合）'!$N$130="kW",ROUND('2-3.設備仕様入力（適合）'!$N$123*'2-3.設備仕様入力（適合）'!$N$128*3.6/1000*VLOOKUP('2-3.設備仕様入力（適合）'!$N$125,計算!$N$16:$P$26,2,FALSE),1),""),""),"")</f>
        <v/>
      </c>
      <c r="T41" s="45" t="str">
        <f>IF('2-3.設備仕様入力（適合）'!$N$122="ガスヒートポンプ式空調機",IF('2-3.設備仕様入力（適合）'!$N$124="都市ガス",IF('2-3.設備仕様入力（適合）'!$N$130="kW",ROUND('2-3.設備仕様入力（適合）'!$N$123*'2-3.設備仕様入力（適合）'!$N$129*3.6/1000*VLOOKUP('2-3.設備仕様入力（適合）'!$N$125,計算!$N$16:$P$26,3,FALSE),1),""),""),"")</f>
        <v/>
      </c>
      <c r="U41" s="45" t="str">
        <f t="shared" ref="U41:U50" si="6">IF(AND(S41="",T41=""),"",S41+T41)</f>
        <v/>
      </c>
      <c r="V41" s="45" t="str">
        <f>IF('2-3.設備仕様入力（適合）'!$N$122="ガスヒートポンプ式空調機",IF('2-3.設備仕様入力（適合）'!$N$130="ｍ3N/h",ROUND('2-3.設備仕様入力（適合）'!$N$123*'2-3.設備仕様入力（適合）'!$N$128*計算!$C$10/1000*VLOOKUP('2-3.設備仕様入力（適合）'!$N$125,計算!$N$16:$P$26,2,FALSE),1),""),"")</f>
        <v/>
      </c>
      <c r="W41" s="45" t="str">
        <f>IF('2-3.設備仕様入力（適合）'!$N$122="ガスヒートポンプ式空調機",IF('2-3.設備仕様入力（適合）'!$N$130="ｍ3N/h",ROUND('2-3.設備仕様入力（適合）'!$N$123*'2-3.設備仕様入力（適合）'!$N$129*計算!$C$10/1000*VLOOKUP('2-3.設備仕様入力（適合）'!$N$125,計算!$N$16:$P$26,3,FALSE),1),""),"")</f>
        <v/>
      </c>
      <c r="X41" s="45" t="str">
        <f t="shared" ref="X41:X50" si="7">IF(AND(V41="",W41=""),"",V41+W41)</f>
        <v/>
      </c>
      <c r="Y41" s="45" t="str">
        <f>IF('2-3.設備仕様入力（適合）'!$N$122="ガスヒートポンプ式空調機",IF('2-3.設備仕様入力（適合）'!$N$124="LPG",IF('2-3.設備仕様入力（適合）'!$N$130="kW",ROUND('2-3.設備仕様入力（適合）'!$N$123*'2-3.設備仕様入力（適合）'!$N$128*3.6/1000*VLOOKUP('2-3.設備仕様入力（適合）'!$N$125,計算!$N$16:$P$26,2,FALSE),1),""),""),"")</f>
        <v/>
      </c>
      <c r="Z41" s="45" t="str">
        <f>IF('2-3.設備仕様入力（適合）'!$N$122="ガスヒートポンプ式空調機",IF('2-3.設備仕様入力（適合）'!$N$124="LPG",IF('2-3.設備仕様入力（適合）'!$N$130="kW",ROUND('2-3.設備仕様入力（適合）'!$N$123*'2-3.設備仕様入力（適合）'!$N$129*3.6/1000*VLOOKUP('2-3.設備仕様入力（適合）'!$N$125,計算!$N$16:$P$26,3,FALSE),1),""),""),"")</f>
        <v/>
      </c>
      <c r="AA41" s="45" t="str">
        <f t="shared" ref="AA41:AA50" si="8">IF(AND(Y41="",Z41=""),"",Y41+Z41)</f>
        <v/>
      </c>
      <c r="AB41" s="45" t="str">
        <f>IF('2-3.設備仕様入力（適合）'!$N$122="ガスヒートポンプ式空調機",IF('2-3.設備仕様入力（適合）'!$N$124="LPG",IF('2-3.設備仕様入力（適合）'!$N$130="kg/h",ROUND('2-3.設備仕様入力（適合）'!$N$123*'2-3.設備仕様入力（適合）'!$N$128*計算!$C$11/1000*VLOOKUP('2-3.設備仕様入力（適合）'!$N$125,計算!$N$16:$P$26,2,FALSE),1),""),""),"")</f>
        <v/>
      </c>
      <c r="AC41" s="45" t="str">
        <f>IF('2-3.設備仕様入力（適合）'!$N$122="ガスヒートポンプ式空調機",IF('2-3.設備仕様入力（適合）'!$N$124="LPG",IF('2-3.設備仕様入力（適合）'!$N$130="kg/h",ROUND('2-3.設備仕様入力（適合）'!$N$123*'2-3.設備仕様入力（適合）'!$N$129*計算!$C$11/1000*VLOOKUP('2-3.設備仕様入力（適合）'!$N$125,計算!$N$16:$P$26,3,FALSE),1),""),""),"")</f>
        <v/>
      </c>
      <c r="AD41" s="45" t="str">
        <f t="shared" ref="AD41:AD50" si="9">IF(AND(AB41="",AC41=""),"",AB41+AC41)</f>
        <v/>
      </c>
    </row>
    <row r="42" spans="3:30" ht="19.5" x14ac:dyDescent="0.45">
      <c r="F42" s="7"/>
      <c r="I42" s="86" t="s">
        <v>187</v>
      </c>
      <c r="J42" s="19" t="str">
        <f>IF(ISERROR('4.エネルギー使用量（適合例）'!$O$68/1000*$C$5*$C$7),"",ROUND('4.エネルギー使用量（適合例）'!$O$68/1000*$C$5*$C$7,2))</f>
        <v/>
      </c>
      <c r="K42" s="13" t="str">
        <f>IF(ISERROR('4.エネルギー使用量（適合例）'!$O$68/1000*$C$5*$E$5),"",ROUND('4.エネルギー使用量（適合例）'!$O$68/1000*$C$5*$E$5,2))</f>
        <v/>
      </c>
      <c r="N42" s="85" t="s">
        <v>378</v>
      </c>
      <c r="O42" s="38" t="str">
        <f>IF(AND('2-3.設備仕様入力（適合）'!O$124="電気",'2-3.設備仕様入力（適合）'!O$130="kW"),1,IF(AND('2-3.設備仕様入力（適合）'!O$124="都市ガス",'2-3.設備仕様入力（適合）'!O$130="kW"),2,IF(AND('2-3.設備仕様入力（適合）'!O$124="都市ガス",'2-3.設備仕様入力（適合）'!O$130="ｍ3N/h"),3,IF(AND('2-3.設備仕様入力（適合）'!O$124="LPG",'2-3.設備仕様入力（適合）'!O$130="kW"),4,IF(AND('2-3.設備仕様入力（適合）'!O$124="LPG",'2-3.設備仕様入力（適合）'!O$130="kg/h"),5,"")))))</f>
        <v/>
      </c>
      <c r="P42" s="45" t="str">
        <f>IF(OR('2-3.設備仕様入力（適合）'!$O$122="電気式パッケージ形空調機",'2-3.設備仕様入力（適合）'!$O$122="ルームエアコン"),ROUND('2-3.設備仕様入力（適合）'!$O$128*'2-3.設備仕様入力（適合）'!$O$123*計算!$C$3*VLOOKUP('2-3.設備仕様入力（適合）'!$O$125,計算!$N$16:$P$26,2,FALSE)/1000,1),"")</f>
        <v/>
      </c>
      <c r="Q42" s="45" t="str">
        <f>IF(OR('2-3.設備仕様入力（適合）'!$O$122="電気式パッケージ形空調機",'2-3.設備仕様入力（適合）'!$O$122="ルームエアコン"),ROUND('2-3.設備仕様入力（適合）'!$O$129*'2-3.設備仕様入力（適合）'!$O$123*計算!$C$3*VLOOKUP('2-3.設備仕様入力（適合）'!$O$125,計算!$N$16:$P$26,3,FALSE)/1000,1),"")</f>
        <v/>
      </c>
      <c r="R42" s="45" t="str">
        <f t="shared" si="5"/>
        <v/>
      </c>
      <c r="S42" s="45" t="str">
        <f>IF('2-3.設備仕様入力（適合）'!$O$122="ガスヒートポンプ式空調機",IF('2-3.設備仕様入力（適合）'!$O$124="都市ガス",IF('2-3.設備仕様入力（適合）'!$O$130="kW",ROUND('2-3.設備仕様入力（適合）'!$O$123*'2-3.設備仕様入力（適合）'!$O$128*3.6/1000*VLOOKUP('2-3.設備仕様入力（適合）'!$O$125,計算!$N$16:$P$26,2,FALSE),1),""),""),"")</f>
        <v/>
      </c>
      <c r="T42" s="45" t="str">
        <f>IF('2-3.設備仕様入力（適合）'!$O$122="ガスヒートポンプ式空調機",IF('2-3.設備仕様入力（適合）'!$O$124="都市ガス",IF('2-3.設備仕様入力（適合）'!$O$130="kW",ROUND('2-3.設備仕様入力（適合）'!$O$123*'2-3.設備仕様入力（適合）'!$O$129*3.6/1000*VLOOKUP('2-3.設備仕様入力（適合）'!$O$125,計算!$N$16:$P$26,3,FALSE),1),""),""),"")</f>
        <v/>
      </c>
      <c r="U42" s="45" t="str">
        <f t="shared" si="6"/>
        <v/>
      </c>
      <c r="V42" s="45" t="str">
        <f>IF('2-3.設備仕様入力（適合）'!$O$122="ガスヒートポンプ式空調機",IF('2-3.設備仕様入力（適合）'!$O$130="ｍ3N/h",ROUND('2-3.設備仕様入力（適合）'!$O$123*'2-3.設備仕様入力（適合）'!$O$128*計算!$C$10/1000*VLOOKUP('2-3.設備仕様入力（適合）'!$O$125,計算!$N$16:$P$26,2,FALSE),1),""),"")</f>
        <v/>
      </c>
      <c r="W42" s="45" t="str">
        <f>IF('2-3.設備仕様入力（適合）'!$O$122="ガスヒートポンプ式空調機",IF('2-3.設備仕様入力（適合）'!$O$130="ｍ3N/h",ROUND('2-3.設備仕様入力（適合）'!$O$123*'2-3.設備仕様入力（適合）'!$O$129*計算!$C$10/1000*VLOOKUP('2-3.設備仕様入力（適合）'!$O$125,計算!$N$16:$P$26,3,FALSE),1),""),"")</f>
        <v/>
      </c>
      <c r="X42" s="45" t="str">
        <f t="shared" si="7"/>
        <v/>
      </c>
      <c r="Y42" s="45" t="str">
        <f>IF('2-3.設備仕様入力（適合）'!$O$122="ガスヒートポンプ式空調機",IF('2-3.設備仕様入力（適合）'!$O$124="LPG",IF('2-3.設備仕様入力（適合）'!$O$130="kW",ROUND('2-3.設備仕様入力（適合）'!$O$123*'2-3.設備仕様入力（適合）'!$O$128*3.6/1000*VLOOKUP('2-3.設備仕様入力（適合）'!$O$125,計算!$N$16:$P$26,2,FALSE),1),""),""),"")</f>
        <v/>
      </c>
      <c r="Z42" s="45" t="str">
        <f>IF('2-3.設備仕様入力（適合）'!$O$122="ガスヒートポンプ式空調機",IF('2-3.設備仕様入力（適合）'!$O$124="LPG",IF('2-3.設備仕様入力（適合）'!$O$130="kW",ROUND('2-3.設備仕様入力（適合）'!$O$123*'2-3.設備仕様入力（適合）'!$O$129*3.6/1000*VLOOKUP('2-3.設備仕様入力（適合）'!$O$125,計算!$N$16:$P$26,3,FALSE),1),""),""),"")</f>
        <v/>
      </c>
      <c r="AA42" s="45" t="str">
        <f t="shared" si="8"/>
        <v/>
      </c>
      <c r="AB42" s="45" t="str">
        <f>IF('2-3.設備仕様入力（適合）'!$O$122="ガスヒートポンプ式空調機",IF('2-3.設備仕様入力（適合）'!$O$124="LPG",IF('2-3.設備仕様入力（適合）'!$O$130="kg/h",ROUND('2-3.設備仕様入力（適合）'!$O$123*'2-3.設備仕様入力（適合）'!$O$128*計算!$C$11/1000*VLOOKUP('2-3.設備仕様入力（適合）'!$O$125,計算!$N$16:$P$26,2,FALSE),1),""),""),"")</f>
        <v/>
      </c>
      <c r="AC42" s="45" t="str">
        <f>IF('2-3.設備仕様入力（適合）'!$O$122="ガスヒートポンプ式空調機",IF('2-3.設備仕様入力（適合）'!$O$124="LPG",IF('2-3.設備仕様入力（適合）'!$O$130="kg/h",ROUND('2-3.設備仕様入力（適合）'!$O$123*'2-3.設備仕様入力（適合）'!$O$129*計算!$C$11/1000*VLOOKUP('2-3.設備仕様入力（適合）'!$O$125,計算!$N$16:$P$26,3,FALSE),1),""),""),"")</f>
        <v/>
      </c>
      <c r="AD42" s="45" t="str">
        <f t="shared" si="9"/>
        <v/>
      </c>
    </row>
    <row r="43" spans="3:30" ht="19.5" x14ac:dyDescent="0.45">
      <c r="F43" s="7"/>
      <c r="I43" s="86" t="s">
        <v>188</v>
      </c>
      <c r="J43" s="19" t="str">
        <f>IF(ISERROR('4.エネルギー使用量（適合例）'!$O$68/1000*$C$6*$C$7),"",ROUND('4.エネルギー使用量（適合例）'!$O$68/1000*$C$6*$C$7,2))</f>
        <v/>
      </c>
      <c r="K43" s="13" t="str">
        <f>IF(ISERROR('4.エネルギー使用量（適合例）'!$O$68/1000*$C$6*$E$6),"",ROUND('4.エネルギー使用量（適合例）'!$O$68/1000*$C$6*$E$6,2))</f>
        <v/>
      </c>
      <c r="N43" s="85" t="s">
        <v>379</v>
      </c>
      <c r="O43" s="38" t="str">
        <f>IF(AND('2-3.設備仕様入力（適合）'!P$124="電気",'2-3.設備仕様入力（適合）'!P$130="kW"),1,IF(AND('2-3.設備仕様入力（適合）'!P$124="都市ガス",'2-3.設備仕様入力（適合）'!P$130="kW"),2,IF(AND('2-3.設備仕様入力（適合）'!P$124="都市ガス",'2-3.設備仕様入力（適合）'!P$130="ｍ3N/h"),3,IF(AND('2-3.設備仕様入力（適合）'!P$124="LPG",'2-3.設備仕様入力（適合）'!P$130="kW"),4,IF(AND('2-3.設備仕様入力（適合）'!P$124="LPG",'2-3.設備仕様入力（適合）'!P$130="kg/h"),5,"")))))</f>
        <v/>
      </c>
      <c r="P43" s="45" t="str">
        <f>IF(OR('2-3.設備仕様入力（適合）'!$P$122="電気式パッケージ形空調機",'2-3.設備仕様入力（適合）'!$P$122="ルームエアコン"),ROUND('2-3.設備仕様入力（適合）'!$P$128*'2-3.設備仕様入力（適合）'!$P$123*計算!$C$3*VLOOKUP('2-3.設備仕様入力（適合）'!$P$125,計算!$N$16:$P$26,2,FALSE)/1000,1),"")</f>
        <v/>
      </c>
      <c r="Q43" s="45" t="str">
        <f>IF(OR('2-3.設備仕様入力（適合）'!$P$122="電気式パッケージ形空調機",'2-3.設備仕様入力（適合）'!$P$122="ルームエアコン"),ROUND('2-3.設備仕様入力（適合）'!$P$129*'2-3.設備仕様入力（適合）'!$P$123*計算!$C$3*VLOOKUP('2-3.設備仕様入力（適合）'!$P$125,計算!$N$16:$P$26,3,FALSE)/1000,1),"")</f>
        <v/>
      </c>
      <c r="R43" s="45" t="str">
        <f t="shared" si="5"/>
        <v/>
      </c>
      <c r="S43" s="45" t="str">
        <f>IF('2-3.設備仕様入力（適合）'!$P$122="ガスヒートポンプ式空調機",IF('2-3.設備仕様入力（適合）'!$P$124="都市ガス",IF('2-3.設備仕様入力（適合）'!$P$130="kW",ROUND('2-3.設備仕様入力（適合）'!$P$123*'2-3.設備仕様入力（適合）'!$P$128*3.6/1000*VLOOKUP('2-3.設備仕様入力（適合）'!$P$125,計算!$N$16:$P$26,2,FALSE),1),""),""),"")</f>
        <v/>
      </c>
      <c r="T43" s="45" t="str">
        <f>IF('2-3.設備仕様入力（適合）'!$P$122="ガスヒートポンプ式空調機",IF('2-3.設備仕様入力（適合）'!$P$124="都市ガス",IF('2-3.設備仕様入力（適合）'!$P$130="kW",ROUND('2-3.設備仕様入力（適合）'!$P$123*'2-3.設備仕様入力（適合）'!$P$129*3.6/1000*VLOOKUP('2-3.設備仕様入力（適合）'!$P$125,計算!$N$16:$P$26,3,FALSE),1),""),""),"")</f>
        <v/>
      </c>
      <c r="U43" s="45" t="str">
        <f t="shared" si="6"/>
        <v/>
      </c>
      <c r="V43" s="45" t="str">
        <f>IF('2-3.設備仕様入力（適合）'!$P$122="ガスヒートポンプ式空調機",IF('2-3.設備仕様入力（適合）'!$P$130="ｍ3N/h",ROUND('2-3.設備仕様入力（適合）'!$P$123*'2-3.設備仕様入力（適合）'!$P$128*計算!$C$10/1000*VLOOKUP('2-3.設備仕様入力（適合）'!$P$125,計算!$N$16:$P$26,2,FALSE),1),""),"")</f>
        <v/>
      </c>
      <c r="W43" s="45" t="str">
        <f>IF('2-3.設備仕様入力（適合）'!$P$122="ガスヒートポンプ式空調機",IF('2-3.設備仕様入力（適合）'!$P$130="ｍ3N/h",ROUND('2-3.設備仕様入力（適合）'!$P$123*'2-3.設備仕様入力（適合）'!$P$129*計算!$C$10/1000*VLOOKUP('2-3.設備仕様入力（適合）'!$P$125,計算!$N$16:$P$26,3,FALSE),1),""),"")</f>
        <v/>
      </c>
      <c r="X43" s="45" t="str">
        <f t="shared" si="7"/>
        <v/>
      </c>
      <c r="Y43" s="45" t="str">
        <f>IF('2-3.設備仕様入力（適合）'!$P$122="ガスヒートポンプ式空調機",IF('2-3.設備仕様入力（適合）'!$P$124="LPG",IF('2-3.設備仕様入力（適合）'!$P$130="kW",ROUND('2-3.設備仕様入力（適合）'!$P$123*'2-3.設備仕様入力（適合）'!$P$128*3.6/1000*VLOOKUP('2-3.設備仕様入力（適合）'!$P$125,計算!$N$16:$P$26,2,FALSE),1),""),""),"")</f>
        <v/>
      </c>
      <c r="Z43" s="45" t="str">
        <f>IF('2-3.設備仕様入力（適合）'!$P$122="ガスヒートポンプ式空調機",IF('2-3.設備仕様入力（適合）'!$P$124="LPG",IF('2-3.設備仕様入力（適合）'!$P$130="kW",ROUND('2-3.設備仕様入力（適合）'!$P$123*'2-3.設備仕様入力（適合）'!$P$129*3.6/1000*VLOOKUP('2-3.設備仕様入力（適合）'!$P$125,計算!$N$16:$P$26,3,FALSE),1),""),""),"")</f>
        <v/>
      </c>
      <c r="AA43" s="45" t="str">
        <f t="shared" si="8"/>
        <v/>
      </c>
      <c r="AB43" s="45" t="str">
        <f>IF('2-3.設備仕様入力（適合）'!$P$122="ガスヒートポンプ式空調機",IF('2-3.設備仕様入力（適合）'!$P$124="LPG",IF('2-3.設備仕様入力（適合）'!$P$130="kg/h",ROUND('2-3.設備仕様入力（適合）'!$P$123*'2-3.設備仕様入力（適合）'!$P$128*計算!$C$11/1000*VLOOKUP('2-3.設備仕様入力（適合）'!$P$125,計算!$N$16:$P$26,2,FALSE),1),""),""),"")</f>
        <v/>
      </c>
      <c r="AC43" s="45" t="str">
        <f>IF('2-3.設備仕様入力（適合）'!$P$122="ガスヒートポンプ式空調機",IF('2-3.設備仕様入力（適合）'!$P$124="LPG",IF('2-3.設備仕様入力（適合）'!$P$130="kg/h",ROUND('2-3.設備仕様入力（適合）'!$P$123*'2-3.設備仕様入力（適合）'!$P$129*計算!$C$11/1000*VLOOKUP('2-3.設備仕様入力（適合）'!$P$125,計算!$N$16:$P$26,3,FALSE),1),""),""),"")</f>
        <v/>
      </c>
      <c r="AD43" s="45" t="str">
        <f t="shared" si="9"/>
        <v/>
      </c>
    </row>
    <row r="44" spans="3:30" ht="19.5" x14ac:dyDescent="0.45">
      <c r="F44" s="7"/>
      <c r="I44" s="86" t="s">
        <v>182</v>
      </c>
      <c r="J44" s="14" t="str">
        <f>IF(ISERROR('4.エネルギー使用量（適合例）'!$O$68/1000*$C$18*$C$7),"",ROUND('4.エネルギー使用量（適合例）'!$O$68/1000*$C$18*$C$7,2))</f>
        <v/>
      </c>
      <c r="K44" s="13" t="str">
        <f>IF(ISERROR('4.エネルギー使用量（適合例）'!$O$68/1000*$C$18*$E$18*$E$7),"",ROUND('4.エネルギー使用量（適合例）'!$O$68/1000*$C$18*$E$18*$E$7,2))</f>
        <v/>
      </c>
      <c r="N44" s="85" t="s">
        <v>380</v>
      </c>
      <c r="O44" s="38" t="str">
        <f>IF(AND('2-3.設備仕様入力（適合）'!Q$124="電気",'2-3.設備仕様入力（適合）'!Q$130="kW"),1,IF(AND('2-3.設備仕様入力（適合）'!Q$124="都市ガス",'2-3.設備仕様入力（適合）'!Q$130="kW"),2,IF(AND('2-3.設備仕様入力（適合）'!Q$124="都市ガス",'2-3.設備仕様入力（適合）'!Q$130="ｍ3N/h"),3,IF(AND('2-3.設備仕様入力（適合）'!Q$124="LPG",'2-3.設備仕様入力（適合）'!Q$130="kW"),4,IF(AND('2-3.設備仕様入力（適合）'!Q$124="LPG",'2-3.設備仕様入力（適合）'!Q$130="kg/h"),5,"")))))</f>
        <v/>
      </c>
      <c r="P44" s="45" t="str">
        <f>IF(OR('2-3.設備仕様入力（適合）'!$Q$122="電気式パッケージ形空調機",'2-3.設備仕様入力（適合）'!$Q$122="ルームエアコン"),ROUND('2-3.設備仕様入力（適合）'!$Q$128*'2-3.設備仕様入力（適合）'!$Q$123*計算!$C$3*VLOOKUP('2-3.設備仕様入力（適合）'!$Q$125,計算!$N$16:$P$26,2,FALSE)/1000,1),"")</f>
        <v/>
      </c>
      <c r="Q44" s="45" t="str">
        <f>IF(OR('2-3.設備仕様入力（適合）'!$Q$122="電気式パッケージ形空調機",'2-3.設備仕様入力（適合）'!$Q$122="ルームエアコン"),ROUND('2-3.設備仕様入力（適合）'!$Q$129*'2-3.設備仕様入力（適合）'!$Q$123*計算!$C$3*VLOOKUP('2-3.設備仕様入力（適合）'!$Q$125,計算!$N$16:$P$26,3,FALSE)/1000,1),"")</f>
        <v/>
      </c>
      <c r="R44" s="45" t="str">
        <f t="shared" si="5"/>
        <v/>
      </c>
      <c r="S44" s="45" t="str">
        <f>IF('2-3.設備仕様入力（適合）'!$Q$122="ガスヒートポンプ式空調機",IF('2-3.設備仕様入力（適合）'!$Q$124="都市ガス",IF('2-3.設備仕様入力（適合）'!$Q$130="kW",ROUND('2-3.設備仕様入力（適合）'!$Q$123*'2-3.設備仕様入力（適合）'!$Q$128*3.6/1000*VLOOKUP('2-3.設備仕様入力（適合）'!$Q$125,計算!$N$16:$P$26,2,FALSE),1),""),""),"")</f>
        <v/>
      </c>
      <c r="T44" s="45" t="str">
        <f>IF('2-3.設備仕様入力（適合）'!$Q$122="ガスヒートポンプ式空調機",IF('2-3.設備仕様入力（適合）'!$Q$124="都市ガス",IF('2-3.設備仕様入力（適合）'!$Q$130="kW",ROUND('2-3.設備仕様入力（適合）'!$Q$123*'2-3.設備仕様入力（適合）'!$Q$129*3.6/1000*VLOOKUP('2-3.設備仕様入力（適合）'!$Q$125,計算!$N$16:$P$26,3,FALSE),1),""),""),"")</f>
        <v/>
      </c>
      <c r="U44" s="45" t="str">
        <f t="shared" si="6"/>
        <v/>
      </c>
      <c r="V44" s="45" t="str">
        <f>IF('2-3.設備仕様入力（適合）'!$Q$122="ガスヒートポンプ式空調機",IF('2-3.設備仕様入力（適合）'!$Q$130="ｍ3N/h",ROUND('2-3.設備仕様入力（適合）'!$Q$123*'2-3.設備仕様入力（適合）'!$Q$128*計算!$C$10/1000*VLOOKUP('2-3.設備仕様入力（適合）'!$Q$125,計算!$N$16:$P$26,2,FALSE),1),""),"")</f>
        <v/>
      </c>
      <c r="W44" s="45" t="str">
        <f>IF('2-3.設備仕様入力（適合）'!$Q$122="ガスヒートポンプ式空調機",IF('2-3.設備仕様入力（適合）'!$Q$130="ｍ3N/h",ROUND('2-3.設備仕様入力（適合）'!$Q$123*'2-3.設備仕様入力（適合）'!$Q$129*計算!$C$10/1000*VLOOKUP('2-3.設備仕様入力（適合）'!$Q$125,計算!$N$16:$P$26,3,FALSE),1),""),"")</f>
        <v/>
      </c>
      <c r="X44" s="45" t="str">
        <f t="shared" si="7"/>
        <v/>
      </c>
      <c r="Y44" s="45" t="str">
        <f>IF('2-3.設備仕様入力（適合）'!$Q$122="ガスヒートポンプ式空調機",IF('2-3.設備仕様入力（適合）'!$Q$124="LPG",IF('2-3.設備仕様入力（適合）'!$Q$130="kW",ROUND('2-3.設備仕様入力（適合）'!$Q$123*'2-3.設備仕様入力（適合）'!$Q$128*3.6/1000*VLOOKUP('2-3.設備仕様入力（適合）'!$Q$125,計算!$N$16:$P$26,2,FALSE),1),""),""),"")</f>
        <v/>
      </c>
      <c r="Z44" s="45" t="str">
        <f>IF('2-3.設備仕様入力（適合）'!$Q$122="ガスヒートポンプ式空調機",IF('2-3.設備仕様入力（適合）'!$Q$124="LPG",IF('2-3.設備仕様入力（適合）'!$Q$130="kW",ROUND('2-3.設備仕様入力（適合）'!$Q$123*'2-3.設備仕様入力（適合）'!$Q$129*3.6/1000*VLOOKUP('2-3.設備仕様入力（適合）'!$Q$125,計算!$N$16:$P$26,3,FALSE),1),""),""),"")</f>
        <v/>
      </c>
      <c r="AA44" s="45" t="str">
        <f t="shared" si="8"/>
        <v/>
      </c>
      <c r="AB44" s="45" t="str">
        <f>IF('2-3.設備仕様入力（適合）'!$Q$122="ガスヒートポンプ式空調機",IF('2-3.設備仕様入力（適合）'!$Q$124="LPG",IF('2-3.設備仕様入力（適合）'!$Q$130="kg/h",ROUND('2-3.設備仕様入力（適合）'!$Q$123*'2-3.設備仕様入力（適合）'!$Q$128*計算!$C$11/1000*VLOOKUP('2-3.設備仕様入力（適合）'!$Q$125,計算!$N$16:$P$26,2,FALSE),1),""),""),"")</f>
        <v/>
      </c>
      <c r="AC44" s="45" t="str">
        <f>IF('2-3.設備仕様入力（適合）'!$Q$122="ガスヒートポンプ式空調機",IF('2-3.設備仕様入力（適合）'!$Q$124="LPG",IF('2-3.設備仕様入力（適合）'!$Q$130="kg/h",ROUND('2-3.設備仕様入力（適合）'!$Q$123*'2-3.設備仕様入力（適合）'!$Q$129*計算!$C$11/1000*VLOOKUP('2-3.設備仕様入力（適合）'!$Q$125,計算!$N$16:$P$26,3,FALSE),1),""),""),"")</f>
        <v/>
      </c>
      <c r="AD44" s="45" t="str">
        <f t="shared" si="9"/>
        <v/>
      </c>
    </row>
    <row r="45" spans="3:30" ht="19.5" x14ac:dyDescent="0.45">
      <c r="F45" s="7"/>
      <c r="I45" s="86" t="s">
        <v>183</v>
      </c>
      <c r="J45" s="14" t="str">
        <f>IF(ISERROR('4.エネルギー使用量（適合例）'!$O$68/1000*$C$19*$C$7),"",ROUND('4.エネルギー使用量（適合例）'!$O$68/1000*$C$19*$C$7,2))</f>
        <v/>
      </c>
      <c r="K45" s="13" t="str">
        <f>IF(ISERROR('4.エネルギー使用量（適合例）'!$O$68/1000*$C$19*$E$19*$E$7),"",ROUND('4.エネルギー使用量（適合例）'!$O$68/1000*$C$19*$E$19*$E$7,2))</f>
        <v/>
      </c>
      <c r="N45" s="85" t="s">
        <v>381</v>
      </c>
      <c r="O45" s="38" t="str">
        <f>IF(AND('2-3.設備仕様入力（適合）'!R$124="電気",'2-3.設備仕様入力（適合）'!R$130="kW"),1,IF(AND('2-3.設備仕様入力（適合）'!R$124="都市ガス",'2-3.設備仕様入力（適合）'!R$130="kW"),2,IF(AND('2-3.設備仕様入力（適合）'!R$124="都市ガス",'2-3.設備仕様入力（適合）'!R$130="ｍ3N/h"),3,IF(AND('2-3.設備仕様入力（適合）'!R$124="LPG",'2-3.設備仕様入力（適合）'!R$130="kW"),4,IF(AND('2-3.設備仕様入力（適合）'!R$124="LPG",'2-3.設備仕様入力（適合）'!R$130="kg/h"),5,"")))))</f>
        <v/>
      </c>
      <c r="P45" s="45" t="str">
        <f>IF(OR('2-3.設備仕様入力（適合）'!$R$122="電気式パッケージ形空調機",'2-3.設備仕様入力（適合）'!$R$122="ルームエアコン"),ROUND('2-3.設備仕様入力（適合）'!$R$128*'2-3.設備仕様入力（適合）'!$R$123*計算!$C$3*VLOOKUP('2-3.設備仕様入力（適合）'!$R$125,計算!$N$16:$P$26,2,FALSE)/1000,1),"")</f>
        <v/>
      </c>
      <c r="Q45" s="45" t="str">
        <f>IF(OR('2-3.設備仕様入力（適合）'!$R$122="電気式パッケージ形空調機",'2-3.設備仕様入力（適合）'!$R$122="ルームエアコン"),ROUND('2-3.設備仕様入力（適合）'!$R$129*'2-3.設備仕様入力（適合）'!$R$123*計算!$C$3*VLOOKUP('2-3.設備仕様入力（適合）'!$R$125,計算!$N$16:$P$26,3,FALSE)/1000,1),"")</f>
        <v/>
      </c>
      <c r="R45" s="45" t="str">
        <f t="shared" si="5"/>
        <v/>
      </c>
      <c r="S45" s="45" t="str">
        <f>IF('2-3.設備仕様入力（適合）'!$R$122="ガスヒートポンプ式空調機",IF('2-3.設備仕様入力（適合）'!$R$124="都市ガス",IF('2-3.設備仕様入力（適合）'!$R$130="kW",ROUND('2-3.設備仕様入力（適合）'!$R$123*'2-3.設備仕様入力（適合）'!$R$128*3.6/1000*VLOOKUP('2-3.設備仕様入力（適合）'!$R$125,計算!$N$16:$P$26,2,FALSE),1),""),""),"")</f>
        <v/>
      </c>
      <c r="T45" s="45" t="str">
        <f>IF('2-3.設備仕様入力（適合）'!$R$122="ガスヒートポンプ式空調機",IF('2-3.設備仕様入力（適合）'!$R$124="都市ガス",IF('2-3.設備仕様入力（適合）'!$R$130="kW",ROUND('2-3.設備仕様入力（適合）'!$R$123*'2-3.設備仕様入力（適合）'!$R$129*3.6/1000*VLOOKUP('2-3.設備仕様入力（適合）'!$R$125,計算!$N$16:$P$26,3,FALSE),1),""),""),"")</f>
        <v/>
      </c>
      <c r="U45" s="45" t="str">
        <f t="shared" si="6"/>
        <v/>
      </c>
      <c r="V45" s="45" t="str">
        <f>IF('2-3.設備仕様入力（適合）'!$R$122="ガスヒートポンプ式空調機",IF('2-3.設備仕様入力（適合）'!$R$130="ｍ3N/h",ROUND('2-3.設備仕様入力（適合）'!$R$123*'2-3.設備仕様入力（適合）'!$R$128*計算!$C$10/1000*VLOOKUP('2-3.設備仕様入力（適合）'!$R$125,計算!$N$16:$P$26,2,FALSE),1),""),"")</f>
        <v/>
      </c>
      <c r="W45" s="45" t="str">
        <f>IF('2-3.設備仕様入力（適合）'!$R$122="ガスヒートポンプ式空調機",IF('2-3.設備仕様入力（適合）'!$R$130="ｍ3N/h",ROUND('2-3.設備仕様入力（適合）'!$R$123*'2-3.設備仕様入力（適合）'!$R$129*計算!$C$10/1000*VLOOKUP('2-3.設備仕様入力（適合）'!$R$125,計算!$N$16:$P$26,3,FALSE),1),""),"")</f>
        <v/>
      </c>
      <c r="X45" s="45" t="str">
        <f t="shared" si="7"/>
        <v/>
      </c>
      <c r="Y45" s="45" t="str">
        <f>IF('2-3.設備仕様入力（適合）'!$R$122="ガスヒートポンプ式空調機",IF('2-3.設備仕様入力（適合）'!$R$124="LPG",IF('2-3.設備仕様入力（適合）'!$R$130="kW",ROUND('2-3.設備仕様入力（適合）'!$R$123*'2-3.設備仕様入力（適合）'!$R$128*3.6/1000*VLOOKUP('2-3.設備仕様入力（適合）'!$R$125,計算!$N$16:$P$26,2,FALSE),1),""),""),"")</f>
        <v/>
      </c>
      <c r="Z45" s="45" t="str">
        <f>IF('2-3.設備仕様入力（適合）'!$R$122="ガスヒートポンプ式空調機",IF('2-3.設備仕様入力（適合）'!$R$124="LPG",IF('2-3.設備仕様入力（適合）'!$R$130="kW",ROUND('2-3.設備仕様入力（適合）'!$R$123*'2-3.設備仕様入力（適合）'!$R$129*3.6/1000*VLOOKUP('2-3.設備仕様入力（適合）'!$R$125,計算!$N$16:$P$26,3,FALSE),1),""),""),"")</f>
        <v/>
      </c>
      <c r="AA45" s="45" t="str">
        <f t="shared" si="8"/>
        <v/>
      </c>
      <c r="AB45" s="45" t="str">
        <f>IF('2-3.設備仕様入力（適合）'!$R$122="ガスヒートポンプ式空調機",IF('2-3.設備仕様入力（適合）'!$R$124="LPG",IF('2-3.設備仕様入力（適合）'!$R$130="kg/h",ROUND('2-3.設備仕様入力（適合）'!$R$123*'2-3.設備仕様入力（適合）'!$R$128*計算!$C$11/1000*VLOOKUP('2-3.設備仕様入力（適合）'!$R$125,計算!$N$16:$P$26,2,FALSE),1),""),""),"")</f>
        <v/>
      </c>
      <c r="AC45" s="45" t="str">
        <f>IF('2-3.設備仕様入力（適合）'!$R$122="ガスヒートポンプ式空調機",IF('2-3.設備仕様入力（適合）'!$R$124="LPG",IF('2-3.設備仕様入力（適合）'!$R$130="kg/h",ROUND('2-3.設備仕様入力（適合）'!$R$123*'2-3.設備仕様入力（適合）'!$R$129*計算!$C$11/1000*VLOOKUP('2-3.設備仕様入力（適合）'!$R$125,計算!$N$16:$P$26,3,FALSE),1),""),""),"")</f>
        <v/>
      </c>
      <c r="AD45" s="45" t="str">
        <f t="shared" si="9"/>
        <v/>
      </c>
    </row>
    <row r="46" spans="3:30" ht="19.5" x14ac:dyDescent="0.45">
      <c r="F46" s="7"/>
      <c r="I46" s="86" t="s">
        <v>184</v>
      </c>
      <c r="J46" s="14" t="str">
        <f>IF(ISERROR('4.エネルギー使用量（適合例）'!$O$68/1000*$C$20*$C$7),"",ROUND('4.エネルギー使用量（適合例）'!$O$68/1000*$C$20*$C$7,2))</f>
        <v/>
      </c>
      <c r="K46" s="13" t="str">
        <f>IF(ISERROR('4.エネルギー使用量（適合例）'!$O$68/1000*$C$20*$E$20*$E$7),"",ROUND('4.エネルギー使用量（適合例）'!$O$68/1000*$C$20*$E$20*$E$7,2))</f>
        <v/>
      </c>
      <c r="N46" s="85" t="s">
        <v>382</v>
      </c>
      <c r="O46" s="38" t="str">
        <f>IF(AND('2-3.設備仕様入力（適合）'!S$124="電気",'2-3.設備仕様入力（適合）'!S$130="kW"),1,IF(AND('2-3.設備仕様入力（適合）'!S$124="都市ガス",'2-3.設備仕様入力（適合）'!S$130="kW"),2,IF(AND('2-3.設備仕様入力（適合）'!S$124="都市ガス",'2-3.設備仕様入力（適合）'!S$130="ｍ3N/h"),3,IF(AND('2-3.設備仕様入力（適合）'!S$124="LPG",'2-3.設備仕様入力（適合）'!S$130="kW"),4,IF(AND('2-3.設備仕様入力（適合）'!S$124="LPG",'2-3.設備仕様入力（適合）'!S$130="kg/h"),5,"")))))</f>
        <v/>
      </c>
      <c r="P46" s="45" t="str">
        <f>IF(OR('2-3.設備仕様入力（適合）'!$S$122="電気式パッケージ形空調機",'2-3.設備仕様入力（適合）'!$S$122="ルームエアコン"),ROUND('2-3.設備仕様入力（適合）'!$S$128*'2-3.設備仕様入力（適合）'!$S$123*計算!$C$3*VLOOKUP('2-3.設備仕様入力（適合）'!$S$125,計算!$N$16:$P$26,2,FALSE)/1000,1),"")</f>
        <v/>
      </c>
      <c r="Q46" s="45" t="str">
        <f>IF(OR('2-3.設備仕様入力（適合）'!$S$122="電気式パッケージ形空調機",'2-3.設備仕様入力（適合）'!$S$122="ルームエアコン"),ROUND('2-3.設備仕様入力（適合）'!$S$129*'2-3.設備仕様入力（適合）'!$S$123*計算!$C$3*VLOOKUP('2-3.設備仕様入力（適合）'!$S$125,計算!$N$16:$P$26,3,FALSE)/1000,1),"")</f>
        <v/>
      </c>
      <c r="R46" s="45" t="str">
        <f t="shared" si="5"/>
        <v/>
      </c>
      <c r="S46" s="45" t="str">
        <f>IF('2-3.設備仕様入力（適合）'!$S$122="ガスヒートポンプ式空調機",IF('2-3.設備仕様入力（適合）'!$S$124="都市ガス",IF('2-3.設備仕様入力（適合）'!$S$130="kW",ROUND('2-3.設備仕様入力（適合）'!$S$123*'2-3.設備仕様入力（適合）'!$S$128*3.6/1000*VLOOKUP('2-3.設備仕様入力（適合）'!$S$125,計算!$N$16:$P$26,2,FALSE),1),""),""),"")</f>
        <v/>
      </c>
      <c r="T46" s="45" t="str">
        <f>IF('2-3.設備仕様入力（適合）'!$S$122="ガスヒートポンプ式空調機",IF('2-3.設備仕様入力（適合）'!$S$124="都市ガス",IF('2-3.設備仕様入力（適合）'!$S$130="kW",ROUND('2-3.設備仕様入力（適合）'!$S$123*'2-3.設備仕様入力（適合）'!$S$129*3.6/1000*VLOOKUP('2-3.設備仕様入力（適合）'!$S$125,計算!$N$16:$P$26,3,FALSE),1),""),""),"")</f>
        <v/>
      </c>
      <c r="U46" s="45" t="str">
        <f t="shared" si="6"/>
        <v/>
      </c>
      <c r="V46" s="45" t="str">
        <f>IF('2-3.設備仕様入力（適合）'!$S$122="ガスヒートポンプ式空調機",IF('2-3.設備仕様入力（適合）'!$S$130="ｍ3N/h",ROUND('2-3.設備仕様入力（適合）'!$S$123*'2-3.設備仕様入力（適合）'!$S$128*計算!$C$10/1000*VLOOKUP('2-3.設備仕様入力（適合）'!$S$125,計算!$N$16:$P$26,2,FALSE),1),""),"")</f>
        <v/>
      </c>
      <c r="W46" s="45" t="str">
        <f>IF('2-3.設備仕様入力（適合）'!$S$122="ガスヒートポンプ式空調機",IF('2-3.設備仕様入力（適合）'!$S$130="ｍ3N/h",ROUND('2-3.設備仕様入力（適合）'!$S$123*'2-3.設備仕様入力（適合）'!$S$129*計算!$C$10/1000*VLOOKUP('2-3.設備仕様入力（適合）'!$S$125,計算!$N$16:$P$26,3,FALSE),1),""),"")</f>
        <v/>
      </c>
      <c r="X46" s="45" t="str">
        <f t="shared" si="7"/>
        <v/>
      </c>
      <c r="Y46" s="45" t="str">
        <f>IF('2-3.設備仕様入力（適合）'!$S$122="ガスヒートポンプ式空調機",IF('2-3.設備仕様入力（適合）'!$S$124="LPG",IF('2-3.設備仕様入力（適合）'!$S$130="kW",ROUND('2-3.設備仕様入力（適合）'!$S$123*'2-3.設備仕様入力（適合）'!$S$128*3.6/1000*VLOOKUP('2-3.設備仕様入力（適合）'!$S$125,計算!$N$16:$P$26,2,FALSE),1),""),""),"")</f>
        <v/>
      </c>
      <c r="Z46" s="45" t="str">
        <f>IF('2-3.設備仕様入力（適合）'!$S$122="ガスヒートポンプ式空調機",IF('2-3.設備仕様入力（適合）'!$S$124="LPG",IF('2-3.設備仕様入力（適合）'!$S$130="kW",ROUND('2-3.設備仕様入力（適合）'!$S$123*'2-3.設備仕様入力（適合）'!$S$129*3.6/1000*VLOOKUP('2-3.設備仕様入力（適合）'!$S$125,計算!$N$16:$P$26,3,FALSE),1),""),""),"")</f>
        <v/>
      </c>
      <c r="AA46" s="45" t="str">
        <f t="shared" si="8"/>
        <v/>
      </c>
      <c r="AB46" s="45" t="str">
        <f>IF('2-3.設備仕様入力（適合）'!$S$122="ガスヒートポンプ式空調機",IF('2-3.設備仕様入力（適合）'!$S$124="LPG",IF('2-3.設備仕様入力（適合）'!$S$130="kg/h",ROUND('2-3.設備仕様入力（適合）'!$S$123*'2-3.設備仕様入力（適合）'!$S$128*計算!$C$11/1000*VLOOKUP('2-3.設備仕様入力（適合）'!$S$125,計算!$N$16:$P$26,2,FALSE),1),""),""),"")</f>
        <v/>
      </c>
      <c r="AC46" s="45" t="str">
        <f>IF('2-3.設備仕様入力（適合）'!$S$122="ガスヒートポンプ式空調機",IF('2-3.設備仕様入力（適合）'!$S$124="LPG",IF('2-3.設備仕様入力（適合）'!$S$130="kg/h",ROUND('2-3.設備仕様入力（適合）'!$S$123*'2-3.設備仕様入力（適合）'!$S$129*計算!$C$11/1000*VLOOKUP('2-3.設備仕様入力（適合）'!$S$125,計算!$N$16:$P$26,3,FALSE),1),""),""),"")</f>
        <v/>
      </c>
      <c r="AD46" s="45" t="str">
        <f t="shared" si="9"/>
        <v/>
      </c>
    </row>
    <row r="47" spans="3:30" ht="20.25" thickBot="1" x14ac:dyDescent="0.5">
      <c r="F47" s="7"/>
      <c r="I47" s="86" t="s">
        <v>185</v>
      </c>
      <c r="J47" s="11" t="str">
        <f>IF(ISERROR('4.エネルギー使用量（適合例）'!$O$68/1000*$C$21*$C$7),"",ROUND('4.エネルギー使用量（適合例）'!$O$68/1000*$C$21*$C$7,2))</f>
        <v/>
      </c>
      <c r="K47" s="10" t="str">
        <f>IF(ISERROR('4.エネルギー使用量（適合例）'!$O$68/1000*$C$21*$E$21*$E$7),"",ROUND('4.エネルギー使用量（適合例）'!$O$68/1000*$C$21*$E$21*$E$7,2))</f>
        <v/>
      </c>
      <c r="N47" s="85" t="s">
        <v>383</v>
      </c>
      <c r="O47" s="38" t="str">
        <f>IF(AND('2-3.設備仕様入力（適合）'!T$124="電気",'2-3.設備仕様入力（適合）'!T$130="kW"),1,IF(AND('2-3.設備仕様入力（適合）'!T$124="都市ガス",'2-3.設備仕様入力（適合）'!T$130="kW"),2,IF(AND('2-3.設備仕様入力（適合）'!T$124="都市ガス",'2-3.設備仕様入力（適合）'!T$130="ｍ3N/h"),3,IF(AND('2-3.設備仕様入力（適合）'!T$124="LPG",'2-3.設備仕様入力（適合）'!T$130="kW"),4,IF(AND('2-3.設備仕様入力（適合）'!T$124="LPG",'2-3.設備仕様入力（適合）'!T$130="kg/h"),5,"")))))</f>
        <v/>
      </c>
      <c r="P47" s="45" t="str">
        <f>IF(OR('2-3.設備仕様入力（適合）'!$T$122="電気式パッケージ形空調機",'2-3.設備仕様入力（適合）'!$T$122="ルームエアコン"),ROUND('2-3.設備仕様入力（適合）'!$T$128*'2-3.設備仕様入力（適合）'!$T$123*計算!$C$3*VLOOKUP('2-3.設備仕様入力（適合）'!$T$125,計算!$N$16:$P$26,2,FALSE)/1000,1),"")</f>
        <v/>
      </c>
      <c r="Q47" s="45" t="str">
        <f>IF(OR('2-3.設備仕様入力（適合）'!$T$122="電気式パッケージ形空調機",'2-3.設備仕様入力（適合）'!$T$122="ルームエアコン"),ROUND('2-3.設備仕様入力（適合）'!$T$129*'2-3.設備仕様入力（適合）'!$T$123*計算!$C$3*VLOOKUP('2-3.設備仕様入力（適合）'!$T$125,計算!$N$16:$P$26,3,FALSE)/1000,1),"")</f>
        <v/>
      </c>
      <c r="R47" s="45" t="str">
        <f t="shared" si="5"/>
        <v/>
      </c>
      <c r="S47" s="45" t="str">
        <f>IF('2-3.設備仕様入力（適合）'!$T$122="ガスヒートポンプ式空調機",IF('2-3.設備仕様入力（適合）'!$T$124="都市ガス",IF('2-3.設備仕様入力（適合）'!$T$130="kW",ROUND('2-3.設備仕様入力（適合）'!$T$123*'2-3.設備仕様入力（適合）'!$T$128*3.6/1000*VLOOKUP('2-3.設備仕様入力（適合）'!$T$125,計算!$N$16:$P$26,2,FALSE),1),""),""),"")</f>
        <v/>
      </c>
      <c r="T47" s="45" t="str">
        <f>IF('2-3.設備仕様入力（適合）'!$T$122="ガスヒートポンプ式空調機",IF('2-3.設備仕様入力（適合）'!$T$124="都市ガス",IF('2-3.設備仕様入力（適合）'!$T$130="kW",ROUND('2-3.設備仕様入力（適合）'!$T$123*'2-3.設備仕様入力（適合）'!$T$129*3.6/1000*VLOOKUP('2-3.設備仕様入力（適合）'!$T$125,計算!$N$16:$P$26,3,FALSE),1),""),""),"")</f>
        <v/>
      </c>
      <c r="U47" s="45" t="str">
        <f t="shared" si="6"/>
        <v/>
      </c>
      <c r="V47" s="45" t="str">
        <f>IF('2-3.設備仕様入力（適合）'!$T$122="ガスヒートポンプ式空調機",IF('2-3.設備仕様入力（適合）'!$T$130="ｍ3N/h",ROUND('2-3.設備仕様入力（適合）'!$T$123*'2-3.設備仕様入力（適合）'!$T$128*計算!$C$10/1000*VLOOKUP('2-3.設備仕様入力（適合）'!$T$125,計算!$N$16:$P$26,2,FALSE),1),""),"")</f>
        <v/>
      </c>
      <c r="W47" s="45" t="str">
        <f>IF('2-3.設備仕様入力（適合）'!$T$122="ガスヒートポンプ式空調機",IF('2-3.設備仕様入力（適合）'!$T$130="ｍ3N/h",ROUND('2-3.設備仕様入力（適合）'!$T$123*'2-3.設備仕様入力（適合）'!$T$129*計算!$C$10/1000*VLOOKUP('2-3.設備仕様入力（適合）'!$T$125,計算!$N$16:$P$26,3,FALSE),1),""),"")</f>
        <v/>
      </c>
      <c r="X47" s="45" t="str">
        <f t="shared" si="7"/>
        <v/>
      </c>
      <c r="Y47" s="45" t="str">
        <f>IF('2-3.設備仕様入力（適合）'!$T$122="ガスヒートポンプ式空調機",IF('2-3.設備仕様入力（適合）'!$T$124="LPG",IF('2-3.設備仕様入力（適合）'!$T$130="kW",ROUND('2-3.設備仕様入力（適合）'!$T$123*'2-3.設備仕様入力（適合）'!$T$128*3.6/1000*VLOOKUP('2-3.設備仕様入力（適合）'!$T$125,計算!$N$16:$P$26,2,FALSE),1),""),""),"")</f>
        <v/>
      </c>
      <c r="Z47" s="45" t="str">
        <f>IF('2-3.設備仕様入力（適合）'!$T$122="ガスヒートポンプ式空調機",IF('2-3.設備仕様入力（適合）'!$T$124="LPG",IF('2-3.設備仕様入力（適合）'!$T$130="kW",ROUND('2-3.設備仕様入力（適合）'!$T$123*'2-3.設備仕様入力（適合）'!$T$129*3.6/1000*VLOOKUP('2-3.設備仕様入力（適合）'!$T$125,計算!$N$16:$P$26,3,FALSE),1),""),""),"")</f>
        <v/>
      </c>
      <c r="AA47" s="45" t="str">
        <f t="shared" si="8"/>
        <v/>
      </c>
      <c r="AB47" s="45" t="str">
        <f>IF('2-3.設備仕様入力（適合）'!$T$122="ガスヒートポンプ式空調機",IF('2-3.設備仕様入力（適合）'!$T$124="LPG",IF('2-3.設備仕様入力（適合）'!$T$130="kg/h",ROUND('2-3.設備仕様入力（適合）'!$T$123*'2-3.設備仕様入力（適合）'!$T$128*計算!$C$11/1000*VLOOKUP('2-3.設備仕様入力（適合）'!$T$125,計算!$N$16:$P$26,2,FALSE),1),""),""),"")</f>
        <v/>
      </c>
      <c r="AC47" s="45" t="str">
        <f>IF('2-3.設備仕様入力（適合）'!$T$122="ガスヒートポンプ式空調機",IF('2-3.設備仕様入力（適合）'!$T$124="LPG",IF('2-3.設備仕様入力（適合）'!$T$130="kg/h",ROUND('2-3.設備仕様入力（適合）'!$T$123*'2-3.設備仕様入力（適合）'!$T$129*計算!$C$11/1000*VLOOKUP('2-3.設備仕様入力（適合）'!$T$125,計算!$N$16:$P$26,3,FALSE),1),""),""),"")</f>
        <v/>
      </c>
      <c r="AD47" s="45" t="str">
        <f t="shared" si="9"/>
        <v/>
      </c>
    </row>
    <row r="48" spans="3:30" ht="20.25" thickBot="1" x14ac:dyDescent="0.5">
      <c r="F48" s="7"/>
      <c r="I48" s="86"/>
      <c r="J48" s="155"/>
      <c r="K48" s="155"/>
      <c r="N48" s="85" t="s">
        <v>384</v>
      </c>
      <c r="O48" s="38" t="str">
        <f>IF(AND('2-3.設備仕様入力（適合）'!U$124="電気",'2-3.設備仕様入力（適合）'!U$130="kW"),1,IF(AND('2-3.設備仕様入力（適合）'!U$124="都市ガス",'2-3.設備仕様入力（適合）'!U$130="kW"),2,IF(AND('2-3.設備仕様入力（適合）'!U$124="都市ガス",'2-3.設備仕様入力（適合）'!U$130="ｍ3N/h"),3,IF(AND('2-3.設備仕様入力（適合）'!U$124="LPG",'2-3.設備仕様入力（適合）'!U$130="kW"),4,IF(AND('2-3.設備仕様入力（適合）'!U$124="LPG",'2-3.設備仕様入力（適合）'!U$130="kg/h"),5,"")))))</f>
        <v/>
      </c>
      <c r="P48" s="45" t="str">
        <f>IF(OR('2-3.設備仕様入力（適合）'!$U$122="電気式パッケージ形空調機",'2-3.設備仕様入力（適合）'!$U$122="ルームエアコン"),ROUND('2-3.設備仕様入力（適合）'!$U$128*'2-3.設備仕様入力（適合）'!$U$123*計算!$C$3*VLOOKUP('2-3.設備仕様入力（適合）'!$U$125,計算!$N$16:$P$26,2,FALSE)/1000,1),"")</f>
        <v/>
      </c>
      <c r="Q48" s="45" t="str">
        <f>IF(OR('2-3.設備仕様入力（適合）'!$U$122="電気式パッケージ形空調機",'2-3.設備仕様入力（適合）'!$U$122="ルームエアコン"),ROUND('2-3.設備仕様入力（適合）'!$U$129*'2-3.設備仕様入力（適合）'!$U$123*計算!$C$3*VLOOKUP('2-3.設備仕様入力（適合）'!$U$125,計算!$N$16:$P$26,3,FALSE)/1000,1),"")</f>
        <v/>
      </c>
      <c r="R48" s="45" t="str">
        <f t="shared" si="5"/>
        <v/>
      </c>
      <c r="S48" s="45" t="str">
        <f>IF('2-3.設備仕様入力（適合）'!$U$122="ガスヒートポンプ式空調機",IF('2-3.設備仕様入力（適合）'!$U$124="都市ガス",IF('2-3.設備仕様入力（適合）'!$U$130="kW",ROUND('2-3.設備仕様入力（適合）'!$U$123*'2-3.設備仕様入力（適合）'!$U$128*3.6/1000*VLOOKUP('2-3.設備仕様入力（適合）'!$U$125,計算!$N$16:$P$26,2,FALSE),1),""),""),"")</f>
        <v/>
      </c>
      <c r="T48" s="45" t="str">
        <f>IF('2-3.設備仕様入力（適合）'!$U$122="ガスヒートポンプ式空調機",IF('2-3.設備仕様入力（適合）'!$U$124="都市ガス",IF('2-3.設備仕様入力（適合）'!$U$130="kW",ROUND('2-3.設備仕様入力（適合）'!$U$123*'2-3.設備仕様入力（適合）'!$U$129*3.6/1000*VLOOKUP('2-3.設備仕様入力（適合）'!$U$125,計算!$N$16:$P$26,3,FALSE),1),""),""),"")</f>
        <v/>
      </c>
      <c r="U48" s="45" t="str">
        <f t="shared" si="6"/>
        <v/>
      </c>
      <c r="V48" s="45" t="str">
        <f>IF('2-3.設備仕様入力（適合）'!$U$122="ガスヒートポンプ式空調機",IF('2-3.設備仕様入力（適合）'!$U$130="ｍ3N/h",ROUND('2-3.設備仕様入力（適合）'!$U$123*'2-3.設備仕様入力（適合）'!$U$128*計算!$C$10/1000*VLOOKUP('2-3.設備仕様入力（適合）'!$U$125,計算!$N$16:$P$26,2,FALSE),1),""),"")</f>
        <v/>
      </c>
      <c r="W48" s="45" t="str">
        <f>IF('2-3.設備仕様入力（適合）'!$U$122="ガスヒートポンプ式空調機",IF('2-3.設備仕様入力（適合）'!$U$130="ｍ3N/h",ROUND('2-3.設備仕様入力（適合）'!$U$123*'2-3.設備仕様入力（適合）'!$U$129*計算!$C$10/1000*VLOOKUP('2-3.設備仕様入力（適合）'!$U$125,計算!$N$16:$P$26,3,FALSE),1),""),"")</f>
        <v/>
      </c>
      <c r="X48" s="45" t="str">
        <f t="shared" si="7"/>
        <v/>
      </c>
      <c r="Y48" s="45" t="str">
        <f>IF('2-3.設備仕様入力（適合）'!$U$122="ガスヒートポンプ式空調機",IF('2-3.設備仕様入力（適合）'!$U$124="LPG",IF('2-3.設備仕様入力（適合）'!$U$130="kW",ROUND('2-3.設備仕様入力（適合）'!$U$123*'2-3.設備仕様入力（適合）'!$U$128*3.6/1000*VLOOKUP('2-3.設備仕様入力（適合）'!$U$125,計算!$N$16:$P$26,2,FALSE),1),""),""),"")</f>
        <v/>
      </c>
      <c r="Z48" s="45" t="str">
        <f>IF('2-3.設備仕様入力（適合）'!$U$122="ガスヒートポンプ式空調機",IF('2-3.設備仕様入力（適合）'!$U$124="LPG",IF('2-3.設備仕様入力（適合）'!$U$130="kW",ROUND('2-3.設備仕様入力（適合）'!$U$123*'2-3.設備仕様入力（適合）'!$U$129*3.6/1000*VLOOKUP('2-3.設備仕様入力（適合）'!$U$125,計算!$N$16:$P$26,3,FALSE),1),""),""),"")</f>
        <v/>
      </c>
      <c r="AA48" s="45" t="str">
        <f t="shared" si="8"/>
        <v/>
      </c>
      <c r="AB48" s="45" t="str">
        <f>IF('2-3.設備仕様入力（適合）'!$U$122="ガスヒートポンプ式空調機",IF('2-3.設備仕様入力（適合）'!$U$124="LPG",IF('2-3.設備仕様入力（適合）'!$U$130="kg/h",ROUND('2-3.設備仕様入力（適合）'!$U$123*'2-3.設備仕様入力（適合）'!$U$128*計算!$C$11/1000*VLOOKUP('2-3.設備仕様入力（適合）'!$U$125,計算!$N$16:$P$26,2,FALSE),1),""),""),"")</f>
        <v/>
      </c>
      <c r="AC48" s="45" t="str">
        <f>IF('2-3.設備仕様入力（適合）'!$U$122="ガスヒートポンプ式空調機",IF('2-3.設備仕様入力（適合）'!$U$124="LPG",IF('2-3.設備仕様入力（適合）'!$U$130="kg/h",ROUND('2-3.設備仕様入力（適合）'!$U$123*'2-3.設備仕様入力（適合）'!$U$129*計算!$C$11/1000*VLOOKUP('2-3.設備仕様入力（適合）'!$U$125,計算!$N$16:$P$26,3,FALSE),1),""),""),"")</f>
        <v/>
      </c>
      <c r="AD48" s="45" t="str">
        <f t="shared" si="9"/>
        <v/>
      </c>
    </row>
    <row r="49" spans="6:30" ht="19.5" x14ac:dyDescent="0.45">
      <c r="F49" s="7"/>
      <c r="I49" s="86" t="s">
        <v>460</v>
      </c>
      <c r="J49" s="16" t="s">
        <v>20</v>
      </c>
      <c r="K49" s="15" t="s">
        <v>19</v>
      </c>
      <c r="N49" s="85" t="s">
        <v>385</v>
      </c>
      <c r="O49" s="38" t="str">
        <f>IF(AND('2-3.設備仕様入力（適合）'!V$124="電気",'2-3.設備仕様入力（適合）'!V$130="kW"),1,IF(AND('2-3.設備仕様入力（適合）'!V$124="都市ガス",'2-3.設備仕様入力（適合）'!V$130="kW"),2,IF(AND('2-3.設備仕様入力（適合）'!V$124="都市ガス",'2-3.設備仕様入力（適合）'!V$130="ｍ3N/h"),3,IF(AND('2-3.設備仕様入力（適合）'!V$124="LPG",'2-3.設備仕様入力（適合）'!V$130="kW"),4,IF(AND('2-3.設備仕様入力（適合）'!V$124="LPG",'2-3.設備仕様入力（適合）'!V$130="kg/h"),5,"")))))</f>
        <v/>
      </c>
      <c r="P49" s="45" t="str">
        <f>IF(OR('2-3.設備仕様入力（適合）'!$V$122="電気式パッケージ形空調機",'2-3.設備仕様入力（適合）'!$V$122="ルームエアコン"),ROUND('2-3.設備仕様入力（適合）'!$V$128*'2-3.設備仕様入力（適合）'!$V$123*計算!$C$3*VLOOKUP('2-3.設備仕様入力（適合）'!$V$125,計算!$N$16:$P$26,2,FALSE)/1000,1),"")</f>
        <v/>
      </c>
      <c r="Q49" s="45" t="str">
        <f>IF(OR('2-3.設備仕様入力（適合）'!$V$122="電気式パッケージ形空調機",'2-3.設備仕様入力（適合）'!$V$122="ルームエアコン"),ROUND('2-3.設備仕様入力（適合）'!$V$129*'2-3.設備仕様入力（適合）'!$V$123*計算!$C$3*VLOOKUP('2-3.設備仕様入力（適合）'!$V$125,計算!$N$16:$P$26,3,FALSE)/1000,1),"")</f>
        <v/>
      </c>
      <c r="R49" s="45" t="str">
        <f t="shared" si="5"/>
        <v/>
      </c>
      <c r="S49" s="45" t="str">
        <f>IF('2-3.設備仕様入力（適合）'!$V$122="ガスヒートポンプ式空調機",IF('2-3.設備仕様入力（適合）'!$V$124="都市ガス",IF('2-3.設備仕様入力（適合）'!$V$130="kW",ROUND('2-3.設備仕様入力（適合）'!$V$123*'2-3.設備仕様入力（適合）'!$V$128*3.6/1000*VLOOKUP('2-3.設備仕様入力（適合）'!$V$125,計算!$N$16:$P$26,2,FALSE),1),""),""),"")</f>
        <v/>
      </c>
      <c r="T49" s="45" t="str">
        <f>IF('2-3.設備仕様入力（適合）'!$V$122="ガスヒートポンプ式空調機",IF('2-3.設備仕様入力（適合）'!$V$124="都市ガス",IF('2-3.設備仕様入力（適合）'!$V$130="kW",ROUND('2-3.設備仕様入力（適合）'!$V$123*'2-3.設備仕様入力（適合）'!$V$129*3.6/1000*VLOOKUP('2-3.設備仕様入力（適合）'!$V$125,計算!$N$16:$P$26,3,FALSE),1),""),""),"")</f>
        <v/>
      </c>
      <c r="U49" s="45" t="str">
        <f t="shared" si="6"/>
        <v/>
      </c>
      <c r="V49" s="45" t="str">
        <f>IF('2-3.設備仕様入力（適合）'!$V$122="ガスヒートポンプ式空調機",IF('2-3.設備仕様入力（適合）'!$V$130="ｍ3N/h",ROUND('2-3.設備仕様入力（適合）'!$V$123*'2-3.設備仕様入力（適合）'!$V$128*計算!$C$10/1000*VLOOKUP('2-3.設備仕様入力（適合）'!$V$125,計算!$N$16:$P$26,2,FALSE),1),""),"")</f>
        <v/>
      </c>
      <c r="W49" s="45" t="str">
        <f>IF('2-3.設備仕様入力（適合）'!$V$122="ガスヒートポンプ式空調機",IF('2-3.設備仕様入力（適合）'!$V$130="ｍ3N/h",ROUND('2-3.設備仕様入力（適合）'!$V$123*'2-3.設備仕様入力（適合）'!$V$129*計算!$C$10/1000*VLOOKUP('2-3.設備仕様入力（適合）'!$V$125,計算!$N$16:$P$26,3,FALSE),1),""),"")</f>
        <v/>
      </c>
      <c r="X49" s="45" t="str">
        <f t="shared" si="7"/>
        <v/>
      </c>
      <c r="Y49" s="45" t="str">
        <f>IF('2-3.設備仕様入力（適合）'!$V$122="ガスヒートポンプ式空調機",IF('2-3.設備仕様入力（適合）'!$V$124="LPG",IF('2-3.設備仕様入力（適合）'!$V$130="kW",ROUND('2-3.設備仕様入力（適合）'!$V$123*'2-3.設備仕様入力（適合）'!$V$128*3.6/1000*VLOOKUP('2-3.設備仕様入力（適合）'!$V$125,計算!$N$16:$P$26,2,FALSE),1),""),""),"")</f>
        <v/>
      </c>
      <c r="Z49" s="45" t="str">
        <f>IF('2-3.設備仕様入力（適合）'!$V$122="ガスヒートポンプ式空調機",IF('2-3.設備仕様入力（適合）'!$V$124="LPG",IF('2-3.設備仕様入力（適合）'!$V$130="kW",ROUND('2-3.設備仕様入力（適合）'!$V$123*'2-3.設備仕様入力（適合）'!$V$129*3.6/1000*VLOOKUP('2-3.設備仕様入力（適合）'!$V$125,計算!$N$16:$P$26,3,FALSE),1),""),""),"")</f>
        <v/>
      </c>
      <c r="AA49" s="45" t="str">
        <f t="shared" si="8"/>
        <v/>
      </c>
      <c r="AB49" s="45" t="str">
        <f>IF('2-3.設備仕様入力（適合）'!$V$122="ガスヒートポンプ式空調機",IF('2-3.設備仕様入力（適合）'!$V$124="LPG",IF('2-3.設備仕様入力（適合）'!$V$130="kg/h",ROUND('2-3.設備仕様入力（適合）'!$V$123*'2-3.設備仕様入力（適合）'!$V$128*計算!$C$11/1000*VLOOKUP('2-3.設備仕様入力（適合）'!$V$125,計算!$N$16:$P$26,2,FALSE),1),""),""),"")</f>
        <v/>
      </c>
      <c r="AC49" s="45" t="str">
        <f>IF('2-3.設備仕様入力（適合）'!$V$122="ガスヒートポンプ式空調機",IF('2-3.設備仕様入力（適合）'!$V$124="LPG",IF('2-3.設備仕様入力（適合）'!$V$130="kg/h",ROUND('2-3.設備仕様入力（適合）'!$V$123*'2-3.設備仕様入力（適合）'!$V$129*計算!$C$11/1000*VLOOKUP('2-3.設備仕様入力（適合）'!$V$125,計算!$N$16:$P$26,3,FALSE),1),""),""),"")</f>
        <v/>
      </c>
      <c r="AD49" s="45" t="str">
        <f t="shared" si="9"/>
        <v/>
      </c>
    </row>
    <row r="50" spans="6:30" ht="19.5" x14ac:dyDescent="0.45">
      <c r="F50" s="7"/>
      <c r="I50" s="86" t="s">
        <v>89</v>
      </c>
      <c r="J50" s="19" t="str">
        <f>IF(ISERROR('4.エネルギー使用量（適合例）'!$O$79/1000*$C$3*$C$7),"",ROUND('4.エネルギー使用量（適合例）'!$O$79/1000*$C$3*$C$7,2))</f>
        <v/>
      </c>
      <c r="K50" s="13">
        <f>IF(ISERROR('4.エネルギー使用量（適合例）'!$O$23/1000*$E$3),"",ROUND('4.エネルギー使用量（適合例）'!$O$23/1000*$E$3,2))</f>
        <v>6.64</v>
      </c>
      <c r="N50" s="85" t="s">
        <v>386</v>
      </c>
      <c r="O50" s="38" t="str">
        <f>IF(AND('2-3.設備仕様入力（適合）'!W$124="電気",'2-3.設備仕様入力（適合）'!W$130="kW"),1,IF(AND('2-3.設備仕様入力（適合）'!W$124="都市ガス",'2-3.設備仕様入力（適合）'!W$130="kW"),2,IF(AND('2-3.設備仕様入力（適合）'!W$124="都市ガス",'2-3.設備仕様入力（適合）'!W$130="ｍ3N/h"),3,IF(AND('2-3.設備仕様入力（適合）'!W$124="LPG",'2-3.設備仕様入力（適合）'!W$130="kW"),4,IF(AND('2-3.設備仕様入力（適合）'!W$124="LPG",'2-3.設備仕様入力（適合）'!W$130="kg/h"),5,"")))))</f>
        <v/>
      </c>
      <c r="P50" s="45" t="str">
        <f>IF(OR('2-3.設備仕様入力（適合）'!$W$122="電気式パッケージ形空調機",'2-3.設備仕様入力（適合）'!$W$122="ルームエアコン"),ROUND('2-3.設備仕様入力（適合）'!$W$128*'2-3.設備仕様入力（適合）'!$W$123*計算!$C$3*VLOOKUP('2-3.設備仕様入力（適合）'!$W$125,計算!$N$16:$P$26,2,FALSE)/1000,1),"")</f>
        <v/>
      </c>
      <c r="Q50" s="45" t="str">
        <f>IF(OR('2-3.設備仕様入力（適合）'!$W$122="電気式パッケージ形空調機",'2-3.設備仕様入力（適合）'!$W$122="ルームエアコン"),ROUND('2-3.設備仕様入力（適合）'!$W$129*'2-3.設備仕様入力（適合）'!$W$123*計算!$C$3*VLOOKUP('2-3.設備仕様入力（適合）'!$W$125,計算!$N$16:$P$26,3,FALSE)/1000,1),"")</f>
        <v/>
      </c>
      <c r="R50" s="45" t="str">
        <f t="shared" si="5"/>
        <v/>
      </c>
      <c r="S50" s="45" t="str">
        <f>IF('2-3.設備仕様入力（適合）'!$W$122="ガスヒートポンプ式空調機",IF('2-3.設備仕様入力（適合）'!$W$124="都市ガス",IF('2-3.設備仕様入力（適合）'!$W$130="kW",ROUND('2-3.設備仕様入力（適合）'!$W$123*'2-3.設備仕様入力（適合）'!$W$128*3.6/1000*VLOOKUP('2-3.設備仕様入力（適合）'!$W$125,計算!$N$16:$P$26,2,FALSE),1),""),""),"")</f>
        <v/>
      </c>
      <c r="T50" s="45" t="str">
        <f>IF('2-3.設備仕様入力（適合）'!$W$122="ガスヒートポンプ式空調機",IF('2-3.設備仕様入力（適合）'!$W$124="都市ガス",IF('2-3.設備仕様入力（適合）'!$W$130="kW",ROUND('2-3.設備仕様入力（適合）'!$W$123*'2-3.設備仕様入力（適合）'!$W$129*3.6/1000*VLOOKUP('2-3.設備仕様入力（適合）'!$W$125,計算!$N$16:$P$26,3,FALSE),1),""),""),"")</f>
        <v/>
      </c>
      <c r="U50" s="45" t="str">
        <f t="shared" si="6"/>
        <v/>
      </c>
      <c r="V50" s="45" t="str">
        <f>IF('2-3.設備仕様入力（適合）'!$W$122="ガスヒートポンプ式空調機",IF('2-3.設備仕様入力（適合）'!$W$130="ｍ3N/h",ROUND('2-3.設備仕様入力（適合）'!$W$123*'2-3.設備仕様入力（適合）'!$W$128*計算!$C$10/1000*VLOOKUP('2-3.設備仕様入力（適合）'!$W$125,計算!$N$16:$P$26,2,FALSE),1),""),"")</f>
        <v/>
      </c>
      <c r="W50" s="45" t="str">
        <f>IF('2-3.設備仕様入力（適合）'!$W$122="ガスヒートポンプ式空調機",IF('2-3.設備仕様入力（適合）'!$W$130="ｍ3N/h",ROUND('2-3.設備仕様入力（適合）'!$W$123*'2-3.設備仕様入力（適合）'!$W$129*計算!$C$10/1000*VLOOKUP('2-3.設備仕様入力（適合）'!$W$125,計算!$N$16:$P$26,3,FALSE),1),""),"")</f>
        <v/>
      </c>
      <c r="X50" s="45" t="str">
        <f t="shared" si="7"/>
        <v/>
      </c>
      <c r="Y50" s="45" t="str">
        <f>IF('2-3.設備仕様入力（適合）'!$W$122="ガスヒートポンプ式空調機",IF('2-3.設備仕様入力（適合）'!$W$124="LPG",IF('2-3.設備仕様入力（適合）'!$W$130="kW",ROUND('2-3.設備仕様入力（適合）'!$W$123*'2-3.設備仕様入力（適合）'!$W$128*3.6/1000*VLOOKUP('2-3.設備仕様入力（適合）'!$W$125,計算!$N$16:$P$26,2,FALSE),1),""),""),"")</f>
        <v/>
      </c>
      <c r="Z50" s="45" t="str">
        <f>IF('2-3.設備仕様入力（適合）'!$W$122="ガスヒートポンプ式空調機",IF('2-3.設備仕様入力（適合）'!$W$124="LPG",IF('2-3.設備仕様入力（適合）'!$W$130="kW",ROUND('2-3.設備仕様入力（適合）'!$W$123*'2-3.設備仕様入力（適合）'!$W$129*3.6/1000*VLOOKUP('2-3.設備仕様入力（適合）'!$W$125,計算!$N$16:$P$26,3,FALSE),1),""),""),"")</f>
        <v/>
      </c>
      <c r="AA50" s="45" t="str">
        <f t="shared" si="8"/>
        <v/>
      </c>
      <c r="AB50" s="45" t="str">
        <f>IF('2-3.設備仕様入力（適合）'!$W$122="ガスヒートポンプ式空調機",IF('2-3.設備仕様入力（適合）'!$W$124="LPG",IF('2-3.設備仕様入力（適合）'!$W$130="kg/h",ROUND('2-3.設備仕様入力（適合）'!$W$123*'2-3.設備仕様入力（適合）'!$W$128*計算!$C$11/1000*VLOOKUP('2-3.設備仕様入力（適合）'!$W$125,計算!$N$16:$P$26,2,FALSE),1),""),""),"")</f>
        <v/>
      </c>
      <c r="AC50" s="45" t="str">
        <f>IF('2-3.設備仕様入力（適合）'!$W$122="ガスヒートポンプ式空調機",IF('2-3.設備仕様入力（適合）'!$W$124="LPG",IF('2-3.設備仕様入力（適合）'!$W$130="kg/h",ROUND('2-3.設備仕様入力（適合）'!$W$123*'2-3.設備仕様入力（適合）'!$W$129*計算!$C$11/1000*VLOOKUP('2-3.設備仕様入力（適合）'!$W$125,計算!$N$16:$P$26,3,FALSE),1),""),""),"")</f>
        <v/>
      </c>
      <c r="AD50" s="45" t="str">
        <f t="shared" si="9"/>
        <v/>
      </c>
    </row>
    <row r="51" spans="6:30" ht="19.5" x14ac:dyDescent="0.45">
      <c r="F51" s="7"/>
      <c r="I51" s="86" t="s">
        <v>453</v>
      </c>
      <c r="J51" s="14" t="str">
        <f>IF(ISERROR('4.エネルギー使用量（適合例）'!$O$79/1000*$C$10*$C$7*$C$15),"",ROUND('4.エネルギー使用量（適合例）'!$O$79/1000*$C$10*$C$7*$C$15,2))</f>
        <v/>
      </c>
      <c r="K51" s="13">
        <f>IF(ISERROR('4.エネルギー使用量（適合例）'!$O$35/1000*$C$10*$E$10*$E$7),"",ROUND('4.エネルギー使用量（適合例）'!$O$35/1000*$C$10*$E$10*$E$7,2))</f>
        <v>2.74</v>
      </c>
      <c r="L51" s="5" t="s">
        <v>454</v>
      </c>
      <c r="P51" s="156"/>
      <c r="Q51" s="156"/>
      <c r="R51" s="156"/>
      <c r="S51" s="156"/>
      <c r="T51" s="156"/>
      <c r="U51" s="156"/>
      <c r="V51" s="156"/>
      <c r="W51" s="156"/>
      <c r="X51" s="156"/>
      <c r="Y51" s="156"/>
      <c r="Z51" s="156"/>
      <c r="AA51" s="156"/>
      <c r="AB51" s="156"/>
      <c r="AC51" s="156"/>
      <c r="AD51" s="156"/>
    </row>
    <row r="52" spans="6:30" x14ac:dyDescent="0.45">
      <c r="I52" s="86" t="s">
        <v>186</v>
      </c>
      <c r="J52" s="19" t="str">
        <f>IF(ISERROR('4.エネルギー使用量（適合例）'!$O$79/1000*$C$4*$C$7),"",ROUND('4.エネルギー使用量（適合例）'!$O$79/1000*$C$4*$C$7,2))</f>
        <v/>
      </c>
      <c r="K52" s="13" t="str">
        <f>IF(ISERROR('4.エネルギー使用量（適合例）'!$O$79/1000*$C$4*$E$4),"",ROUND('4.エネルギー使用量（適合例）'!$O$79/1000*$C$4*$E$4,2))</f>
        <v/>
      </c>
    </row>
    <row r="53" spans="6:30" x14ac:dyDescent="0.45">
      <c r="I53" s="86" t="s">
        <v>187</v>
      </c>
      <c r="J53" s="19" t="str">
        <f>IF(ISERROR('4.エネルギー使用量（適合例）'!$O$79/1000*$C$5*$C$7),"",ROUND('4.エネルギー使用量（適合例）'!$O$79/1000*$C$5*$C$7,2))</f>
        <v/>
      </c>
      <c r="K53" s="13" t="str">
        <f>IF(ISERROR('4.エネルギー使用量（適合例）'!$O$79/1000*$C$5*$E$5),"",ROUND('4.エネルギー使用量（適合例）'!$O$79/1000*$C$5*$E$5,2))</f>
        <v/>
      </c>
      <c r="N53" s="84"/>
      <c r="O53" s="38"/>
      <c r="P53" s="353" t="s">
        <v>162</v>
      </c>
      <c r="Q53" s="354"/>
      <c r="R53" s="354"/>
      <c r="S53" s="354"/>
      <c r="T53" s="354"/>
      <c r="U53" s="354"/>
      <c r="V53" s="354"/>
      <c r="W53" s="354"/>
      <c r="X53" s="354"/>
      <c r="Y53" s="354"/>
      <c r="Z53" s="354"/>
      <c r="AA53" s="354"/>
      <c r="AB53" s="354"/>
      <c r="AC53" s="354"/>
      <c r="AD53" s="355"/>
    </row>
    <row r="54" spans="6:30" x14ac:dyDescent="0.45">
      <c r="I54" s="86" t="s">
        <v>188</v>
      </c>
      <c r="J54" s="19" t="str">
        <f>IF(ISERROR('4.エネルギー使用量（適合例）'!$O$79/1000*$C$6*$C$7),"",ROUND('4.エネルギー使用量（適合例）'!$O$79/1000*$C$6*$C$7,2))</f>
        <v/>
      </c>
      <c r="K54" s="13" t="str">
        <f>IF(ISERROR('4.エネルギー使用量（適合例）'!$O$79/1000*$C$6*$E$6),"",ROUND('4.エネルギー使用量（適合例）'!$O$79/1000*$C$6*$E$6,2))</f>
        <v/>
      </c>
      <c r="N54" s="84"/>
      <c r="O54" s="38"/>
      <c r="P54" s="356" t="s">
        <v>165</v>
      </c>
      <c r="Q54" s="356"/>
      <c r="R54" s="356"/>
      <c r="S54" s="356" t="s">
        <v>164</v>
      </c>
      <c r="T54" s="356"/>
      <c r="U54" s="356"/>
      <c r="V54" s="356" t="s">
        <v>109</v>
      </c>
      <c r="W54" s="356"/>
      <c r="X54" s="356"/>
      <c r="Y54" s="356" t="s">
        <v>110</v>
      </c>
      <c r="Z54" s="356"/>
      <c r="AA54" s="356"/>
      <c r="AB54" s="356" t="s">
        <v>111</v>
      </c>
      <c r="AC54" s="356"/>
      <c r="AD54" s="356"/>
    </row>
    <row r="55" spans="6:30" x14ac:dyDescent="0.45">
      <c r="I55" s="86" t="s">
        <v>182</v>
      </c>
      <c r="J55" s="14" t="str">
        <f>IF(ISERROR('4.エネルギー使用量（適合例）'!$O$79/1000*$C$18*$C$7),"",ROUND('4.エネルギー使用量（適合例）'!$O$79/1000*$C$18*$C$7,2))</f>
        <v/>
      </c>
      <c r="K55" s="13" t="str">
        <f>IF(ISERROR('4.エネルギー使用量（適合例）'!$O$79/1000*$C$18*$E$18*$E$7),"",ROUND('4.エネルギー使用量（適合例）'!$O$79/1000*$C$18*$E$18*$E$7,2))</f>
        <v/>
      </c>
      <c r="N55" s="84"/>
      <c r="O55" s="38"/>
      <c r="P55" s="48" t="s">
        <v>93</v>
      </c>
      <c r="Q55" s="48" t="s">
        <v>92</v>
      </c>
      <c r="R55" s="48" t="s">
        <v>91</v>
      </c>
      <c r="S55" s="48" t="s">
        <v>93</v>
      </c>
      <c r="T55" s="48" t="s">
        <v>92</v>
      </c>
      <c r="U55" s="48" t="s">
        <v>91</v>
      </c>
      <c r="V55" s="48" t="s">
        <v>93</v>
      </c>
      <c r="W55" s="48" t="s">
        <v>92</v>
      </c>
      <c r="X55" s="48" t="s">
        <v>91</v>
      </c>
      <c r="Y55" s="48" t="s">
        <v>93</v>
      </c>
      <c r="Z55" s="48" t="s">
        <v>92</v>
      </c>
      <c r="AA55" s="48" t="s">
        <v>91</v>
      </c>
      <c r="AB55" s="48" t="s">
        <v>93</v>
      </c>
      <c r="AC55" s="48" t="s">
        <v>92</v>
      </c>
      <c r="AD55" s="48" t="s">
        <v>91</v>
      </c>
    </row>
    <row r="56" spans="6:30" ht="19.5" x14ac:dyDescent="0.45">
      <c r="I56" s="86" t="s">
        <v>183</v>
      </c>
      <c r="J56" s="14" t="str">
        <f>IF(ISERROR('4.エネルギー使用量（適合例）'!$O$79/1000*$C$19*$C$7),"",ROUND('4.エネルギー使用量（適合例）'!$O$79/1000*$C$19*$C$7,2))</f>
        <v/>
      </c>
      <c r="K56" s="13" t="str">
        <f>IF(ISERROR('4.エネルギー使用量（適合例）'!$O$79/1000*$C$19*$E$19*$E$7),"",ROUND('4.エネルギー使用量（適合例）'!$O$79/1000*$C$19*$E$19*$E$7,2))</f>
        <v/>
      </c>
      <c r="N56" s="85" t="s">
        <v>141</v>
      </c>
      <c r="O56" s="38">
        <f>IF(AND('2-3.設備仕様入力（適合）'!D$145="電気",'2-3.設備仕様入力（適合）'!D$151="kW"),1,IF(AND('2-3.設備仕様入力（適合）'!D$145="都市ガス",'2-3.設備仕様入力（適合）'!D$151="kW"),2,IF(AND('2-3.設備仕様入力（適合）'!D$145="都市ガス",'2-3.設備仕様入力（適合）'!D$151="ｍ3N/h"),3,IF(AND('2-3.設備仕様入力（適合）'!D$145="LPG",'2-3.設備仕様入力（適合）'!D$151="kW"),4,IF(AND('2-3.設備仕様入力（適合）'!D$145="LPG",'2-3.設備仕様入力（適合）'!D$151="kg/h"),5,"")))))</f>
        <v>1</v>
      </c>
      <c r="P56" s="45">
        <f>IF(OR('2-3.設備仕様入力（適合）'!$D$143="電気式パッケージ形空調機",'2-3.設備仕様入力（適合）'!$D$143="ルームエアコン"),ROUND('2-3.設備仕様入力（適合）'!$D$149*'2-3.設備仕様入力（適合）'!$D$144*計算!$C$3*VLOOKUP('2-3.設備仕様入力（適合）'!$D$146,計算!$N$16:$P$26,2,FALSE)/1000,1),"")</f>
        <v>24.2</v>
      </c>
      <c r="Q56" s="45">
        <f>IF(OR('2-3.設備仕様入力（適合）'!$D$143="電気式パッケージ形空調機",'2-3.設備仕様入力（適合）'!$D$143="ルームエアコン"),ROUND('2-3.設備仕様入力（適合）'!$D$150*'2-3.設備仕様入力（適合）'!$D$144*計算!$C$3*VLOOKUP('2-3.設備仕様入力（適合）'!$D$146,計算!$N$16:$P$26,3,FALSE)/1000,1),"")</f>
        <v>12.8</v>
      </c>
      <c r="R56" s="45">
        <f t="shared" ref="R56:R65" si="10">IF(AND(P56="",Q56=""),"",P56+Q56)</f>
        <v>37</v>
      </c>
      <c r="S56" s="45" t="str">
        <f>IF('2-3.設備仕様入力（適合）'!$D$143="ガスヒートポンプ式空調機",IF('2-3.設備仕様入力（適合）'!$D$145="都市ガス",IF('2-3.設備仕様入力（適合）'!$D$151="kW",ROUND('2-3.設備仕様入力（適合）'!$D$144*'2-3.設備仕様入力（適合）'!$D$149*3.6/1000*VLOOKUP('2-3.設備仕様入力（適合）'!$D$146,計算!$N$16:$P$26,2,FALSE),1),""),""),"")</f>
        <v/>
      </c>
      <c r="T56" s="45" t="str">
        <f>IF('2-3.設備仕様入力（適合）'!$D$143="ガスヒートポンプ式空調機",IF('2-3.設備仕様入力（適合）'!$D$145="都市ガス",IF('2-3.設備仕様入力（適合）'!$D$151="kW",ROUND('2-3.設備仕様入力（適合）'!$D$144*'2-3.設備仕様入力（適合）'!$D$150*3.6/1000*VLOOKUP('2-3.設備仕様入力（適合）'!$D$146,計算!$N$16:$P$26,3,FALSE),1),""),""),"")</f>
        <v/>
      </c>
      <c r="U56" s="45" t="str">
        <f t="shared" ref="U56:U65" si="11">IF(AND(S56="",T56=""),"",S56+T56)</f>
        <v/>
      </c>
      <c r="V56" s="45" t="str">
        <f>IF('2-3.設備仕様入力（適合）'!$D$143="ガスヒートポンプ式空調機",IF('2-3.設備仕様入力（適合）'!$D$151="ｍ3N/h",ROUND('2-3.設備仕様入力（適合）'!$D$144*'2-3.設備仕様入力（適合）'!$D$149*計算!$C$10/1000*VLOOKUP('2-3.設備仕様入力（適合）'!$D$146,計算!$N$16:$P$26,2,FALSE),1),""),"")</f>
        <v/>
      </c>
      <c r="W56" s="45" t="str">
        <f>IF('2-3.設備仕様入力（適合）'!$D$143="ガスヒートポンプ式空調機",IF('2-3.設備仕様入力（適合）'!$D$151="ｍ3N/h",ROUND('2-3.設備仕様入力（適合）'!$D$144*'2-3.設備仕様入力（適合）'!$D$150*計算!$C$10/1000*VLOOKUP('2-3.設備仕様入力（適合）'!$D$146,計算!$N$16:$P$26,3,FALSE),1),""),"")</f>
        <v/>
      </c>
      <c r="X56" s="45" t="str">
        <f t="shared" ref="X56:X65" si="12">IF(AND(V56="",W56=""),"",V56+W56)</f>
        <v/>
      </c>
      <c r="Y56" s="45" t="str">
        <f>IF('2-3.設備仕様入力（適合）'!$D$143="ガスヒートポンプ式空調機",IF('2-3.設備仕様入力（適合）'!$D$145="LPG",IF('2-3.設備仕様入力（適合）'!$D$151="kW",ROUND('2-3.設備仕様入力（適合）'!$D$144*'2-3.設備仕様入力（適合）'!$D$149*3.6/1000*VLOOKUP('2-3.設備仕様入力（適合）'!$D$146,計算!$N$16:$P$26,2,FALSE),1),""),""),"")</f>
        <v/>
      </c>
      <c r="Z56" s="45" t="str">
        <f>IF('2-3.設備仕様入力（適合）'!$D$143="ガスヒートポンプ式空調機",IF('2-3.設備仕様入力（適合）'!$D$145="LPG",IF('2-3.設備仕様入力（適合）'!$D$151="kW",ROUND('2-3.設備仕様入力（適合）'!$D$144*'2-3.設備仕様入力（適合）'!$D$150*3.6/1000*VLOOKUP('2-3.設備仕様入力（適合）'!$D$146,計算!$N$16:$P$26,3,FALSE),1),""),""),"")</f>
        <v/>
      </c>
      <c r="AA56" s="45" t="str">
        <f t="shared" ref="AA56:AA65" si="13">IF(AND(Y56="",Z56=""),"",Y56+Z56)</f>
        <v/>
      </c>
      <c r="AB56" s="45" t="str">
        <f>IF('2-3.設備仕様入力（適合）'!$D$143="ガスヒートポンプ式空調機",IF('2-3.設備仕様入力（適合）'!$D$145="LPG",IF('2-3.設備仕様入力（適合）'!$D$151="kg/h",ROUND('2-3.設備仕様入力（適合）'!$D$144*'2-3.設備仕様入力（適合）'!$D$149*計算!$C$11/1000*VLOOKUP('2-3.設備仕様入力（適合）'!$D$146,計算!$N$16:$P$26,2,FALSE),1),""),""),"")</f>
        <v/>
      </c>
      <c r="AC56" s="45" t="str">
        <f>IF('2-3.設備仕様入力（適合）'!$D$143="ガスヒートポンプ式空調機",IF('2-3.設備仕様入力（適合）'!$D$145="LPG",IF('2-3.設備仕様入力（適合）'!$D$151="kg/h",ROUND('2-3.設備仕様入力（適合）'!$D$144*'2-3.設備仕様入力（適合）'!$D$150*計算!$C$11/1000*VLOOKUP('2-3.設備仕様入力（適合）'!$D$146,計算!$N$16:$P$26,3,FALSE),1),""),""),"")</f>
        <v/>
      </c>
      <c r="AD56" s="45" t="str">
        <f t="shared" ref="AD56:AD65" si="14">IF(AND(AB56="",AC56=""),"",AB56+AC56)</f>
        <v/>
      </c>
    </row>
    <row r="57" spans="6:30" ht="19.5" x14ac:dyDescent="0.45">
      <c r="I57" s="86" t="s">
        <v>184</v>
      </c>
      <c r="J57" s="14" t="str">
        <f>IF(ISERROR('4.エネルギー使用量（適合例）'!$O$79/1000*$C$20*$C$7),"",ROUND('4.エネルギー使用量（適合例）'!$O$79/1000*$C$20*$C$7,2))</f>
        <v/>
      </c>
      <c r="K57" s="13" t="str">
        <f>IF(ISERROR('4.エネルギー使用量（適合例）'!$O$79/1000*$C$20*$E$20*$E$7),"",ROUND('4.エネルギー使用量（適合例）'!$O$79/1000*$C$20*$E$20*$E$7,2))</f>
        <v/>
      </c>
      <c r="N57" s="85" t="s">
        <v>112</v>
      </c>
      <c r="O57" s="38" t="str">
        <f>IF(AND('2-3.設備仕様入力（適合）'!E$145="電気",'2-3.設備仕様入力（適合）'!E$151="kW"),1,IF(AND('2-3.設備仕様入力（適合）'!E$145="都市ガス",'2-3.設備仕様入力（適合）'!E$151="kW"),2,IF(AND('2-3.設備仕様入力（適合）'!E$145="都市ガス",'2-3.設備仕様入力（適合）'!E$151="ｍ3N/h"),3,IF(AND('2-3.設備仕様入力（適合）'!E$145="LPG",'2-3.設備仕様入力（適合）'!E$151="kW"),4,IF(AND('2-3.設備仕様入力（適合）'!E$145="LPG",'2-3.設備仕様入力（適合）'!E$151="kg/h"),5,"")))))</f>
        <v/>
      </c>
      <c r="P57" s="45" t="str">
        <f>IF(OR('2-3.設備仕様入力（適合）'!$E$143="電気式パッケージ形空調機",'2-3.設備仕様入力（適合）'!$E$143="ルームエアコン"),ROUND('2-3.設備仕様入力（適合）'!$E$149*'2-3.設備仕様入力（適合）'!$E$144*計算!$C$3*VLOOKUP('2-3.設備仕様入力（適合）'!$E$146,計算!$N$16:$P$26,2,FALSE)/1000,1),"")</f>
        <v/>
      </c>
      <c r="Q57" s="45" t="str">
        <f>IF(OR('2-3.設備仕様入力（適合）'!$E$143="電気式パッケージ形空調機",'2-3.設備仕様入力（適合）'!$E$143="ルームエアコン"),ROUND('2-3.設備仕様入力（適合）'!$E$150*'2-3.設備仕様入力（適合）'!$E$144*計算!$C$3*VLOOKUP('2-3.設備仕様入力（適合）'!$E$146,計算!$N$16:$P$26,3,FALSE)/1000,1),"")</f>
        <v/>
      </c>
      <c r="R57" s="45" t="str">
        <f t="shared" si="10"/>
        <v/>
      </c>
      <c r="S57" s="45" t="str">
        <f>IF('2-3.設備仕様入力（適合）'!$E$143="ガスヒートポンプ式空調機",IF('2-3.設備仕様入力（適合）'!$E$145="都市ガス",IF('2-3.設備仕様入力（適合）'!$E$151="kW",ROUND('2-3.設備仕様入力（適合）'!$E$144*'2-3.設備仕様入力（適合）'!$E$149*3.6/1000*VLOOKUP('2-3.設備仕様入力（適合）'!$E$146,計算!$N$16:$P$26,2,FALSE),1),""),""),"")</f>
        <v/>
      </c>
      <c r="T57" s="45" t="str">
        <f>IF('2-3.設備仕様入力（適合）'!$E$143="ガスヒートポンプ式空調機",IF('2-3.設備仕様入力（適合）'!$E$145="都市ガス",IF('2-3.設備仕様入力（適合）'!$E$151="kW",ROUND('2-3.設備仕様入力（適合）'!$E$144*'2-3.設備仕様入力（適合）'!$E$150*3.6/1000*VLOOKUP('2-3.設備仕様入力（適合）'!$E$146,計算!$N$16:$P$26,3,FALSE),1),""),""),"")</f>
        <v/>
      </c>
      <c r="U57" s="45" t="str">
        <f t="shared" si="11"/>
        <v/>
      </c>
      <c r="V57" s="45" t="str">
        <f>IF('2-3.設備仕様入力（適合）'!$E$143="ガスヒートポンプ式空調機",IF('2-3.設備仕様入力（適合）'!$E$151="ｍ3N/h",ROUND('2-3.設備仕様入力（適合）'!$E$144*'2-3.設備仕様入力（適合）'!$E$149*計算!$C$10/1000*VLOOKUP('2-3.設備仕様入力（適合）'!$E$146,計算!$N$16:$P$26,2,FALSE),1),""),"")</f>
        <v/>
      </c>
      <c r="W57" s="45" t="str">
        <f>IF('2-3.設備仕様入力（適合）'!$E$143="ガスヒートポンプ式空調機",IF('2-3.設備仕様入力（適合）'!$E$151="ｍ3N/h",ROUND('2-3.設備仕様入力（適合）'!$E$144*'2-3.設備仕様入力（適合）'!$E$150*計算!$C$10/1000*VLOOKUP('2-3.設備仕様入力（適合）'!$E$146,計算!$N$16:$P$26,3,FALSE),1),""),"")</f>
        <v/>
      </c>
      <c r="X57" s="45" t="str">
        <f t="shared" si="12"/>
        <v/>
      </c>
      <c r="Y57" s="45" t="str">
        <f>IF('2-3.設備仕様入力（適合）'!$E$143="ガスヒートポンプ式空調機",IF('2-3.設備仕様入力（適合）'!$E$145="LPG",IF('2-3.設備仕様入力（適合）'!$E$151="kW",ROUND('2-3.設備仕様入力（適合）'!$E$144*'2-3.設備仕様入力（適合）'!$E$149*3.6/1000*VLOOKUP('2-3.設備仕様入力（適合）'!$E$146,計算!$N$16:$P$26,2,FALSE),1),""),""),"")</f>
        <v/>
      </c>
      <c r="Z57" s="45" t="str">
        <f>IF('2-3.設備仕様入力（適合）'!$E$143="ガスヒートポンプ式空調機",IF('2-3.設備仕様入力（適合）'!$E$145="LPG",IF('2-3.設備仕様入力（適合）'!$E$151="kW",ROUND('2-3.設備仕様入力（適合）'!$E$144*'2-3.設備仕様入力（適合）'!$E$150*3.6/1000*VLOOKUP('2-3.設備仕様入力（適合）'!$E$146,計算!$N$16:$P$26,3,FALSE),1),""),""),"")</f>
        <v/>
      </c>
      <c r="AA57" s="45" t="str">
        <f t="shared" si="13"/>
        <v/>
      </c>
      <c r="AB57" s="45" t="str">
        <f>IF('2-3.設備仕様入力（適合）'!$E$143="ガスヒートポンプ式空調機",IF('2-3.設備仕様入力（適合）'!$E$145="LPG",IF('2-3.設備仕様入力（適合）'!$E$151="kg/h",ROUND('2-3.設備仕様入力（適合）'!$E$144*'2-3.設備仕様入力（適合）'!$E$149*計算!$C$11/1000*VLOOKUP('2-3.設備仕様入力（適合）'!$E$146,計算!$N$16:$P$26,2,FALSE),1),""),""),"")</f>
        <v/>
      </c>
      <c r="AC57" s="45" t="str">
        <f>IF('2-3.設備仕様入力（適合）'!$E$143="ガスヒートポンプ式空調機",IF('2-3.設備仕様入力（適合）'!$E$145="LPG",IF('2-3.設備仕様入力（適合）'!$E$151="kg/h",ROUND('2-3.設備仕様入力（適合）'!$E$144*'2-3.設備仕様入力（適合）'!$E$150*計算!$C$11/1000*VLOOKUP('2-3.設備仕様入力（適合）'!$E$146,計算!$N$16:$P$26,3,FALSE),1),""),""),"")</f>
        <v/>
      </c>
      <c r="AD57" s="45" t="str">
        <f t="shared" si="14"/>
        <v/>
      </c>
    </row>
    <row r="58" spans="6:30" ht="20.25" thickBot="1" x14ac:dyDescent="0.5">
      <c r="I58" s="86" t="s">
        <v>185</v>
      </c>
      <c r="J58" s="11" t="str">
        <f>IF(ISERROR('4.エネルギー使用量（適合例）'!$O$79/1000*$C$21*$C$7),"",ROUND('4.エネルギー使用量（適合例）'!$O$79/1000*$C$21*$C$7,2))</f>
        <v/>
      </c>
      <c r="K58" s="10" t="str">
        <f>IF(ISERROR('4.エネルギー使用量（適合例）'!$O$79/1000*$C$21*$E$21*$E$7),"",ROUND('4.エネルギー使用量（適合例）'!$O$79/1000*$C$21*$E$21*$E$7,2))</f>
        <v/>
      </c>
      <c r="N58" s="85" t="s">
        <v>113</v>
      </c>
      <c r="O58" s="38" t="str">
        <f>IF(AND('2-3.設備仕様入力（適合）'!F$145="電気",'2-3.設備仕様入力（適合）'!F$151="kW"),1,IF(AND('2-3.設備仕様入力（適合）'!F$145="都市ガス",'2-3.設備仕様入力（適合）'!F$151="kW"),2,IF(AND('2-3.設備仕様入力（適合）'!F$145="都市ガス",'2-3.設備仕様入力（適合）'!F$151="ｍ3N/h"),3,IF(AND('2-3.設備仕様入力（適合）'!F$145="LPG",'2-3.設備仕様入力（適合）'!F$151="kW"),4,IF(AND('2-3.設備仕様入力（適合）'!F$145="LPG",'2-3.設備仕様入力（適合）'!F$151="kg/h"),5,"")))))</f>
        <v/>
      </c>
      <c r="P58" s="45" t="str">
        <f>IF(OR('2-3.設備仕様入力（適合）'!$F$143="電気式パッケージ形空調機",'2-3.設備仕様入力（適合）'!$F$143="ルームエアコン"),ROUND('2-3.設備仕様入力（適合）'!$F$149*'2-3.設備仕様入力（適合）'!$F$144*計算!$C$3*VLOOKUP('2-3.設備仕様入力（適合）'!$F$146,計算!$N$16:$P$26,2,FALSE)/1000,1),"")</f>
        <v/>
      </c>
      <c r="Q58" s="45" t="str">
        <f>IF(OR('2-3.設備仕様入力（適合）'!$F$143="電気式パッケージ形空調機",'2-3.設備仕様入力（適合）'!$F$143="ルームエアコン"),ROUND('2-3.設備仕様入力（適合）'!$F$150*'2-3.設備仕様入力（適合）'!$F$144*計算!$C$3*VLOOKUP('2-3.設備仕様入力（適合）'!$F$146,計算!$N$16:$P$26,3,FALSE)/1000,1),"")</f>
        <v/>
      </c>
      <c r="R58" s="45" t="str">
        <f t="shared" si="10"/>
        <v/>
      </c>
      <c r="S58" s="45" t="str">
        <f>IF('2-3.設備仕様入力（適合）'!$F$143="ガスヒートポンプ式空調機",IF('2-3.設備仕様入力（適合）'!$F$145="都市ガス",IF('2-3.設備仕様入力（適合）'!$F$151="kW",ROUND('2-3.設備仕様入力（適合）'!$F$144*'2-3.設備仕様入力（適合）'!$F$149*3.6/1000*VLOOKUP('2-3.設備仕様入力（適合）'!$F$146,計算!$N$16:$P$26,2,FALSE),1),""),""),"")</f>
        <v/>
      </c>
      <c r="T58" s="45" t="str">
        <f>IF('2-3.設備仕様入力（適合）'!$F$143="ガスヒートポンプ式空調機",IF('2-3.設備仕様入力（適合）'!$F$145="都市ガス",IF('2-3.設備仕様入力（適合）'!$F$151="kW",ROUND('2-3.設備仕様入力（適合）'!$F$144*'2-3.設備仕様入力（適合）'!$F$150*3.6/1000*VLOOKUP('2-3.設備仕様入力（適合）'!$F$146,計算!$N$16:$P$26,3,FALSE),1),""),""),"")</f>
        <v/>
      </c>
      <c r="U58" s="45" t="str">
        <f t="shared" si="11"/>
        <v/>
      </c>
      <c r="V58" s="45" t="str">
        <f>IF('2-3.設備仕様入力（適合）'!$F$143="ガスヒートポンプ式空調機",IF('2-3.設備仕様入力（適合）'!$F$151="ｍ3N/h",ROUND('2-3.設備仕様入力（適合）'!$F$144*'2-3.設備仕様入力（適合）'!$F$149*計算!$C$10/1000*VLOOKUP('2-3.設備仕様入力（適合）'!$F$146,計算!$N$16:$P$26,2,FALSE),1),""),"")</f>
        <v/>
      </c>
      <c r="W58" s="45" t="str">
        <f>IF('2-3.設備仕様入力（適合）'!$F$143="ガスヒートポンプ式空調機",IF('2-3.設備仕様入力（適合）'!$F$151="ｍ3N/h",ROUND('2-3.設備仕様入力（適合）'!$F$144*'2-3.設備仕様入力（適合）'!$F$150*計算!$C$10/1000*VLOOKUP('2-3.設備仕様入力（適合）'!$F$146,計算!$N$16:$P$26,3,FALSE),1),""),"")</f>
        <v/>
      </c>
      <c r="X58" s="45" t="str">
        <f t="shared" si="12"/>
        <v/>
      </c>
      <c r="Y58" s="45" t="str">
        <f>IF('2-3.設備仕様入力（適合）'!$F$143="ガスヒートポンプ式空調機",IF('2-3.設備仕様入力（適合）'!$F$145="LPG",IF('2-3.設備仕様入力（適合）'!$F$151="kW",ROUND('2-3.設備仕様入力（適合）'!$F$144*'2-3.設備仕様入力（適合）'!$F$149*3.6/1000*VLOOKUP('2-3.設備仕様入力（適合）'!$F$146,計算!$N$16:$P$26,2,FALSE),1),""),""),"")</f>
        <v/>
      </c>
      <c r="Z58" s="45" t="str">
        <f>IF('2-3.設備仕様入力（適合）'!$F$143="ガスヒートポンプ式空調機",IF('2-3.設備仕様入力（適合）'!$F$145="LPG",IF('2-3.設備仕様入力（適合）'!$F$151="kW",ROUND('2-3.設備仕様入力（適合）'!$F$144*'2-3.設備仕様入力（適合）'!$F$150*3.6/1000*VLOOKUP('2-3.設備仕様入力（適合）'!$F$146,計算!$N$16:$P$26,3,FALSE),1),""),""),"")</f>
        <v/>
      </c>
      <c r="AA58" s="45" t="str">
        <f t="shared" si="13"/>
        <v/>
      </c>
      <c r="AB58" s="45" t="str">
        <f>IF('2-3.設備仕様入力（適合）'!$F$143="ガスヒートポンプ式空調機",IF('2-3.設備仕様入力（適合）'!$F$145="LPG",IF('2-3.設備仕様入力（適合）'!$F$151="kg/h",ROUND('2-3.設備仕様入力（適合）'!$F$144*'2-3.設備仕様入力（適合）'!$F$149*計算!$C$11/1000*VLOOKUP('2-3.設備仕様入力（適合）'!$F$146,計算!$N$16:$P$26,2,FALSE),1),""),""),"")</f>
        <v/>
      </c>
      <c r="AC58" s="45" t="str">
        <f>IF('2-3.設備仕様入力（適合）'!$F$143="ガスヒートポンプ式空調機",IF('2-3.設備仕様入力（適合）'!$F$145="LPG",IF('2-3.設備仕様入力（適合）'!$F$151="kg/h",ROUND('2-3.設備仕様入力（適合）'!$F$144*'2-3.設備仕様入力（適合）'!$F$150*計算!$C$11/1000*VLOOKUP('2-3.設備仕様入力（適合）'!$F$146,計算!$N$16:$P$26,3,FALSE),1),""),""),"")</f>
        <v/>
      </c>
      <c r="AD58" s="45" t="str">
        <f t="shared" si="14"/>
        <v/>
      </c>
    </row>
    <row r="59" spans="6:30" ht="19.5" x14ac:dyDescent="0.45">
      <c r="I59" s="86"/>
      <c r="J59" s="155"/>
      <c r="K59" s="155"/>
      <c r="N59" s="85" t="s">
        <v>114</v>
      </c>
      <c r="O59" s="38" t="str">
        <f>IF(AND('2-3.設備仕様入力（適合）'!G$145="電気",'2-3.設備仕様入力（適合）'!G$151="kW"),1,IF(AND('2-3.設備仕様入力（適合）'!G$145="都市ガス",'2-3.設備仕様入力（適合）'!G$151="kW"),2,IF(AND('2-3.設備仕様入力（適合）'!G$145="都市ガス",'2-3.設備仕様入力（適合）'!G$151="ｍ3N/h"),3,IF(AND('2-3.設備仕様入力（適合）'!G$145="LPG",'2-3.設備仕様入力（適合）'!G$151="kW"),4,IF(AND('2-3.設備仕様入力（適合）'!G$145="LPG",'2-3.設備仕様入力（適合）'!G$151="kg/h"),5,"")))))</f>
        <v/>
      </c>
      <c r="P59" s="45" t="str">
        <f>IF(OR('2-3.設備仕様入力（適合）'!$G$143="電気式パッケージ形空調機",'2-3.設備仕様入力（適合）'!$G$143="ルームエアコン"),ROUND('2-3.設備仕様入力（適合）'!$G$149*'2-3.設備仕様入力（適合）'!$G$144*計算!$C$3*VLOOKUP('2-3.設備仕様入力（適合）'!$G$146,計算!$N$16:$P$26,2,FALSE)/1000,1),"")</f>
        <v/>
      </c>
      <c r="Q59" s="45" t="str">
        <f>IF(OR('2-3.設備仕様入力（適合）'!$G$143="電気式パッケージ形空調機",'2-3.設備仕様入力（適合）'!$G$143="ルームエアコン"),ROUND('2-3.設備仕様入力（適合）'!$G$150*'2-3.設備仕様入力（適合）'!$G$144*計算!$C$3*VLOOKUP('2-3.設備仕様入力（適合）'!$G$146,計算!$N$16:$P$26,3,FALSE)/1000,1),"")</f>
        <v/>
      </c>
      <c r="R59" s="45" t="str">
        <f t="shared" si="10"/>
        <v/>
      </c>
      <c r="S59" s="45" t="str">
        <f>IF('2-3.設備仕様入力（適合）'!$G$143="ガスヒートポンプ式空調機",IF('2-3.設備仕様入力（適合）'!$G$145="都市ガス",IF('2-3.設備仕様入力（適合）'!$G$151="kW",ROUND('2-3.設備仕様入力（適合）'!$G$144*'2-3.設備仕様入力（適合）'!$G$149*3.6/1000*VLOOKUP('2-3.設備仕様入力（適合）'!$G$146,計算!$N$16:$P$26,2,FALSE),1),""),""),"")</f>
        <v/>
      </c>
      <c r="T59" s="45" t="str">
        <f>IF('2-3.設備仕様入力（適合）'!$G$143="ガスヒートポンプ式空調機",IF('2-3.設備仕様入力（適合）'!$G$145="都市ガス",IF('2-3.設備仕様入力（適合）'!$G$151="kW",ROUND('2-3.設備仕様入力（適合）'!$G$144*'2-3.設備仕様入力（適合）'!$G$150*3.6/1000*VLOOKUP('2-3.設備仕様入力（適合）'!$G$146,計算!$N$16:$P$26,3,FALSE),1),""),""),"")</f>
        <v/>
      </c>
      <c r="U59" s="45" t="str">
        <f t="shared" si="11"/>
        <v/>
      </c>
      <c r="V59" s="45" t="str">
        <f>IF('2-3.設備仕様入力（適合）'!$G$143="ガスヒートポンプ式空調機",IF('2-3.設備仕様入力（適合）'!$G$151="ｍ3N/h",ROUND('2-3.設備仕様入力（適合）'!$G$144*'2-3.設備仕様入力（適合）'!$G$149*計算!$C$10/1000*VLOOKUP('2-3.設備仕様入力（適合）'!$G$146,計算!$N$16:$P$26,2,FALSE),1),""),"")</f>
        <v/>
      </c>
      <c r="W59" s="45" t="str">
        <f>IF('2-3.設備仕様入力（適合）'!$G$143="ガスヒートポンプ式空調機",IF('2-3.設備仕様入力（適合）'!$G$151="ｍ3N/h",ROUND('2-3.設備仕様入力（適合）'!$G$144*'2-3.設備仕様入力（適合）'!$G$150*計算!$C$10/1000*VLOOKUP('2-3.設備仕様入力（適合）'!$G$146,計算!$N$16:$P$26,3,FALSE),1),""),"")</f>
        <v/>
      </c>
      <c r="X59" s="45" t="str">
        <f t="shared" si="12"/>
        <v/>
      </c>
      <c r="Y59" s="45" t="str">
        <f>IF('2-3.設備仕様入力（適合）'!$G$143="ガスヒートポンプ式空調機",IF('2-3.設備仕様入力（適合）'!$G$145="LPG",IF('2-3.設備仕様入力（適合）'!$G$151="kW",ROUND('2-3.設備仕様入力（適合）'!$G$144*'2-3.設備仕様入力（適合）'!$G$149*3.6/1000*VLOOKUP('2-3.設備仕様入力（適合）'!$G$146,計算!$N$16:$P$26,2,FALSE),1),""),""),"")</f>
        <v/>
      </c>
      <c r="Z59" s="45" t="str">
        <f>IF('2-3.設備仕様入力（適合）'!$G$143="ガスヒートポンプ式空調機",IF('2-3.設備仕様入力（適合）'!$G$145="LPG",IF('2-3.設備仕様入力（適合）'!$G$151="kW",ROUND('2-3.設備仕様入力（適合）'!$G$144*'2-3.設備仕様入力（適合）'!$G$150*3.6/1000*VLOOKUP('2-3.設備仕様入力（適合）'!$G$146,計算!$N$16:$P$26,3,FALSE),1),""),""),"")</f>
        <v/>
      </c>
      <c r="AA59" s="45" t="str">
        <f t="shared" si="13"/>
        <v/>
      </c>
      <c r="AB59" s="45" t="str">
        <f>IF('2-3.設備仕様入力（適合）'!$G$143="ガスヒートポンプ式空調機",IF('2-3.設備仕様入力（適合）'!$G$145="LPG",IF('2-3.設備仕様入力（適合）'!$G$151="kg/h",ROUND('2-3.設備仕様入力（適合）'!$G$144*'2-3.設備仕様入力（適合）'!$G$149*計算!$C$11/1000*VLOOKUP('2-3.設備仕様入力（適合）'!$G$146,計算!$N$16:$P$26,2,FALSE),1),""),""),"")</f>
        <v/>
      </c>
      <c r="AC59" s="45" t="str">
        <f>IF('2-3.設備仕様入力（適合）'!$G$143="ガスヒートポンプ式空調機",IF('2-3.設備仕様入力（適合）'!$G$145="LPG",IF('2-3.設備仕様入力（適合）'!$G$151="kg/h",ROUND('2-3.設備仕様入力（適合）'!$G$144*'2-3.設備仕様入力（適合）'!$G$150*計算!$C$11/1000*VLOOKUP('2-3.設備仕様入力（適合）'!$G$146,計算!$N$16:$P$26,3,FALSE),1),""),""),"")</f>
        <v/>
      </c>
      <c r="AD59" s="45" t="str">
        <f t="shared" si="14"/>
        <v/>
      </c>
    </row>
    <row r="60" spans="6:30" ht="19.5" x14ac:dyDescent="0.45">
      <c r="N60" s="85" t="s">
        <v>115</v>
      </c>
      <c r="O60" s="38" t="str">
        <f>IF(AND('2-3.設備仕様入力（適合）'!H$145="電気",'2-3.設備仕様入力（適合）'!H$151="kW"),1,IF(AND('2-3.設備仕様入力（適合）'!H$145="都市ガス",'2-3.設備仕様入力（適合）'!H$151="kW"),2,IF(AND('2-3.設備仕様入力（適合）'!H$145="都市ガス",'2-3.設備仕様入力（適合）'!H$151="ｍ3N/h"),3,IF(AND('2-3.設備仕様入力（適合）'!H$145="LPG",'2-3.設備仕様入力（適合）'!H$151="kW"),4,IF(AND('2-3.設備仕様入力（適合）'!H$145="LPG",'2-3.設備仕様入力（適合）'!H$151="kg/h"),5,"")))))</f>
        <v/>
      </c>
      <c r="P60" s="45" t="str">
        <f>IF(OR('2-3.設備仕様入力（適合）'!$H$143="電気式パッケージ形空調機",'2-3.設備仕様入力（適合）'!$H$143="ルームエアコン"),ROUND('2-3.設備仕様入力（適合）'!$H$149*'2-3.設備仕様入力（適合）'!$H$144*計算!$C$3*VLOOKUP('2-3.設備仕様入力（適合）'!$H$146,計算!$N$16:$P$26,2,FALSE)/1000,1),"")</f>
        <v/>
      </c>
      <c r="Q60" s="45" t="str">
        <f>IF(OR('2-3.設備仕様入力（適合）'!$H$143="電気式パッケージ形空調機",'2-3.設備仕様入力（適合）'!$H$143="ルームエアコン"),ROUND('2-3.設備仕様入力（適合）'!$H$150*'2-3.設備仕様入力（適合）'!$H$144*計算!$C$3*VLOOKUP('2-3.設備仕様入力（適合）'!$H$146,計算!$N$16:$P$26,3,FALSE)/1000,1),"")</f>
        <v/>
      </c>
      <c r="R60" s="45" t="str">
        <f t="shared" si="10"/>
        <v/>
      </c>
      <c r="S60" s="45" t="str">
        <f>IF('2-3.設備仕様入力（適合）'!$H$143="ガスヒートポンプ式空調機",IF('2-3.設備仕様入力（適合）'!$H$145="都市ガス",IF('2-3.設備仕様入力（適合）'!$H$151="kW",ROUND('2-3.設備仕様入力（適合）'!$H$144*'2-3.設備仕様入力（適合）'!$H$149*3.6/1000*VLOOKUP('2-3.設備仕様入力（適合）'!$H$146,計算!$N$16:$P$26,2,FALSE),1),""),""),"")</f>
        <v/>
      </c>
      <c r="T60" s="45" t="str">
        <f>IF('2-3.設備仕様入力（適合）'!$H$143="ガスヒートポンプ式空調機",IF('2-3.設備仕様入力（適合）'!$H$145="都市ガス",IF('2-3.設備仕様入力（適合）'!$H$151="kW",ROUND('2-3.設備仕様入力（適合）'!$H$144*'2-3.設備仕様入力（適合）'!$H$150*3.6/1000*VLOOKUP('2-3.設備仕様入力（適合）'!$H$146,計算!$N$16:$P$26,3,FALSE),1),""),""),"")</f>
        <v/>
      </c>
      <c r="U60" s="45" t="str">
        <f t="shared" si="11"/>
        <v/>
      </c>
      <c r="V60" s="45" t="str">
        <f>IF('2-3.設備仕様入力（適合）'!$H$143="ガスヒートポンプ式空調機",IF('2-3.設備仕様入力（適合）'!$H$151="ｍ3N/h",ROUND('2-3.設備仕様入力（適合）'!$H$144*'2-3.設備仕様入力（適合）'!$H$149*計算!$C$10/1000*VLOOKUP('2-3.設備仕様入力（適合）'!$H$146,計算!$N$16:$P$26,2,FALSE),1),""),"")</f>
        <v/>
      </c>
      <c r="W60" s="45" t="str">
        <f>IF('2-3.設備仕様入力（適合）'!$H$143="ガスヒートポンプ式空調機",IF('2-3.設備仕様入力（適合）'!$H$151="ｍ3N/h",ROUND('2-3.設備仕様入力（適合）'!$H$144*'2-3.設備仕様入力（適合）'!$H$150*計算!$C$10/1000*VLOOKUP('2-3.設備仕様入力（適合）'!$H$146,計算!$N$16:$P$26,3,FALSE),1),""),"")</f>
        <v/>
      </c>
      <c r="X60" s="45" t="str">
        <f t="shared" si="12"/>
        <v/>
      </c>
      <c r="Y60" s="45" t="str">
        <f>IF('2-3.設備仕様入力（適合）'!$H$143="ガスヒートポンプ式空調機",IF('2-3.設備仕様入力（適合）'!$H$145="LPG",IF('2-3.設備仕様入力（適合）'!$H$151="kW",ROUND('2-3.設備仕様入力（適合）'!$H$144*'2-3.設備仕様入力（適合）'!$H$149*3.6/1000*VLOOKUP('2-3.設備仕様入力（適合）'!$H$146,計算!$N$16:$P$26,2,FALSE),1),""),""),"")</f>
        <v/>
      </c>
      <c r="Z60" s="45" t="str">
        <f>IF('2-3.設備仕様入力（適合）'!$H$143="ガスヒートポンプ式空調機",IF('2-3.設備仕様入力（適合）'!$H$145="LPG",IF('2-3.設備仕様入力（適合）'!$H$151="kW",ROUND('2-3.設備仕様入力（適合）'!$H$144*'2-3.設備仕様入力（適合）'!$H$150*3.6/1000*VLOOKUP('2-3.設備仕様入力（適合）'!$H$146,計算!$N$16:$P$26,3,FALSE),1),""),""),"")</f>
        <v/>
      </c>
      <c r="AA60" s="45" t="str">
        <f t="shared" si="13"/>
        <v/>
      </c>
      <c r="AB60" s="45" t="str">
        <f>IF('2-3.設備仕様入力（適合）'!$H$143="ガスヒートポンプ式空調機",IF('2-3.設備仕様入力（適合）'!$H$145="LPG",IF('2-3.設備仕様入力（適合）'!$H$151="kg/h",ROUND('2-3.設備仕様入力（適合）'!$H$144*'2-3.設備仕様入力（適合）'!$H$149*計算!$C$11/1000*VLOOKUP('2-3.設備仕様入力（適合）'!$H$146,計算!$N$16:$P$26,2,FALSE),1),""),""),"")</f>
        <v/>
      </c>
      <c r="AC60" s="45" t="str">
        <f>IF('2-3.設備仕様入力（適合）'!$H$143="ガスヒートポンプ式空調機",IF('2-3.設備仕様入力（適合）'!$H$145="LPG",IF('2-3.設備仕様入力（適合）'!$H$151="kg/h",ROUND('2-3.設備仕様入力（適合）'!$H$144*'2-3.設備仕様入力（適合）'!$H$150*計算!$C$11/1000*VLOOKUP('2-3.設備仕様入力（適合）'!$H$146,計算!$N$16:$P$26,3,FALSE),1),""),""),"")</f>
        <v/>
      </c>
      <c r="AD60" s="45" t="str">
        <f t="shared" si="14"/>
        <v/>
      </c>
    </row>
    <row r="61" spans="6:30" ht="19.5" x14ac:dyDescent="0.45">
      <c r="N61" s="85" t="s">
        <v>116</v>
      </c>
      <c r="O61" s="38" t="str">
        <f>IF(AND('2-3.設備仕様入力（適合）'!I$145="電気",'2-3.設備仕様入力（適合）'!I$151="kW"),1,IF(AND('2-3.設備仕様入力（適合）'!I$145="都市ガス",'2-3.設備仕様入力（適合）'!I$151="kW"),2,IF(AND('2-3.設備仕様入力（適合）'!I$145="都市ガス",'2-3.設備仕様入力（適合）'!I$151="ｍ3N/h"),3,IF(AND('2-3.設備仕様入力（適合）'!I$145="LPG",'2-3.設備仕様入力（適合）'!I$151="kW"),4,IF(AND('2-3.設備仕様入力（適合）'!I$145="LPG",'2-3.設備仕様入力（適合）'!I$151="kg/h"),5,"")))))</f>
        <v/>
      </c>
      <c r="P61" s="45" t="str">
        <f>IF(OR('2-3.設備仕様入力（適合）'!$I$143="電気式パッケージ形空調機",'2-3.設備仕様入力（適合）'!$I$143="ルームエアコン"),ROUND('2-3.設備仕様入力（適合）'!$I$149*'2-3.設備仕様入力（適合）'!$I$144*計算!$C$3*VLOOKUP('2-3.設備仕様入力（適合）'!$I$146,計算!$N$16:$P$26,2,FALSE)/1000,1),"")</f>
        <v/>
      </c>
      <c r="Q61" s="45" t="str">
        <f>IF(OR('2-3.設備仕様入力（適合）'!$I$143="電気式パッケージ形空調機",'2-3.設備仕様入力（適合）'!$I$143="ルームエアコン"),ROUND('2-3.設備仕様入力（適合）'!$I$150*'2-3.設備仕様入力（適合）'!$I$144*計算!$C$3*VLOOKUP('2-3.設備仕様入力（適合）'!$I$146,計算!$N$16:$P$26,3,FALSE)/1000,1),"")</f>
        <v/>
      </c>
      <c r="R61" s="45" t="str">
        <f t="shared" si="10"/>
        <v/>
      </c>
      <c r="S61" s="45" t="str">
        <f>IF('2-3.設備仕様入力（適合）'!$I$143="ガスヒートポンプ式空調機",IF('2-3.設備仕様入力（適合）'!$I$145="都市ガス",IF('2-3.設備仕様入力（適合）'!$I$151="kW",ROUND('2-3.設備仕様入力（適合）'!$I$144*'2-3.設備仕様入力（適合）'!$I$149*3.6/1000*VLOOKUP('2-3.設備仕様入力（適合）'!$I$146,計算!$N$16:$P$26,2,FALSE),1),""),""),"")</f>
        <v/>
      </c>
      <c r="T61" s="45" t="str">
        <f>IF('2-3.設備仕様入力（適合）'!$I$143="ガスヒートポンプ式空調機",IF('2-3.設備仕様入力（適合）'!$I$145="都市ガス",IF('2-3.設備仕様入力（適合）'!$I$151="kW",ROUND('2-3.設備仕様入力（適合）'!$I$144*'2-3.設備仕様入力（適合）'!$I$150*3.6/1000*VLOOKUP('2-3.設備仕様入力（適合）'!$I$146,計算!$N$16:$P$26,3,FALSE),1),""),""),"")</f>
        <v/>
      </c>
      <c r="U61" s="45" t="str">
        <f t="shared" si="11"/>
        <v/>
      </c>
      <c r="V61" s="45" t="str">
        <f>IF('2-3.設備仕様入力（適合）'!$I$143="ガスヒートポンプ式空調機",IF('2-3.設備仕様入力（適合）'!$I$151="ｍ3N/h",ROUND('2-3.設備仕様入力（適合）'!$I$144*'2-3.設備仕様入力（適合）'!$I$149*計算!$C$10/1000*VLOOKUP('2-3.設備仕様入力（適合）'!$I$146,計算!$N$16:$P$26,2,FALSE),1),""),"")</f>
        <v/>
      </c>
      <c r="W61" s="45" t="str">
        <f>IF('2-3.設備仕様入力（適合）'!$I$143="ガスヒートポンプ式空調機",IF('2-3.設備仕様入力（適合）'!$I$151="ｍ3N/h",ROUND('2-3.設備仕様入力（適合）'!$I$144*'2-3.設備仕様入力（適合）'!$I$150*計算!$C$10/1000*VLOOKUP('2-3.設備仕様入力（適合）'!$I$146,計算!$N$16:$P$26,3,FALSE),1),""),"")</f>
        <v/>
      </c>
      <c r="X61" s="45" t="str">
        <f t="shared" si="12"/>
        <v/>
      </c>
      <c r="Y61" s="45" t="str">
        <f>IF('2-3.設備仕様入力（適合）'!$I$143="ガスヒートポンプ式空調機",IF('2-3.設備仕様入力（適合）'!$I$145="LPG",IF('2-3.設備仕様入力（適合）'!$I$151="kW",ROUND('2-3.設備仕様入力（適合）'!$I$144*'2-3.設備仕様入力（適合）'!$I$149*3.6/1000*VLOOKUP('2-3.設備仕様入力（適合）'!$I$146,計算!$N$16:$P$26,2,FALSE),1),""),""),"")</f>
        <v/>
      </c>
      <c r="Z61" s="45" t="str">
        <f>IF('2-3.設備仕様入力（適合）'!$I$143="ガスヒートポンプ式空調機",IF('2-3.設備仕様入力（適合）'!$I$145="LPG",IF('2-3.設備仕様入力（適合）'!$I$151="kW",ROUND('2-3.設備仕様入力（適合）'!$I$144*'2-3.設備仕様入力（適合）'!$I$150*3.6/1000*VLOOKUP('2-3.設備仕様入力（適合）'!$I$146,計算!$N$16:$P$26,3,FALSE),1),""),""),"")</f>
        <v/>
      </c>
      <c r="AA61" s="45" t="str">
        <f t="shared" si="13"/>
        <v/>
      </c>
      <c r="AB61" s="45" t="str">
        <f>IF('2-3.設備仕様入力（適合）'!$I$143="ガスヒートポンプ式空調機",IF('2-3.設備仕様入力（適合）'!$I$145="LPG",IF('2-3.設備仕様入力（適合）'!$I$151="kg/h",ROUND('2-3.設備仕様入力（適合）'!$I$144*'2-3.設備仕様入力（適合）'!$I$149*計算!$C$11/1000*VLOOKUP('2-3.設備仕様入力（適合）'!$I$146,計算!$N$16:$P$26,2,FALSE),1),""),""),"")</f>
        <v/>
      </c>
      <c r="AC61" s="45" t="str">
        <f>IF('2-3.設備仕様入力（適合）'!$I$143="ガスヒートポンプ式空調機",IF('2-3.設備仕様入力（適合）'!$I$145="LPG",IF('2-3.設備仕様入力（適合）'!$I$151="kg/h",ROUND('2-3.設備仕様入力（適合）'!$I$144*'2-3.設備仕様入力（適合）'!$I$150*計算!$C$11/1000*VLOOKUP('2-3.設備仕様入力（適合）'!$I$146,計算!$N$16:$P$26,3,FALSE),1),""),""),"")</f>
        <v/>
      </c>
      <c r="AD61" s="45" t="str">
        <f t="shared" si="14"/>
        <v/>
      </c>
    </row>
    <row r="62" spans="6:30" ht="19.5" x14ac:dyDescent="0.45">
      <c r="N62" s="85" t="s">
        <v>117</v>
      </c>
      <c r="O62" s="38" t="str">
        <f>IF(AND('2-3.設備仕様入力（適合）'!J$145="電気",'2-3.設備仕様入力（適合）'!J$151="kW"),1,IF(AND('2-3.設備仕様入力（適合）'!J$145="都市ガス",'2-3.設備仕様入力（適合）'!J$151="kW"),2,IF(AND('2-3.設備仕様入力（適合）'!J$145="都市ガス",'2-3.設備仕様入力（適合）'!J$151="ｍ3N/h"),3,IF(AND('2-3.設備仕様入力（適合）'!J$145="LPG",'2-3.設備仕様入力（適合）'!J$151="kW"),4,IF(AND('2-3.設備仕様入力（適合）'!J$145="LPG",'2-3.設備仕様入力（適合）'!J$151="kg/h"),5,"")))))</f>
        <v/>
      </c>
      <c r="P62" s="45" t="str">
        <f>IF(OR('2-3.設備仕様入力（適合）'!$J$143="電気式パッケージ形空調機",'2-3.設備仕様入力（適合）'!$J$143="ルームエアコン"),ROUND('2-3.設備仕様入力（適合）'!$J$149*'2-3.設備仕様入力（適合）'!$J$144*計算!$C$3*VLOOKUP('2-3.設備仕様入力（適合）'!$J$146,計算!$N$16:$P$26,2,FALSE)/1000,1),"")</f>
        <v/>
      </c>
      <c r="Q62" s="45" t="str">
        <f>IF(OR('2-3.設備仕様入力（適合）'!$J$143="電気式パッケージ形空調機",'2-3.設備仕様入力（適合）'!$J$143="ルームエアコン"),ROUND('2-3.設備仕様入力（適合）'!$J$150*'2-3.設備仕様入力（適合）'!$J$144*計算!$C$3*VLOOKUP('2-3.設備仕様入力（適合）'!$J$146,計算!$N$16:$P$26,3,FALSE)/1000,1),"")</f>
        <v/>
      </c>
      <c r="R62" s="45" t="str">
        <f t="shared" si="10"/>
        <v/>
      </c>
      <c r="S62" s="45" t="str">
        <f>IF('2-3.設備仕様入力（適合）'!$J$143="ガスヒートポンプ式空調機",IF('2-3.設備仕様入力（適合）'!$J$145="都市ガス",IF('2-3.設備仕様入力（適合）'!$J$151="kW",ROUND('2-3.設備仕様入力（適合）'!$J$144*'2-3.設備仕様入力（適合）'!$J$149*3.6/1000*VLOOKUP('2-3.設備仕様入力（適合）'!$J$146,計算!$N$16:$P$26,2,FALSE),1),""),""),"")</f>
        <v/>
      </c>
      <c r="T62" s="45" t="str">
        <f>IF('2-3.設備仕様入力（適合）'!$J$143="ガスヒートポンプ式空調機",IF('2-3.設備仕様入力（適合）'!$J$145="都市ガス",IF('2-3.設備仕様入力（適合）'!$J$151="kW",ROUND('2-3.設備仕様入力（適合）'!$J$144*'2-3.設備仕様入力（適合）'!$J$150*3.6/1000*VLOOKUP('2-3.設備仕様入力（適合）'!$J$146,計算!$N$16:$P$26,3,FALSE),1),""),""),"")</f>
        <v/>
      </c>
      <c r="U62" s="45" t="str">
        <f t="shared" si="11"/>
        <v/>
      </c>
      <c r="V62" s="45" t="str">
        <f>IF('2-3.設備仕様入力（適合）'!$J$143="ガスヒートポンプ式空調機",IF('2-3.設備仕様入力（適合）'!$J$151="ｍ3N/h",ROUND('2-3.設備仕様入力（適合）'!$J$144*'2-3.設備仕様入力（適合）'!$J$149*計算!$C$10/1000*VLOOKUP('2-3.設備仕様入力（適合）'!$J$146,計算!$N$16:$P$26,2,FALSE),1),""),"")</f>
        <v/>
      </c>
      <c r="W62" s="45" t="str">
        <f>IF('2-3.設備仕様入力（適合）'!$J$143="ガスヒートポンプ式空調機",IF('2-3.設備仕様入力（適合）'!$J$151="ｍ3N/h",ROUND('2-3.設備仕様入力（適合）'!$J$144*'2-3.設備仕様入力（適合）'!$J$150*計算!$C$10/1000*VLOOKUP('2-3.設備仕様入力（適合）'!$J$146,計算!$N$16:$P$26,3,FALSE),1),""),"")</f>
        <v/>
      </c>
      <c r="X62" s="45" t="str">
        <f t="shared" si="12"/>
        <v/>
      </c>
      <c r="Y62" s="45" t="str">
        <f>IF('2-3.設備仕様入力（適合）'!$J$143="ガスヒートポンプ式空調機",IF('2-3.設備仕様入力（適合）'!$J$145="LPG",IF('2-3.設備仕様入力（適合）'!$J$151="kW",ROUND('2-3.設備仕様入力（適合）'!$J$144*'2-3.設備仕様入力（適合）'!$J$149*3.6/1000*VLOOKUP('2-3.設備仕様入力（適合）'!$J$146,計算!$N$16:$P$26,2,FALSE),1),""),""),"")</f>
        <v/>
      </c>
      <c r="Z62" s="45" t="str">
        <f>IF('2-3.設備仕様入力（適合）'!$J$143="ガスヒートポンプ式空調機",IF('2-3.設備仕様入力（適合）'!$J$145="LPG",IF('2-3.設備仕様入力（適合）'!$J$151="kW",ROUND('2-3.設備仕様入力（適合）'!$J$144*'2-3.設備仕様入力（適合）'!$J$150*3.6/1000*VLOOKUP('2-3.設備仕様入力（適合）'!$J$146,計算!$N$16:$P$26,3,FALSE),1),""),""),"")</f>
        <v/>
      </c>
      <c r="AA62" s="45" t="str">
        <f t="shared" si="13"/>
        <v/>
      </c>
      <c r="AB62" s="45" t="str">
        <f>IF('2-3.設備仕様入力（適合）'!$J$143="ガスヒートポンプ式空調機",IF('2-3.設備仕様入力（適合）'!$J$145="LPG",IF('2-3.設備仕様入力（適合）'!$J$151="kg/h",ROUND('2-3.設備仕様入力（適合）'!$J$144*'2-3.設備仕様入力（適合）'!$J$149*計算!$C$11/1000*VLOOKUP('2-3.設備仕様入力（適合）'!$J$146,計算!$N$16:$P$26,2,FALSE),1),""),""),"")</f>
        <v/>
      </c>
      <c r="AC62" s="45" t="str">
        <f>IF('2-3.設備仕様入力（適合）'!$J$143="ガスヒートポンプ式空調機",IF('2-3.設備仕様入力（適合）'!$J$145="LPG",IF('2-3.設備仕様入力（適合）'!$J$151="kg/h",ROUND('2-3.設備仕様入力（適合）'!$J$144*'2-3.設備仕様入力（適合）'!$J$150*計算!$C$11/1000*VLOOKUP('2-3.設備仕様入力（適合）'!$J$146,計算!$N$16:$P$26,3,FALSE),1),""),""),"")</f>
        <v/>
      </c>
      <c r="AD62" s="45" t="str">
        <f t="shared" si="14"/>
        <v/>
      </c>
    </row>
    <row r="63" spans="6:30" ht="19.5" x14ac:dyDescent="0.45">
      <c r="N63" s="85" t="s">
        <v>118</v>
      </c>
      <c r="O63" s="38" t="str">
        <f>IF(AND('2-3.設備仕様入力（適合）'!K$145="電気",'2-3.設備仕様入力（適合）'!K$151="kW"),1,IF(AND('2-3.設備仕様入力（適合）'!K$145="都市ガス",'2-3.設備仕様入力（適合）'!K$151="kW"),2,IF(AND('2-3.設備仕様入力（適合）'!K$145="都市ガス",'2-3.設備仕様入力（適合）'!K$151="ｍ3N/h"),3,IF(AND('2-3.設備仕様入力（適合）'!K$145="LPG",'2-3.設備仕様入力（適合）'!K$151="kW"),4,IF(AND('2-3.設備仕様入力（適合）'!K$145="LPG",'2-3.設備仕様入力（適合）'!K$151="kg/h"),5,"")))))</f>
        <v/>
      </c>
      <c r="P63" s="45" t="str">
        <f>IF(OR('2-3.設備仕様入力（適合）'!$K$143="電気式パッケージ形空調機",'2-3.設備仕様入力（適合）'!$K$143="ルームエアコン"),ROUND('2-3.設備仕様入力（適合）'!$K$149*'2-3.設備仕様入力（適合）'!$K$144*計算!$C$3*VLOOKUP('2-3.設備仕様入力（適合）'!$K$146,計算!$N$16:$P$26,2,FALSE)/1000,1),"")</f>
        <v/>
      </c>
      <c r="Q63" s="45" t="str">
        <f>IF(OR('2-3.設備仕様入力（適合）'!$K$143="電気式パッケージ形空調機",'2-3.設備仕様入力（適合）'!$K$143="ルームエアコン"),ROUND('2-3.設備仕様入力（適合）'!$K$150*'2-3.設備仕様入力（適合）'!$K$144*計算!$C$3*VLOOKUP('2-3.設備仕様入力（適合）'!$K$146,計算!$N$16:$P$26,3,FALSE)/1000,1),"")</f>
        <v/>
      </c>
      <c r="R63" s="45" t="str">
        <f t="shared" si="10"/>
        <v/>
      </c>
      <c r="S63" s="45" t="str">
        <f>IF('2-3.設備仕様入力（適合）'!$K$143="ガスヒートポンプ式空調機",IF('2-3.設備仕様入力（適合）'!$K$145="都市ガス",IF('2-3.設備仕様入力（適合）'!$K$151="kW",ROUND('2-3.設備仕様入力（適合）'!$K$144*'2-3.設備仕様入力（適合）'!$K$149*3.6/1000*VLOOKUP('2-3.設備仕様入力（適合）'!$K$146,計算!$N$16:$P$26,2,FALSE),1),""),""),"")</f>
        <v/>
      </c>
      <c r="T63" s="45" t="str">
        <f>IF('2-3.設備仕様入力（適合）'!$K$143="ガスヒートポンプ式空調機",IF('2-3.設備仕様入力（適合）'!$K$145="都市ガス",IF('2-3.設備仕様入力（適合）'!$K$151="kW",ROUND('2-3.設備仕様入力（適合）'!$K$144*'2-3.設備仕様入力（適合）'!$K$150*3.6/1000*VLOOKUP('2-3.設備仕様入力（適合）'!$K$146,計算!$N$16:$P$26,3,FALSE),1),""),""),"")</f>
        <v/>
      </c>
      <c r="U63" s="45" t="str">
        <f t="shared" si="11"/>
        <v/>
      </c>
      <c r="V63" s="45" t="str">
        <f>IF('2-3.設備仕様入力（適合）'!$K$143="ガスヒートポンプ式空調機",IF('2-3.設備仕様入力（適合）'!$K$151="ｍ3N/h",ROUND('2-3.設備仕様入力（適合）'!$K$144*'2-3.設備仕様入力（適合）'!$K$149*計算!$C$10/1000*VLOOKUP('2-3.設備仕様入力（適合）'!$K$146,計算!$N$16:$P$26,2,FALSE),1),""),"")</f>
        <v/>
      </c>
      <c r="W63" s="45" t="str">
        <f>IF('2-3.設備仕様入力（適合）'!$K$143="ガスヒートポンプ式空調機",IF('2-3.設備仕様入力（適合）'!$K$151="ｍ3N/h",ROUND('2-3.設備仕様入力（適合）'!$K$144*'2-3.設備仕様入力（適合）'!$K$150*計算!$C$10/1000*VLOOKUP('2-3.設備仕様入力（適合）'!$K$146,計算!$N$16:$P$26,3,FALSE),1),""),"")</f>
        <v/>
      </c>
      <c r="X63" s="45" t="str">
        <f t="shared" si="12"/>
        <v/>
      </c>
      <c r="Y63" s="45" t="str">
        <f>IF('2-3.設備仕様入力（適合）'!$K$143="ガスヒートポンプ式空調機",IF('2-3.設備仕様入力（適合）'!$K$145="LPG",IF('2-3.設備仕様入力（適合）'!$K$151="kW",ROUND('2-3.設備仕様入力（適合）'!$K$144*'2-3.設備仕様入力（適合）'!$K$149*3.6/1000*VLOOKUP('2-3.設備仕様入力（適合）'!$K$146,計算!$N$16:$P$26,2,FALSE),1),""),""),"")</f>
        <v/>
      </c>
      <c r="Z63" s="45" t="str">
        <f>IF('2-3.設備仕様入力（適合）'!$K$143="ガスヒートポンプ式空調機",IF('2-3.設備仕様入力（適合）'!$K$145="LPG",IF('2-3.設備仕様入力（適合）'!$K$151="kW",ROUND('2-3.設備仕様入力（適合）'!$K$144*'2-3.設備仕様入力（適合）'!$K$150*3.6/1000*VLOOKUP('2-3.設備仕様入力（適合）'!$K$146,計算!$N$16:$P$26,3,FALSE),1),""),""),"")</f>
        <v/>
      </c>
      <c r="AA63" s="45" t="str">
        <f t="shared" si="13"/>
        <v/>
      </c>
      <c r="AB63" s="45" t="str">
        <f>IF('2-3.設備仕様入力（適合）'!$K$143="ガスヒートポンプ式空調機",IF('2-3.設備仕様入力（適合）'!$K$145="LPG",IF('2-3.設備仕様入力（適合）'!$K$151="kg/h",ROUND('2-3.設備仕様入力（適合）'!$K$144*'2-3.設備仕様入力（適合）'!$K$149*計算!$C$11/1000*VLOOKUP('2-3.設備仕様入力（適合）'!$K$146,計算!$N$16:$P$26,2,FALSE),1),""),""),"")</f>
        <v/>
      </c>
      <c r="AC63" s="45" t="str">
        <f>IF('2-3.設備仕様入力（適合）'!$K$143="ガスヒートポンプ式空調機",IF('2-3.設備仕様入力（適合）'!$K$145="LPG",IF('2-3.設備仕様入力（適合）'!$K$151="kg/h",ROUND('2-3.設備仕様入力（適合）'!$K$144*'2-3.設備仕様入力（適合）'!$K$150*計算!$C$11/1000*VLOOKUP('2-3.設備仕様入力（適合）'!$K$146,計算!$N$16:$P$26,3,FALSE),1),""),""),"")</f>
        <v/>
      </c>
      <c r="AD63" s="45" t="str">
        <f t="shared" si="14"/>
        <v/>
      </c>
    </row>
    <row r="64" spans="6:30" ht="19.5" x14ac:dyDescent="0.45">
      <c r="N64" s="85" t="s">
        <v>119</v>
      </c>
      <c r="O64" s="38" t="str">
        <f>IF(AND('2-3.設備仕様入力（適合）'!L$145="電気",'2-3.設備仕様入力（適合）'!L$151="kW"),1,IF(AND('2-3.設備仕様入力（適合）'!L$145="都市ガス",'2-3.設備仕様入力（適合）'!L$151="kW"),2,IF(AND('2-3.設備仕様入力（適合）'!L$145="都市ガス",'2-3.設備仕様入力（適合）'!L$151="ｍ3N/h"),3,IF(AND('2-3.設備仕様入力（適合）'!L$145="LPG",'2-3.設備仕様入力（適合）'!L$151="kW"),4,IF(AND('2-3.設備仕様入力（適合）'!L$145="LPG",'2-3.設備仕様入力（適合）'!L$151="kg/h"),5,"")))))</f>
        <v/>
      </c>
      <c r="P64" s="45" t="str">
        <f>IF(OR('2-3.設備仕様入力（適合）'!$L$143="電気式パッケージ形空調機",'2-3.設備仕様入力（適合）'!$L$143="ルームエアコン"),ROUND('2-3.設備仕様入力（適合）'!$L$149*'2-3.設備仕様入力（適合）'!$L$144*計算!$C$3*VLOOKUP('2-3.設備仕様入力（適合）'!$L$146,計算!$N$16:$P$26,2,FALSE)/1000,1),"")</f>
        <v/>
      </c>
      <c r="Q64" s="45" t="str">
        <f>IF(OR('2-3.設備仕様入力（適合）'!$L$143="電気式パッケージ形空調機",'2-3.設備仕様入力（適合）'!$L$143="ルームエアコン"),ROUND('2-3.設備仕様入力（適合）'!$L$150*'2-3.設備仕様入力（適合）'!$L$144*計算!$C$3*VLOOKUP('2-3.設備仕様入力（適合）'!$L$146,計算!$N$16:$P$26,3,FALSE)/1000,1),"")</f>
        <v/>
      </c>
      <c r="R64" s="45" t="str">
        <f t="shared" si="10"/>
        <v/>
      </c>
      <c r="S64" s="45" t="str">
        <f>IF('2-3.設備仕様入力（適合）'!$L$143="ガスヒートポンプ式空調機",IF('2-3.設備仕様入力（適合）'!$L$145="都市ガス",IF('2-3.設備仕様入力（適合）'!$L$151="kW",ROUND('2-3.設備仕様入力（適合）'!$L$144*'2-3.設備仕様入力（適合）'!$L$149*3.6/1000*VLOOKUP('2-3.設備仕様入力（適合）'!$L$146,計算!$N$16:$P$26,2,FALSE),1),""),""),"")</f>
        <v/>
      </c>
      <c r="T64" s="45" t="str">
        <f>IF('2-3.設備仕様入力（適合）'!$L$143="ガスヒートポンプ式空調機",IF('2-3.設備仕様入力（適合）'!$L$145="都市ガス",IF('2-3.設備仕様入力（適合）'!$L$151="kW",ROUND('2-3.設備仕様入力（適合）'!$L$144*'2-3.設備仕様入力（適合）'!$L$150*3.6/1000*VLOOKUP('2-3.設備仕様入力（適合）'!$L$146,計算!$N$16:$P$26,3,FALSE),1),""),""),"")</f>
        <v/>
      </c>
      <c r="U64" s="45" t="str">
        <f t="shared" si="11"/>
        <v/>
      </c>
      <c r="V64" s="45" t="str">
        <f>IF('2-3.設備仕様入力（適合）'!$L$143="ガスヒートポンプ式空調機",IF('2-3.設備仕様入力（適合）'!$L$151="ｍ3N/h",ROUND('2-3.設備仕様入力（適合）'!$L$144*'2-3.設備仕様入力（適合）'!$L$149*計算!$C$10/1000*VLOOKUP('2-3.設備仕様入力（適合）'!$L$146,計算!$N$16:$P$26,2,FALSE),1),""),"")</f>
        <v/>
      </c>
      <c r="W64" s="45" t="str">
        <f>IF('2-3.設備仕様入力（適合）'!$L$143="ガスヒートポンプ式空調機",IF('2-3.設備仕様入力（適合）'!$L$151="ｍ3N/h",ROUND('2-3.設備仕様入力（適合）'!$L$144*'2-3.設備仕様入力（適合）'!$L$150*計算!$C$10/1000*VLOOKUP('2-3.設備仕様入力（適合）'!$L$146,計算!$N$16:$P$26,3,FALSE),1),""),"")</f>
        <v/>
      </c>
      <c r="X64" s="45" t="str">
        <f t="shared" si="12"/>
        <v/>
      </c>
      <c r="Y64" s="45" t="str">
        <f>IF('2-3.設備仕様入力（適合）'!$L$143="ガスヒートポンプ式空調機",IF('2-3.設備仕様入力（適合）'!$L$145="LPG",IF('2-3.設備仕様入力（適合）'!$L$151="kW",ROUND('2-3.設備仕様入力（適合）'!$L$144*'2-3.設備仕様入力（適合）'!$L$149*3.6/1000*VLOOKUP('2-3.設備仕様入力（適合）'!$L$146,計算!$N$16:$P$26,2,FALSE),1),""),""),"")</f>
        <v/>
      </c>
      <c r="Z64" s="45" t="str">
        <f>IF('2-3.設備仕様入力（適合）'!$L$143="ガスヒートポンプ式空調機",IF('2-3.設備仕様入力（適合）'!$L$145="LPG",IF('2-3.設備仕様入力（適合）'!$L$151="kW",ROUND('2-3.設備仕様入力（適合）'!$L$144*'2-3.設備仕様入力（適合）'!$L$150*3.6/1000*VLOOKUP('2-3.設備仕様入力（適合）'!$L$146,計算!$N$16:$P$26,3,FALSE),1),""),""),"")</f>
        <v/>
      </c>
      <c r="AA64" s="45" t="str">
        <f t="shared" si="13"/>
        <v/>
      </c>
      <c r="AB64" s="45" t="str">
        <f>IF('2-3.設備仕様入力（適合）'!$L$143="ガスヒートポンプ式空調機",IF('2-3.設備仕様入力（適合）'!$L$145="LPG",IF('2-3.設備仕様入力（適合）'!$L$151="kg/h",ROUND('2-3.設備仕様入力（適合）'!$L$144*'2-3.設備仕様入力（適合）'!$L$149*計算!$C$11/1000*VLOOKUP('2-3.設備仕様入力（適合）'!$L$146,計算!$N$16:$P$26,2,FALSE),1),""),""),"")</f>
        <v/>
      </c>
      <c r="AC64" s="45" t="str">
        <f>IF('2-3.設備仕様入力（適合）'!$L$143="ガスヒートポンプ式空調機",IF('2-3.設備仕様入力（適合）'!$L$145="LPG",IF('2-3.設備仕様入力（適合）'!$L$151="kg/h",ROUND('2-3.設備仕様入力（適合）'!$L$144*'2-3.設備仕様入力（適合）'!$L$150*計算!$C$11/1000*VLOOKUP('2-3.設備仕様入力（適合）'!$L$146,計算!$N$16:$P$26,3,FALSE),1),""),""),"")</f>
        <v/>
      </c>
      <c r="AD64" s="45" t="str">
        <f t="shared" si="14"/>
        <v/>
      </c>
    </row>
    <row r="65" spans="14:30" ht="19.5" x14ac:dyDescent="0.45">
      <c r="N65" s="85" t="s">
        <v>120</v>
      </c>
      <c r="O65" s="38" t="str">
        <f>IF(AND('2-3.設備仕様入力（適合）'!M$145="電気",'2-3.設備仕様入力（適合）'!M$151="kW"),1,IF(AND('2-3.設備仕様入力（適合）'!M$145="都市ガス",'2-3.設備仕様入力（適合）'!M$151="kW"),2,IF(AND('2-3.設備仕様入力（適合）'!M$145="都市ガス",'2-3.設備仕様入力（適合）'!M$151="ｍ3N/h"),3,IF(AND('2-3.設備仕様入力（適合）'!M$145="LPG",'2-3.設備仕様入力（適合）'!M$151="kW"),4,IF(AND('2-3.設備仕様入力（適合）'!M$145="LPG",'2-3.設備仕様入力（適合）'!M$151="kg/h"),5,"")))))</f>
        <v/>
      </c>
      <c r="P65" s="45" t="str">
        <f>IF(OR('2-3.設備仕様入力（適合）'!$M$143="電気式パッケージ形空調機",'2-3.設備仕様入力（適合）'!$M$143="ルームエアコン"),ROUND('2-3.設備仕様入力（適合）'!$M$149*'2-3.設備仕様入力（適合）'!$M$144*計算!$C$3*VLOOKUP('2-3.設備仕様入力（適合）'!$M$146,計算!$N$16:$P$26,2,FALSE)/1000,1),"")</f>
        <v/>
      </c>
      <c r="Q65" s="45" t="str">
        <f>IF(OR('2-3.設備仕様入力（適合）'!$M$143="電気式パッケージ形空調機",'2-3.設備仕様入力（適合）'!$M$143="ルームエアコン"),ROUND('2-3.設備仕様入力（適合）'!$M$150*'2-3.設備仕様入力（適合）'!$M$144*計算!$C$3*VLOOKUP('2-3.設備仕様入力（適合）'!$M$146,計算!$N$16:$P$26,3,FALSE)/1000,1),"")</f>
        <v/>
      </c>
      <c r="R65" s="45" t="str">
        <f t="shared" si="10"/>
        <v/>
      </c>
      <c r="S65" s="45" t="str">
        <f>IF('2-3.設備仕様入力（適合）'!$M$143="ガスヒートポンプ式空調機",IF('2-3.設備仕様入力（適合）'!$M$145="都市ガス",IF('2-3.設備仕様入力（適合）'!$M$151="kW",ROUND('2-3.設備仕様入力（適合）'!$M$144*'2-3.設備仕様入力（適合）'!$M$149*3.6/1000*VLOOKUP('2-3.設備仕様入力（適合）'!$M$146,計算!$N$16:$P$26,2,FALSE),1),""),""),"")</f>
        <v/>
      </c>
      <c r="T65" s="45" t="str">
        <f>IF('2-3.設備仕様入力（適合）'!$M$143="ガスヒートポンプ式空調機",IF('2-3.設備仕様入力（適合）'!$M$145="都市ガス",IF('2-3.設備仕様入力（適合）'!$M$151="kW",ROUND('2-3.設備仕様入力（適合）'!$M$144*'2-3.設備仕様入力（適合）'!$M$150*3.6/1000*VLOOKUP('2-3.設備仕様入力（適合）'!$M$146,計算!$N$16:$P$26,3,FALSE),1),""),""),"")</f>
        <v/>
      </c>
      <c r="U65" s="45" t="str">
        <f t="shared" si="11"/>
        <v/>
      </c>
      <c r="V65" s="45" t="str">
        <f>IF('2-3.設備仕様入力（適合）'!$M$143="ガスヒートポンプ式空調機",IF('2-3.設備仕様入力（適合）'!$M$151="ｍ3N/h",ROUND('2-3.設備仕様入力（適合）'!$M$144*'2-3.設備仕様入力（適合）'!$M$149*計算!$C$10/1000*VLOOKUP('2-3.設備仕様入力（適合）'!$M$146,計算!$N$16:$P$26,2,FALSE),1),""),"")</f>
        <v/>
      </c>
      <c r="W65" s="45" t="str">
        <f>IF('2-3.設備仕様入力（適合）'!$M$143="ガスヒートポンプ式空調機",IF('2-3.設備仕様入力（適合）'!$M$151="ｍ3N/h",ROUND('2-3.設備仕様入力（適合）'!$M$144*'2-3.設備仕様入力（適合）'!$M$150*計算!$C$10/1000*VLOOKUP('2-3.設備仕様入力（適合）'!$M$146,計算!$N$16:$P$26,3,FALSE),1),""),"")</f>
        <v/>
      </c>
      <c r="X65" s="45" t="str">
        <f t="shared" si="12"/>
        <v/>
      </c>
      <c r="Y65" s="45" t="str">
        <f>IF('2-3.設備仕様入力（適合）'!$M$143="ガスヒートポンプ式空調機",IF('2-3.設備仕様入力（適合）'!$M$145="LPG",IF('2-3.設備仕様入力（適合）'!$M$151="kW",ROUND('2-3.設備仕様入力（適合）'!$M$144*'2-3.設備仕様入力（適合）'!$M$149*3.6/1000*VLOOKUP('2-3.設備仕様入力（適合）'!$M$146,計算!$N$16:$P$26,2,FALSE),1),""),""),"")</f>
        <v/>
      </c>
      <c r="Z65" s="45" t="str">
        <f>IF('2-3.設備仕様入力（適合）'!$M$143="ガスヒートポンプ式空調機",IF('2-3.設備仕様入力（適合）'!$M$145="LPG",IF('2-3.設備仕様入力（適合）'!$M$151="kW",ROUND('2-3.設備仕様入力（適合）'!$M$144*'2-3.設備仕様入力（適合）'!$M$150*3.6/1000*VLOOKUP('2-3.設備仕様入力（適合）'!$M$146,計算!$N$16:$P$26,3,FALSE),1),""),""),"")</f>
        <v/>
      </c>
      <c r="AA65" s="45" t="str">
        <f t="shared" si="13"/>
        <v/>
      </c>
      <c r="AB65" s="45" t="str">
        <f>IF('2-3.設備仕様入力（適合）'!$M$143="ガスヒートポンプ式空調機",IF('2-3.設備仕様入力（適合）'!$M$145="LPG",IF('2-3.設備仕様入力（適合）'!$M$151="kg/h",ROUND('2-3.設備仕様入力（適合）'!$M$144*'2-3.設備仕様入力（適合）'!$M$149*計算!$C$11/1000*VLOOKUP('2-3.設備仕様入力（適合）'!$M$146,計算!$N$16:$P$26,2,FALSE),1),""),""),"")</f>
        <v/>
      </c>
      <c r="AC65" s="45" t="str">
        <f>IF('2-3.設備仕様入力（適合）'!$M$143="ガスヒートポンプ式空調機",IF('2-3.設備仕様入力（適合）'!$M$145="LPG",IF('2-3.設備仕様入力（適合）'!$M$151="kg/h",ROUND('2-3.設備仕様入力（適合）'!$M$144*'2-3.設備仕様入力（適合）'!$M$150*計算!$C$11/1000*VLOOKUP('2-3.設備仕様入力（適合）'!$M$146,計算!$N$16:$P$26,3,FALSE),1),""),""),"")</f>
        <v/>
      </c>
      <c r="AD65" s="45" t="str">
        <f t="shared" si="14"/>
        <v/>
      </c>
    </row>
    <row r="66" spans="14:30" ht="19.5" x14ac:dyDescent="0.45">
      <c r="N66" s="85" t="s">
        <v>377</v>
      </c>
      <c r="O66" s="38" t="str">
        <f>IF(AND('2-3.設備仕様入力（適合）'!N$145="電気",'2-3.設備仕様入力（適合）'!N$151="kW"),1,IF(AND('2-3.設備仕様入力（適合）'!N$145="都市ガス",'2-3.設備仕様入力（適合）'!N$151="kW"),2,IF(AND('2-3.設備仕様入力（適合）'!N$145="都市ガス",'2-3.設備仕様入力（適合）'!N$151="ｍ3N/h"),3,IF(AND('2-3.設備仕様入力（適合）'!N$145="LPG",'2-3.設備仕様入力（適合）'!N$151="kW"),4,IF(AND('2-3.設備仕様入力（適合）'!N$145="LPG",'2-3.設備仕様入力（適合）'!N$151="kg/h"),5,"")))))</f>
        <v/>
      </c>
      <c r="P66" s="45" t="str">
        <f>IF(OR('2-3.設備仕様入力（適合）'!$N$143="電気式パッケージ形空調機",'2-3.設備仕様入力（適合）'!$N$143="ルームエアコン"),ROUND('2-3.設備仕様入力（適合）'!$N$149*'2-3.設備仕様入力（適合）'!$N$144*計算!$C$3*VLOOKUP('2-3.設備仕様入力（適合）'!$N$146,計算!$N$16:$P$26,2,FALSE)/1000,1),"")</f>
        <v/>
      </c>
      <c r="Q66" s="45" t="str">
        <f>IF(OR('2-3.設備仕様入力（適合）'!$N$143="電気式パッケージ形空調機",'2-3.設備仕様入力（適合）'!$N$143="ルームエアコン"),ROUND('2-3.設備仕様入力（適合）'!$N$150*'2-3.設備仕様入力（適合）'!$N$144*計算!$C$3*VLOOKUP('2-3.設備仕様入力（適合）'!$N$146,計算!$N$16:$P$26,3,FALSE)/1000,1),"")</f>
        <v/>
      </c>
      <c r="R66" s="45" t="str">
        <f t="shared" ref="R66:R75" si="15">IF(AND(P66="",Q66=""),"",P66+Q66)</f>
        <v/>
      </c>
      <c r="S66" s="45" t="str">
        <f>IF('2-3.設備仕様入力（適合）'!$N$143="ガスヒートポンプ式空調機",IF('2-3.設備仕様入力（適合）'!$N$145="都市ガス",IF('2-3.設備仕様入力（適合）'!$N$151="kW",ROUND('2-3.設備仕様入力（適合）'!$N$144*'2-3.設備仕様入力（適合）'!$N$149*3.6/1000*VLOOKUP('2-3.設備仕様入力（適合）'!$N$146,計算!$N$16:$P$26,2,FALSE),1),""),""),"")</f>
        <v/>
      </c>
      <c r="T66" s="45" t="str">
        <f>IF('2-3.設備仕様入力（適合）'!$N$143="ガスヒートポンプ式空調機",IF('2-3.設備仕様入力（適合）'!$N$145="都市ガス",IF('2-3.設備仕様入力（適合）'!$N$151="kW",ROUND('2-3.設備仕様入力（適合）'!$N$144*'2-3.設備仕様入力（適合）'!$N$150*3.6/1000*VLOOKUP('2-3.設備仕様入力（適合）'!$N$146,計算!$N$16:$P$26,3,FALSE),1),""),""),"")</f>
        <v/>
      </c>
      <c r="U66" s="45" t="str">
        <f t="shared" ref="U66:U75" si="16">IF(AND(S66="",T66=""),"",S66+T66)</f>
        <v/>
      </c>
      <c r="V66" s="45" t="str">
        <f>IF('2-3.設備仕様入力（適合）'!$N$143="ガスヒートポンプ式空調機",IF('2-3.設備仕様入力（適合）'!$N$151="ｍ3N/h",ROUND('2-3.設備仕様入力（適合）'!$N$144*'2-3.設備仕様入力（適合）'!$N$149*計算!$C$10/1000*VLOOKUP('2-3.設備仕様入力（適合）'!$N$146,計算!$N$16:$P$26,2,FALSE),1),""),"")</f>
        <v/>
      </c>
      <c r="W66" s="45" t="str">
        <f>IF('2-3.設備仕様入力（適合）'!$N$143="ガスヒートポンプ式空調機",IF('2-3.設備仕様入力（適合）'!$N$151="ｍ3N/h",ROUND('2-3.設備仕様入力（適合）'!$N$144*'2-3.設備仕様入力（適合）'!$N$150*計算!$C$10/1000*VLOOKUP('2-3.設備仕様入力（適合）'!$N$146,計算!$N$16:$P$26,3,FALSE),1),""),"")</f>
        <v/>
      </c>
      <c r="X66" s="45" t="str">
        <f t="shared" ref="X66:X75" si="17">IF(AND(V66="",W66=""),"",V66+W66)</f>
        <v/>
      </c>
      <c r="Y66" s="45" t="str">
        <f>IF('2-3.設備仕様入力（適合）'!$N$143="ガスヒートポンプ式空調機",IF('2-3.設備仕様入力（適合）'!$N$145="LPG",IF('2-3.設備仕様入力（適合）'!$N$151="kW",ROUND('2-3.設備仕様入力（適合）'!$N$144*'2-3.設備仕様入力（適合）'!$N$149*3.6/1000*VLOOKUP('2-3.設備仕様入力（適合）'!$N$146,計算!$N$16:$P$26,2,FALSE),1),""),""),"")</f>
        <v/>
      </c>
      <c r="Z66" s="45" t="str">
        <f>IF('2-3.設備仕様入力（適合）'!$N$143="ガスヒートポンプ式空調機",IF('2-3.設備仕様入力（適合）'!$N$145="LPG",IF('2-3.設備仕様入力（適合）'!$N$151="kW",ROUND('2-3.設備仕様入力（適合）'!$N$144*'2-3.設備仕様入力（適合）'!$N$150*3.6/1000*VLOOKUP('2-3.設備仕様入力（適合）'!$N$146,計算!$N$16:$P$26,3,FALSE),1),""),""),"")</f>
        <v/>
      </c>
      <c r="AA66" s="45" t="str">
        <f t="shared" ref="AA66:AA75" si="18">IF(AND(Y66="",Z66=""),"",Y66+Z66)</f>
        <v/>
      </c>
      <c r="AB66" s="45" t="str">
        <f>IF('2-3.設備仕様入力（適合）'!$N$143="ガスヒートポンプ式空調機",IF('2-3.設備仕様入力（適合）'!$N$145="LPG",IF('2-3.設備仕様入力（適合）'!$N$151="kg/h",ROUND('2-3.設備仕様入力（適合）'!$N$144*'2-3.設備仕様入力（適合）'!$N$149*計算!$C$11/1000*VLOOKUP('2-3.設備仕様入力（適合）'!$N$146,計算!$N$16:$P$26,2,FALSE),1),""),""),"")</f>
        <v/>
      </c>
      <c r="AC66" s="45" t="str">
        <f>IF('2-3.設備仕様入力（適合）'!$N$143="ガスヒートポンプ式空調機",IF('2-3.設備仕様入力（適合）'!$N$145="LPG",IF('2-3.設備仕様入力（適合）'!$N$151="kg/h",ROUND('2-3.設備仕様入力（適合）'!$N$144*'2-3.設備仕様入力（適合）'!$N$150*計算!$C$11/1000*VLOOKUP('2-3.設備仕様入力（適合）'!$N$146,計算!$N$16:$P$26,3,FALSE),1),""),""),"")</f>
        <v/>
      </c>
      <c r="AD66" s="45" t="str">
        <f t="shared" ref="AD66:AD75" si="19">IF(AND(AB66="",AC66=""),"",AB66+AC66)</f>
        <v/>
      </c>
    </row>
    <row r="67" spans="14:30" ht="19.5" x14ac:dyDescent="0.45">
      <c r="N67" s="85" t="s">
        <v>378</v>
      </c>
      <c r="O67" s="38" t="str">
        <f>IF(AND('2-3.設備仕様入力（適合）'!O$145="電気",'2-3.設備仕様入力（適合）'!O$151="kW"),1,IF(AND('2-3.設備仕様入力（適合）'!O$145="都市ガス",'2-3.設備仕様入力（適合）'!O$151="kW"),2,IF(AND('2-3.設備仕様入力（適合）'!O$145="都市ガス",'2-3.設備仕様入力（適合）'!O$151="ｍ3N/h"),3,IF(AND('2-3.設備仕様入力（適合）'!O$145="LPG",'2-3.設備仕様入力（適合）'!O$151="kW"),4,IF(AND('2-3.設備仕様入力（適合）'!O$145="LPG",'2-3.設備仕様入力（適合）'!O$151="kg/h"),5,"")))))</f>
        <v/>
      </c>
      <c r="P67" s="45" t="str">
        <f>IF(OR('2-3.設備仕様入力（適合）'!$O$143="電気式パッケージ形空調機",'2-3.設備仕様入力（適合）'!$O$143="ルームエアコン"),ROUND('2-3.設備仕様入力（適合）'!$O$149*'2-3.設備仕様入力（適合）'!$O$144*計算!$C$3*VLOOKUP('2-3.設備仕様入力（適合）'!$O$146,計算!$N$16:$P$26,2,FALSE)/1000,1),"")</f>
        <v/>
      </c>
      <c r="Q67" s="45" t="str">
        <f>IF(OR('2-3.設備仕様入力（適合）'!$O$143="電気式パッケージ形空調機",'2-3.設備仕様入力（適合）'!$O$143="ルームエアコン"),ROUND('2-3.設備仕様入力（適合）'!$O$150*'2-3.設備仕様入力（適合）'!$O$144*計算!$C$3*VLOOKUP('2-3.設備仕様入力（適合）'!$O$146,計算!$N$16:$P$26,3,FALSE)/1000,1),"")</f>
        <v/>
      </c>
      <c r="R67" s="45" t="str">
        <f t="shared" si="15"/>
        <v/>
      </c>
      <c r="S67" s="45" t="str">
        <f>IF('2-3.設備仕様入力（適合）'!$O$143="ガスヒートポンプ式空調機",IF('2-3.設備仕様入力（適合）'!$O$145="都市ガス",IF('2-3.設備仕様入力（適合）'!$O$151="kW",ROUND('2-3.設備仕様入力（適合）'!$O$144*'2-3.設備仕様入力（適合）'!$O$149*3.6/1000*VLOOKUP('2-3.設備仕様入力（適合）'!$O$146,計算!$N$16:$P$26,2,FALSE),1),""),""),"")</f>
        <v/>
      </c>
      <c r="T67" s="45" t="str">
        <f>IF('2-3.設備仕様入力（適合）'!$O$143="ガスヒートポンプ式空調機",IF('2-3.設備仕様入力（適合）'!$O$145="都市ガス",IF('2-3.設備仕様入力（適合）'!$O$151="kW",ROUND('2-3.設備仕様入力（適合）'!$O$144*'2-3.設備仕様入力（適合）'!$O$150*3.6/1000*VLOOKUP('2-3.設備仕様入力（適合）'!$O$146,計算!$N$16:$P$26,3,FALSE),1),""),""),"")</f>
        <v/>
      </c>
      <c r="U67" s="45" t="str">
        <f t="shared" si="16"/>
        <v/>
      </c>
      <c r="V67" s="45" t="str">
        <f>IF('2-3.設備仕様入力（適合）'!$O$143="ガスヒートポンプ式空調機",IF('2-3.設備仕様入力（適合）'!$O$151="ｍ3N/h",ROUND('2-3.設備仕様入力（適合）'!$O$144*'2-3.設備仕様入力（適合）'!$O$149*計算!$C$10/1000*VLOOKUP('2-3.設備仕様入力（適合）'!$O$146,計算!$N$16:$P$26,2,FALSE),1),""),"")</f>
        <v/>
      </c>
      <c r="W67" s="45" t="str">
        <f>IF('2-3.設備仕様入力（適合）'!$O$143="ガスヒートポンプ式空調機",IF('2-3.設備仕様入力（適合）'!$O$151="ｍ3N/h",ROUND('2-3.設備仕様入力（適合）'!$O$144*'2-3.設備仕様入力（適合）'!$O$150*計算!$C$10/1000*VLOOKUP('2-3.設備仕様入力（適合）'!$O$146,計算!$N$16:$P$26,3,FALSE),1),""),"")</f>
        <v/>
      </c>
      <c r="X67" s="45" t="str">
        <f t="shared" si="17"/>
        <v/>
      </c>
      <c r="Y67" s="45" t="str">
        <f>IF('2-3.設備仕様入力（適合）'!$O$143="ガスヒートポンプ式空調機",IF('2-3.設備仕様入力（適合）'!$O$145="LPG",IF('2-3.設備仕様入力（適合）'!$O$151="kW",ROUND('2-3.設備仕様入力（適合）'!$O$144*'2-3.設備仕様入力（適合）'!$O$149*3.6/1000*VLOOKUP('2-3.設備仕様入力（適合）'!$O$146,計算!$N$16:$P$26,2,FALSE),1),""),""),"")</f>
        <v/>
      </c>
      <c r="Z67" s="45" t="str">
        <f>IF('2-3.設備仕様入力（適合）'!$O$143="ガスヒートポンプ式空調機",IF('2-3.設備仕様入力（適合）'!$O$145="LPG",IF('2-3.設備仕様入力（適合）'!$O$151="kW",ROUND('2-3.設備仕様入力（適合）'!$O$144*'2-3.設備仕様入力（適合）'!$O$150*3.6/1000*VLOOKUP('2-3.設備仕様入力（適合）'!$O$146,計算!$N$16:$P$26,3,FALSE),1),""),""),"")</f>
        <v/>
      </c>
      <c r="AA67" s="45" t="str">
        <f t="shared" si="18"/>
        <v/>
      </c>
      <c r="AB67" s="45" t="str">
        <f>IF('2-3.設備仕様入力（適合）'!$O$143="ガスヒートポンプ式空調機",IF('2-3.設備仕様入力（適合）'!$O$145="LPG",IF('2-3.設備仕様入力（適合）'!$O$151="kg/h",ROUND('2-3.設備仕様入力（適合）'!$O$144*'2-3.設備仕様入力（適合）'!$O$149*計算!$C$11/1000*VLOOKUP('2-3.設備仕様入力（適合）'!$O$146,計算!$N$16:$P$26,2,FALSE),1),""),""),"")</f>
        <v/>
      </c>
      <c r="AC67" s="45" t="str">
        <f>IF('2-3.設備仕様入力（適合）'!$O$143="ガスヒートポンプ式空調機",IF('2-3.設備仕様入力（適合）'!$O$145="LPG",IF('2-3.設備仕様入力（適合）'!$O$151="kg/h",ROUND('2-3.設備仕様入力（適合）'!$O$144*'2-3.設備仕様入力（適合）'!$O$150*計算!$C$11/1000*VLOOKUP('2-3.設備仕様入力（適合）'!$O$146,計算!$N$16:$P$26,3,FALSE),1),""),""),"")</f>
        <v/>
      </c>
      <c r="AD67" s="45" t="str">
        <f t="shared" si="19"/>
        <v/>
      </c>
    </row>
    <row r="68" spans="14:30" ht="19.5" x14ac:dyDescent="0.45">
      <c r="N68" s="85" t="s">
        <v>379</v>
      </c>
      <c r="O68" s="38" t="str">
        <f>IF(AND('2-3.設備仕様入力（適合）'!P$145="電気",'2-3.設備仕様入力（適合）'!P$151="kW"),1,IF(AND('2-3.設備仕様入力（適合）'!P$145="都市ガス",'2-3.設備仕様入力（適合）'!P$151="kW"),2,IF(AND('2-3.設備仕様入力（適合）'!P$145="都市ガス",'2-3.設備仕様入力（適合）'!P$151="ｍ3N/h"),3,IF(AND('2-3.設備仕様入力（適合）'!P$145="LPG",'2-3.設備仕様入力（適合）'!P$151="kW"),4,IF(AND('2-3.設備仕様入力（適合）'!P$145="LPG",'2-3.設備仕様入力（適合）'!P$151="kg/h"),5,"")))))</f>
        <v/>
      </c>
      <c r="P68" s="45" t="str">
        <f>IF(OR('2-3.設備仕様入力（適合）'!$P$143="電気式パッケージ形空調機",'2-3.設備仕様入力（適合）'!$P$143="ルームエアコン"),ROUND('2-3.設備仕様入力（適合）'!$P$149*'2-3.設備仕様入力（適合）'!$P$144*計算!$C$3*VLOOKUP('2-3.設備仕様入力（適合）'!$P$146,計算!$N$16:$P$26,2,FALSE)/1000,1),"")</f>
        <v/>
      </c>
      <c r="Q68" s="45" t="str">
        <f>IF(OR('2-3.設備仕様入力（適合）'!$P$143="電気式パッケージ形空調機",'2-3.設備仕様入力（適合）'!$P$143="ルームエアコン"),ROUND('2-3.設備仕様入力（適合）'!$P$150*'2-3.設備仕様入力（適合）'!$P$144*計算!$C$3*VLOOKUP('2-3.設備仕様入力（適合）'!$P$146,計算!$N$16:$P$26,3,FALSE)/1000,1),"")</f>
        <v/>
      </c>
      <c r="R68" s="45" t="str">
        <f t="shared" si="15"/>
        <v/>
      </c>
      <c r="S68" s="45" t="str">
        <f>IF('2-3.設備仕様入力（適合）'!$P$143="ガスヒートポンプ式空調機",IF('2-3.設備仕様入力（適合）'!$P$145="都市ガス",IF('2-3.設備仕様入力（適合）'!$P$151="kW",ROUND('2-3.設備仕様入力（適合）'!$P$144*'2-3.設備仕様入力（適合）'!$P$149*3.6/1000*VLOOKUP('2-3.設備仕様入力（適合）'!$P$146,計算!$N$16:$P$26,2,FALSE),1),""),""),"")</f>
        <v/>
      </c>
      <c r="T68" s="45" t="str">
        <f>IF('2-3.設備仕様入力（適合）'!$P$143="ガスヒートポンプ式空調機",IF('2-3.設備仕様入力（適合）'!$P$145="都市ガス",IF('2-3.設備仕様入力（適合）'!$P$151="kW",ROUND('2-3.設備仕様入力（適合）'!$P$144*'2-3.設備仕様入力（適合）'!$P$150*3.6/1000*VLOOKUP('2-3.設備仕様入力（適合）'!$P$146,計算!$N$16:$P$26,3,FALSE),1),""),""),"")</f>
        <v/>
      </c>
      <c r="U68" s="45" t="str">
        <f t="shared" si="16"/>
        <v/>
      </c>
      <c r="V68" s="45" t="str">
        <f>IF('2-3.設備仕様入力（適合）'!$P$143="ガスヒートポンプ式空調機",IF('2-3.設備仕様入力（適合）'!$P$151="ｍ3N/h",ROUND('2-3.設備仕様入力（適合）'!$P$144*'2-3.設備仕様入力（適合）'!$P$149*計算!$C$10/1000*VLOOKUP('2-3.設備仕様入力（適合）'!$P$146,計算!$N$16:$P$26,2,FALSE),1),""),"")</f>
        <v/>
      </c>
      <c r="W68" s="45" t="str">
        <f>IF('2-3.設備仕様入力（適合）'!$P$143="ガスヒートポンプ式空調機",IF('2-3.設備仕様入力（適合）'!$P$151="ｍ3N/h",ROUND('2-3.設備仕様入力（適合）'!$P$144*'2-3.設備仕様入力（適合）'!$P$150*計算!$C$10/1000*VLOOKUP('2-3.設備仕様入力（適合）'!$P$146,計算!$N$16:$P$26,3,FALSE),1),""),"")</f>
        <v/>
      </c>
      <c r="X68" s="45" t="str">
        <f t="shared" si="17"/>
        <v/>
      </c>
      <c r="Y68" s="45" t="str">
        <f>IF('2-3.設備仕様入力（適合）'!$P$143="ガスヒートポンプ式空調機",IF('2-3.設備仕様入力（適合）'!$P$145="LPG",IF('2-3.設備仕様入力（適合）'!$P$151="kW",ROUND('2-3.設備仕様入力（適合）'!$P$144*'2-3.設備仕様入力（適合）'!$P$149*3.6/1000*VLOOKUP('2-3.設備仕様入力（適合）'!$P$146,計算!$N$16:$P$26,2,FALSE),1),""),""),"")</f>
        <v/>
      </c>
      <c r="Z68" s="45" t="str">
        <f>IF('2-3.設備仕様入力（適合）'!$P$143="ガスヒートポンプ式空調機",IF('2-3.設備仕様入力（適合）'!$P$145="LPG",IF('2-3.設備仕様入力（適合）'!$P$151="kW",ROUND('2-3.設備仕様入力（適合）'!$P$144*'2-3.設備仕様入力（適合）'!$P$150*3.6/1000*VLOOKUP('2-3.設備仕様入力（適合）'!$P$146,計算!$N$16:$P$26,3,FALSE),1),""),""),"")</f>
        <v/>
      </c>
      <c r="AA68" s="45" t="str">
        <f t="shared" si="18"/>
        <v/>
      </c>
      <c r="AB68" s="45" t="str">
        <f>IF('2-3.設備仕様入力（適合）'!$P$143="ガスヒートポンプ式空調機",IF('2-3.設備仕様入力（適合）'!$P$145="LPG",IF('2-3.設備仕様入力（適合）'!$P$151="kg/h",ROUND('2-3.設備仕様入力（適合）'!$P$144*'2-3.設備仕様入力（適合）'!$P$149*計算!$C$11/1000*VLOOKUP('2-3.設備仕様入力（適合）'!$P$146,計算!$N$16:$P$26,2,FALSE),1),""),""),"")</f>
        <v/>
      </c>
      <c r="AC68" s="45" t="str">
        <f>IF('2-3.設備仕様入力（適合）'!$P$143="ガスヒートポンプ式空調機",IF('2-3.設備仕様入力（適合）'!$P$145="LPG",IF('2-3.設備仕様入力（適合）'!$P$151="kg/h",ROUND('2-3.設備仕様入力（適合）'!$P$144*'2-3.設備仕様入力（適合）'!$P$150*計算!$C$11/1000*VLOOKUP('2-3.設備仕様入力（適合）'!$P$146,計算!$N$16:$P$26,3,FALSE),1),""),""),"")</f>
        <v/>
      </c>
      <c r="AD68" s="45" t="str">
        <f t="shared" si="19"/>
        <v/>
      </c>
    </row>
    <row r="69" spans="14:30" ht="19.5" x14ac:dyDescent="0.45">
      <c r="N69" s="85" t="s">
        <v>380</v>
      </c>
      <c r="O69" s="38" t="str">
        <f>IF(AND('2-3.設備仕様入力（適合）'!Q$145="電気",'2-3.設備仕様入力（適合）'!Q$151="kW"),1,IF(AND('2-3.設備仕様入力（適合）'!Q$145="都市ガス",'2-3.設備仕様入力（適合）'!Q$151="kW"),2,IF(AND('2-3.設備仕様入力（適合）'!Q$145="都市ガス",'2-3.設備仕様入力（適合）'!Q$151="ｍ3N/h"),3,IF(AND('2-3.設備仕様入力（適合）'!Q$145="LPG",'2-3.設備仕様入力（適合）'!Q$151="kW"),4,IF(AND('2-3.設備仕様入力（適合）'!Q$145="LPG",'2-3.設備仕様入力（適合）'!Q$151="kg/h"),5,"")))))</f>
        <v/>
      </c>
      <c r="P69" s="45" t="str">
        <f>IF(OR('2-3.設備仕様入力（適合）'!$Q$143="電気式パッケージ形空調機",'2-3.設備仕様入力（適合）'!$Q$143="ルームエアコン"),ROUND('2-3.設備仕様入力（適合）'!$Q$149*'2-3.設備仕様入力（適合）'!$Q$144*計算!$C$3*VLOOKUP('2-3.設備仕様入力（適合）'!$Q$146,計算!$N$16:$P$26,2,FALSE)/1000,1),"")</f>
        <v/>
      </c>
      <c r="Q69" s="45" t="str">
        <f>IF(OR('2-3.設備仕様入力（適合）'!$Q$143="電気式パッケージ形空調機",'2-3.設備仕様入力（適合）'!$Q$143="ルームエアコン"),ROUND('2-3.設備仕様入力（適合）'!$Q$150*'2-3.設備仕様入力（適合）'!$Q$144*計算!$C$3*VLOOKUP('2-3.設備仕様入力（適合）'!$Q$146,計算!$N$16:$P$26,3,FALSE)/1000,1),"")</f>
        <v/>
      </c>
      <c r="R69" s="45" t="str">
        <f t="shared" si="15"/>
        <v/>
      </c>
      <c r="S69" s="45" t="str">
        <f>IF('2-3.設備仕様入力（適合）'!$Q$143="ガスヒートポンプ式空調機",IF('2-3.設備仕様入力（適合）'!$Q$145="都市ガス",IF('2-3.設備仕様入力（適合）'!$Q$151="kW",ROUND('2-3.設備仕様入力（適合）'!$Q$144*'2-3.設備仕様入力（適合）'!$Q$149*3.6/1000*VLOOKUP('2-3.設備仕様入力（適合）'!$Q$146,計算!$N$16:$P$26,2,FALSE),1),""),""),"")</f>
        <v/>
      </c>
      <c r="T69" s="45" t="str">
        <f>IF('2-3.設備仕様入力（適合）'!$Q$143="ガスヒートポンプ式空調機",IF('2-3.設備仕様入力（適合）'!$Q$145="都市ガス",IF('2-3.設備仕様入力（適合）'!$Q$151="kW",ROUND('2-3.設備仕様入力（適合）'!$Q$144*'2-3.設備仕様入力（適合）'!$Q$150*3.6/1000*VLOOKUP('2-3.設備仕様入力（適合）'!$Q$146,計算!$N$16:$P$26,3,FALSE),1),""),""),"")</f>
        <v/>
      </c>
      <c r="U69" s="45" t="str">
        <f t="shared" si="16"/>
        <v/>
      </c>
      <c r="V69" s="45" t="str">
        <f>IF('2-3.設備仕様入力（適合）'!$Q$143="ガスヒートポンプ式空調機",IF('2-3.設備仕様入力（適合）'!$Q$151="ｍ3N/h",ROUND('2-3.設備仕様入力（適合）'!$Q$144*'2-3.設備仕様入力（適合）'!$Q$149*計算!$C$10/1000*VLOOKUP('2-3.設備仕様入力（適合）'!$Q$146,計算!$N$16:$P$26,2,FALSE),1),""),"")</f>
        <v/>
      </c>
      <c r="W69" s="45" t="str">
        <f>IF('2-3.設備仕様入力（適合）'!$Q$143="ガスヒートポンプ式空調機",IF('2-3.設備仕様入力（適合）'!$Q$151="ｍ3N/h",ROUND('2-3.設備仕様入力（適合）'!$Q$144*'2-3.設備仕様入力（適合）'!$Q$150*計算!$C$10/1000*VLOOKUP('2-3.設備仕様入力（適合）'!$Q$146,計算!$N$16:$P$26,3,FALSE),1),""),"")</f>
        <v/>
      </c>
      <c r="X69" s="45" t="str">
        <f t="shared" si="17"/>
        <v/>
      </c>
      <c r="Y69" s="45" t="str">
        <f>IF('2-3.設備仕様入力（適合）'!$Q$143="ガスヒートポンプ式空調機",IF('2-3.設備仕様入力（適合）'!$Q$145="LPG",IF('2-3.設備仕様入力（適合）'!$Q$151="kW",ROUND('2-3.設備仕様入力（適合）'!$Q$144*'2-3.設備仕様入力（適合）'!$Q$149*3.6/1000*VLOOKUP('2-3.設備仕様入力（適合）'!$Q$146,計算!$N$16:$P$26,2,FALSE),1),""),""),"")</f>
        <v/>
      </c>
      <c r="Z69" s="45" t="str">
        <f>IF('2-3.設備仕様入力（適合）'!$Q$143="ガスヒートポンプ式空調機",IF('2-3.設備仕様入力（適合）'!$Q$145="LPG",IF('2-3.設備仕様入力（適合）'!$Q$151="kW",ROUND('2-3.設備仕様入力（適合）'!$Q$144*'2-3.設備仕様入力（適合）'!$Q$150*3.6/1000*VLOOKUP('2-3.設備仕様入力（適合）'!$Q$146,計算!$N$16:$P$26,3,FALSE),1),""),""),"")</f>
        <v/>
      </c>
      <c r="AA69" s="45" t="str">
        <f t="shared" si="18"/>
        <v/>
      </c>
      <c r="AB69" s="45" t="str">
        <f>IF('2-3.設備仕様入力（適合）'!$Q$143="ガスヒートポンプ式空調機",IF('2-3.設備仕様入力（適合）'!$Q$145="LPG",IF('2-3.設備仕様入力（適合）'!$Q$151="kg/h",ROUND('2-3.設備仕様入力（適合）'!$Q$144*'2-3.設備仕様入力（適合）'!$Q$149*計算!$C$11/1000*VLOOKUP('2-3.設備仕様入力（適合）'!$Q$146,計算!$N$16:$P$26,2,FALSE),1),""),""),"")</f>
        <v/>
      </c>
      <c r="AC69" s="45" t="str">
        <f>IF('2-3.設備仕様入力（適合）'!$Q$143="ガスヒートポンプ式空調機",IF('2-3.設備仕様入力（適合）'!$Q$145="LPG",IF('2-3.設備仕様入力（適合）'!$Q$151="kg/h",ROUND('2-3.設備仕様入力（適合）'!$Q$144*'2-3.設備仕様入力（適合）'!$Q$150*計算!$C$11/1000*VLOOKUP('2-3.設備仕様入力（適合）'!$Q$146,計算!$N$16:$P$26,3,FALSE),1),""),""),"")</f>
        <v/>
      </c>
      <c r="AD69" s="45" t="str">
        <f t="shared" si="19"/>
        <v/>
      </c>
    </row>
    <row r="70" spans="14:30" ht="19.5" x14ac:dyDescent="0.45">
      <c r="N70" s="85" t="s">
        <v>381</v>
      </c>
      <c r="O70" s="38" t="str">
        <f>IF(AND('2-3.設備仕様入力（適合）'!R$145="電気",'2-3.設備仕様入力（適合）'!R$151="kW"),1,IF(AND('2-3.設備仕様入力（適合）'!R$145="都市ガス",'2-3.設備仕様入力（適合）'!R$151="kW"),2,IF(AND('2-3.設備仕様入力（適合）'!R$145="都市ガス",'2-3.設備仕様入力（適合）'!R$151="ｍ3N/h"),3,IF(AND('2-3.設備仕様入力（適合）'!R$145="LPG",'2-3.設備仕様入力（適合）'!R$151="kW"),4,IF(AND('2-3.設備仕様入力（適合）'!R$145="LPG",'2-3.設備仕様入力（適合）'!R$151="kg/h"),5,"")))))</f>
        <v/>
      </c>
      <c r="P70" s="45" t="str">
        <f>IF(OR('2-3.設備仕様入力（適合）'!$R$143="電気式パッケージ形空調機",'2-3.設備仕様入力（適合）'!$R$143="ルームエアコン"),ROUND('2-3.設備仕様入力（適合）'!$R$149*'2-3.設備仕様入力（適合）'!$R$144*計算!$C$3*VLOOKUP('2-3.設備仕様入力（適合）'!$R$146,計算!$N$16:$P$26,2,FALSE)/1000,1),"")</f>
        <v/>
      </c>
      <c r="Q70" s="45" t="str">
        <f>IF(OR('2-3.設備仕様入力（適合）'!$R$143="電気式パッケージ形空調機",'2-3.設備仕様入力（適合）'!$R$143="ルームエアコン"),ROUND('2-3.設備仕様入力（適合）'!$R$150*'2-3.設備仕様入力（適合）'!$R$144*計算!$C$3*VLOOKUP('2-3.設備仕様入力（適合）'!$R$146,計算!$N$16:$P$26,3,FALSE)/1000,1),"")</f>
        <v/>
      </c>
      <c r="R70" s="45" t="str">
        <f t="shared" si="15"/>
        <v/>
      </c>
      <c r="S70" s="45" t="str">
        <f>IF('2-3.設備仕様入力（適合）'!$R$143="ガスヒートポンプ式空調機",IF('2-3.設備仕様入力（適合）'!$R$145="都市ガス",IF('2-3.設備仕様入力（適合）'!$R$151="kW",ROUND('2-3.設備仕様入力（適合）'!$R$144*'2-3.設備仕様入力（適合）'!$R$149*3.6/1000*VLOOKUP('2-3.設備仕様入力（適合）'!$R$146,計算!$N$16:$P$26,2,FALSE),1),""),""),"")</f>
        <v/>
      </c>
      <c r="T70" s="45" t="str">
        <f>IF('2-3.設備仕様入力（適合）'!$R$143="ガスヒートポンプ式空調機",IF('2-3.設備仕様入力（適合）'!$R$145="都市ガス",IF('2-3.設備仕様入力（適合）'!$R$151="kW",ROUND('2-3.設備仕様入力（適合）'!$R$144*'2-3.設備仕様入力（適合）'!$R$150*3.6/1000*VLOOKUP('2-3.設備仕様入力（適合）'!$R$146,計算!$N$16:$P$26,3,FALSE),1),""),""),"")</f>
        <v/>
      </c>
      <c r="U70" s="45" t="str">
        <f t="shared" si="16"/>
        <v/>
      </c>
      <c r="V70" s="45" t="str">
        <f>IF('2-3.設備仕様入力（適合）'!$R$143="ガスヒートポンプ式空調機",IF('2-3.設備仕様入力（適合）'!$R$151="ｍ3N/h",ROUND('2-3.設備仕様入力（適合）'!$R$144*'2-3.設備仕様入力（適合）'!$R$149*計算!$C$10/1000*VLOOKUP('2-3.設備仕様入力（適合）'!$R$146,計算!$N$16:$P$26,2,FALSE),1),""),"")</f>
        <v/>
      </c>
      <c r="W70" s="45" t="str">
        <f>IF('2-3.設備仕様入力（適合）'!$R$143="ガスヒートポンプ式空調機",IF('2-3.設備仕様入力（適合）'!$R$151="ｍ3N/h",ROUND('2-3.設備仕様入力（適合）'!$R$144*'2-3.設備仕様入力（適合）'!$R$150*計算!$C$10/1000*VLOOKUP('2-3.設備仕様入力（適合）'!$R$146,計算!$N$16:$P$26,3,FALSE),1),""),"")</f>
        <v/>
      </c>
      <c r="X70" s="45" t="str">
        <f t="shared" si="17"/>
        <v/>
      </c>
      <c r="Y70" s="45" t="str">
        <f>IF('2-3.設備仕様入力（適合）'!$R$143="ガスヒートポンプ式空調機",IF('2-3.設備仕様入力（適合）'!$R$145="LPG",IF('2-3.設備仕様入力（適合）'!$R$151="kW",ROUND('2-3.設備仕様入力（適合）'!$R$144*'2-3.設備仕様入力（適合）'!$R$149*3.6/1000*VLOOKUP('2-3.設備仕様入力（適合）'!$R$146,計算!$N$16:$P$26,2,FALSE),1),""),""),"")</f>
        <v/>
      </c>
      <c r="Z70" s="45" t="str">
        <f>IF('2-3.設備仕様入力（適合）'!$R$143="ガスヒートポンプ式空調機",IF('2-3.設備仕様入力（適合）'!$R$145="LPG",IF('2-3.設備仕様入力（適合）'!$R$151="kW",ROUND('2-3.設備仕様入力（適合）'!$R$144*'2-3.設備仕様入力（適合）'!$R$150*3.6/1000*VLOOKUP('2-3.設備仕様入力（適合）'!$R$146,計算!$N$16:$P$26,3,FALSE),1),""),""),"")</f>
        <v/>
      </c>
      <c r="AA70" s="45" t="str">
        <f t="shared" si="18"/>
        <v/>
      </c>
      <c r="AB70" s="45" t="str">
        <f>IF('2-3.設備仕様入力（適合）'!$R$143="ガスヒートポンプ式空調機",IF('2-3.設備仕様入力（適合）'!$R$145="LPG",IF('2-3.設備仕様入力（適合）'!$R$151="kg/h",ROUND('2-3.設備仕様入力（適合）'!$R$144*'2-3.設備仕様入力（適合）'!$R$149*計算!$C$11/1000*VLOOKUP('2-3.設備仕様入力（適合）'!$R$146,計算!$N$16:$P$26,2,FALSE),1),""),""),"")</f>
        <v/>
      </c>
      <c r="AC70" s="45" t="str">
        <f>IF('2-3.設備仕様入力（適合）'!$R$143="ガスヒートポンプ式空調機",IF('2-3.設備仕様入力（適合）'!$R$145="LPG",IF('2-3.設備仕様入力（適合）'!$R$151="kg/h",ROUND('2-3.設備仕様入力（適合）'!$R$144*'2-3.設備仕様入力（適合）'!$R$150*計算!$C$11/1000*VLOOKUP('2-3.設備仕様入力（適合）'!$R$146,計算!$N$16:$P$26,3,FALSE),1),""),""),"")</f>
        <v/>
      </c>
      <c r="AD70" s="45" t="str">
        <f t="shared" si="19"/>
        <v/>
      </c>
    </row>
    <row r="71" spans="14:30" ht="19.5" x14ac:dyDescent="0.45">
      <c r="N71" s="85" t="s">
        <v>382</v>
      </c>
      <c r="O71" s="38" t="str">
        <f>IF(AND('2-3.設備仕様入力（適合）'!S$145="電気",'2-3.設備仕様入力（適合）'!S$151="kW"),1,IF(AND('2-3.設備仕様入力（適合）'!S$145="都市ガス",'2-3.設備仕様入力（適合）'!S$151="kW"),2,IF(AND('2-3.設備仕様入力（適合）'!S$145="都市ガス",'2-3.設備仕様入力（適合）'!S$151="ｍ3N/h"),3,IF(AND('2-3.設備仕様入力（適合）'!S$145="LPG",'2-3.設備仕様入力（適合）'!S$151="kW"),4,IF(AND('2-3.設備仕様入力（適合）'!S$145="LPG",'2-3.設備仕様入力（適合）'!S$151="kg/h"),5,"")))))</f>
        <v/>
      </c>
      <c r="P71" s="45" t="str">
        <f>IF(OR('2-3.設備仕様入力（適合）'!$S$143="電気式パッケージ形空調機",'2-3.設備仕様入力（適合）'!$S$143="ルームエアコン"),ROUND('2-3.設備仕様入力（適合）'!$S$149*'2-3.設備仕様入力（適合）'!$S$144*計算!$C$3*VLOOKUP('2-3.設備仕様入力（適合）'!$S$146,計算!$N$16:$P$26,2,FALSE)/1000,1),"")</f>
        <v/>
      </c>
      <c r="Q71" s="45" t="str">
        <f>IF(OR('2-3.設備仕様入力（適合）'!$S$143="電気式パッケージ形空調機",'2-3.設備仕様入力（適合）'!$S$143="ルームエアコン"),ROUND('2-3.設備仕様入力（適合）'!$S$150*'2-3.設備仕様入力（適合）'!$S$144*計算!$C$3*VLOOKUP('2-3.設備仕様入力（適合）'!$S$146,計算!$N$16:$P$26,3,FALSE)/1000,1),"")</f>
        <v/>
      </c>
      <c r="R71" s="45" t="str">
        <f t="shared" si="15"/>
        <v/>
      </c>
      <c r="S71" s="45" t="str">
        <f>IF('2-3.設備仕様入力（適合）'!$S$143="ガスヒートポンプ式空調機",IF('2-3.設備仕様入力（適合）'!$S$145="都市ガス",IF('2-3.設備仕様入力（適合）'!$S$151="kW",ROUND('2-3.設備仕様入力（適合）'!$S$144*'2-3.設備仕様入力（適合）'!$S$149*3.6/1000*VLOOKUP('2-3.設備仕様入力（適合）'!$S$146,計算!$N$16:$P$26,2,FALSE),1),""),""),"")</f>
        <v/>
      </c>
      <c r="T71" s="45" t="str">
        <f>IF('2-3.設備仕様入力（適合）'!$S$143="ガスヒートポンプ式空調機",IF('2-3.設備仕様入力（適合）'!$S$145="都市ガス",IF('2-3.設備仕様入力（適合）'!$S$151="kW",ROUND('2-3.設備仕様入力（適合）'!$S$144*'2-3.設備仕様入力（適合）'!$S$150*3.6/1000*VLOOKUP('2-3.設備仕様入力（適合）'!$S$146,計算!$N$16:$P$26,3,FALSE),1),""),""),"")</f>
        <v/>
      </c>
      <c r="U71" s="45" t="str">
        <f t="shared" si="16"/>
        <v/>
      </c>
      <c r="V71" s="45" t="str">
        <f>IF('2-3.設備仕様入力（適合）'!$S$143="ガスヒートポンプ式空調機",IF('2-3.設備仕様入力（適合）'!$S$151="ｍ3N/h",ROUND('2-3.設備仕様入力（適合）'!$S$144*'2-3.設備仕様入力（適合）'!$S$149*計算!$C$10/1000*VLOOKUP('2-3.設備仕様入力（適合）'!$S$146,計算!$N$16:$P$26,2,FALSE),1),""),"")</f>
        <v/>
      </c>
      <c r="W71" s="45" t="str">
        <f>IF('2-3.設備仕様入力（適合）'!$S$143="ガスヒートポンプ式空調機",IF('2-3.設備仕様入力（適合）'!$S$151="ｍ3N/h",ROUND('2-3.設備仕様入力（適合）'!$S$144*'2-3.設備仕様入力（適合）'!$S$150*計算!$C$10/1000*VLOOKUP('2-3.設備仕様入力（適合）'!$S$146,計算!$N$16:$P$26,3,FALSE),1),""),"")</f>
        <v/>
      </c>
      <c r="X71" s="45" t="str">
        <f t="shared" si="17"/>
        <v/>
      </c>
      <c r="Y71" s="45" t="str">
        <f>IF('2-3.設備仕様入力（適合）'!$S$143="ガスヒートポンプ式空調機",IF('2-3.設備仕様入力（適合）'!$S$145="LPG",IF('2-3.設備仕様入力（適合）'!$S$151="kW",ROUND('2-3.設備仕様入力（適合）'!$S$144*'2-3.設備仕様入力（適合）'!$S$149*3.6/1000*VLOOKUP('2-3.設備仕様入力（適合）'!$S$146,計算!$N$16:$P$26,2,FALSE),1),""),""),"")</f>
        <v/>
      </c>
      <c r="Z71" s="45" t="str">
        <f>IF('2-3.設備仕様入力（適合）'!$S$143="ガスヒートポンプ式空調機",IF('2-3.設備仕様入力（適合）'!$S$145="LPG",IF('2-3.設備仕様入力（適合）'!$S$151="kW",ROUND('2-3.設備仕様入力（適合）'!$S$144*'2-3.設備仕様入力（適合）'!$S$150*3.6/1000*VLOOKUP('2-3.設備仕様入力（適合）'!$S$146,計算!$N$16:$P$26,3,FALSE),1),""),""),"")</f>
        <v/>
      </c>
      <c r="AA71" s="45" t="str">
        <f t="shared" si="18"/>
        <v/>
      </c>
      <c r="AB71" s="45" t="str">
        <f>IF('2-3.設備仕様入力（適合）'!$S$143="ガスヒートポンプ式空調機",IF('2-3.設備仕様入力（適合）'!$S$145="LPG",IF('2-3.設備仕様入力（適合）'!$S$151="kg/h",ROUND('2-3.設備仕様入力（適合）'!$S$144*'2-3.設備仕様入力（適合）'!$S$149*計算!$C$11/1000*VLOOKUP('2-3.設備仕様入力（適合）'!$S$146,計算!$N$16:$P$26,2,FALSE),1),""),""),"")</f>
        <v/>
      </c>
      <c r="AC71" s="45" t="str">
        <f>IF('2-3.設備仕様入力（適合）'!$S$143="ガスヒートポンプ式空調機",IF('2-3.設備仕様入力（適合）'!$S$145="LPG",IF('2-3.設備仕様入力（適合）'!$S$151="kg/h",ROUND('2-3.設備仕様入力（適合）'!$S$144*'2-3.設備仕様入力（適合）'!$S$150*計算!$C$11/1000*VLOOKUP('2-3.設備仕様入力（適合）'!$S$146,計算!$N$16:$P$26,3,FALSE),1),""),""),"")</f>
        <v/>
      </c>
      <c r="AD71" s="45" t="str">
        <f t="shared" si="19"/>
        <v/>
      </c>
    </row>
    <row r="72" spans="14:30" ht="19.5" x14ac:dyDescent="0.45">
      <c r="N72" s="85" t="s">
        <v>383</v>
      </c>
      <c r="O72" s="38" t="str">
        <f>IF(AND('2-3.設備仕様入力（適合）'!T$145="電気",'2-3.設備仕様入力（適合）'!T$151="kW"),1,IF(AND('2-3.設備仕様入力（適合）'!T$145="都市ガス",'2-3.設備仕様入力（適合）'!T$151="kW"),2,IF(AND('2-3.設備仕様入力（適合）'!T$145="都市ガス",'2-3.設備仕様入力（適合）'!T$151="ｍ3N/h"),3,IF(AND('2-3.設備仕様入力（適合）'!T$145="LPG",'2-3.設備仕様入力（適合）'!T$151="kW"),4,IF(AND('2-3.設備仕様入力（適合）'!T$145="LPG",'2-3.設備仕様入力（適合）'!T$151="kg/h"),5,"")))))</f>
        <v/>
      </c>
      <c r="P72" s="45" t="str">
        <f>IF(OR('2-3.設備仕様入力（適合）'!$T$143="電気式パッケージ形空調機",'2-3.設備仕様入力（適合）'!$T$143="ルームエアコン"),ROUND('2-3.設備仕様入力（適合）'!$T$149*'2-3.設備仕様入力（適合）'!$T$144*計算!$C$3*VLOOKUP('2-3.設備仕様入力（適合）'!$T$146,計算!$N$16:$P$26,2,FALSE)/1000,1),"")</f>
        <v/>
      </c>
      <c r="Q72" s="45" t="str">
        <f>IF(OR('2-3.設備仕様入力（適合）'!$T$143="電気式パッケージ形空調機",'2-3.設備仕様入力（適合）'!$T$143="ルームエアコン"),ROUND('2-3.設備仕様入力（適合）'!$T$150*'2-3.設備仕様入力（適合）'!$T$144*計算!$C$3*VLOOKUP('2-3.設備仕様入力（適合）'!$T$146,計算!$N$16:$P$26,3,FALSE)/1000,1),"")</f>
        <v/>
      </c>
      <c r="R72" s="45" t="str">
        <f t="shared" si="15"/>
        <v/>
      </c>
      <c r="S72" s="45" t="str">
        <f>IF('2-3.設備仕様入力（適合）'!$T$143="ガスヒートポンプ式空調機",IF('2-3.設備仕様入力（適合）'!$T$145="都市ガス",IF('2-3.設備仕様入力（適合）'!$T$151="kW",ROUND('2-3.設備仕様入力（適合）'!$T$144*'2-3.設備仕様入力（適合）'!$T$149*3.6/1000*VLOOKUP('2-3.設備仕様入力（適合）'!$T$146,計算!$N$16:$P$26,2,FALSE),1),""),""),"")</f>
        <v/>
      </c>
      <c r="T72" s="45" t="str">
        <f>IF('2-3.設備仕様入力（適合）'!$T$143="ガスヒートポンプ式空調機",IF('2-3.設備仕様入力（適合）'!$T$145="都市ガス",IF('2-3.設備仕様入力（適合）'!$T$151="kW",ROUND('2-3.設備仕様入力（適合）'!$T$144*'2-3.設備仕様入力（適合）'!$T$150*3.6/1000*VLOOKUP('2-3.設備仕様入力（適合）'!$T$146,計算!$N$16:$P$26,3,FALSE),1),""),""),"")</f>
        <v/>
      </c>
      <c r="U72" s="45" t="str">
        <f t="shared" si="16"/>
        <v/>
      </c>
      <c r="V72" s="45" t="str">
        <f>IF('2-3.設備仕様入力（適合）'!$T$143="ガスヒートポンプ式空調機",IF('2-3.設備仕様入力（適合）'!$T$151="ｍ3N/h",ROUND('2-3.設備仕様入力（適合）'!$T$144*'2-3.設備仕様入力（適合）'!$T$149*計算!$C$10/1000*VLOOKUP('2-3.設備仕様入力（適合）'!$T$146,計算!$N$16:$P$26,2,FALSE),1),""),"")</f>
        <v/>
      </c>
      <c r="W72" s="45" t="str">
        <f>IF('2-3.設備仕様入力（適合）'!$T$143="ガスヒートポンプ式空調機",IF('2-3.設備仕様入力（適合）'!$T$151="ｍ3N/h",ROUND('2-3.設備仕様入力（適合）'!$T$144*'2-3.設備仕様入力（適合）'!$T$150*計算!$C$10/1000*VLOOKUP('2-3.設備仕様入力（適合）'!$T$146,計算!$N$16:$P$26,3,FALSE),1),""),"")</f>
        <v/>
      </c>
      <c r="X72" s="45" t="str">
        <f t="shared" si="17"/>
        <v/>
      </c>
      <c r="Y72" s="45" t="str">
        <f>IF('2-3.設備仕様入力（適合）'!$T$143="ガスヒートポンプ式空調機",IF('2-3.設備仕様入力（適合）'!$T$145="LPG",IF('2-3.設備仕様入力（適合）'!$T$151="kW",ROUND('2-3.設備仕様入力（適合）'!$T$144*'2-3.設備仕様入力（適合）'!$T$149*3.6/1000*VLOOKUP('2-3.設備仕様入力（適合）'!$T$146,計算!$N$16:$P$26,2,FALSE),1),""),""),"")</f>
        <v/>
      </c>
      <c r="Z72" s="45" t="str">
        <f>IF('2-3.設備仕様入力（適合）'!$T$143="ガスヒートポンプ式空調機",IF('2-3.設備仕様入力（適合）'!$T$145="LPG",IF('2-3.設備仕様入力（適合）'!$T$151="kW",ROUND('2-3.設備仕様入力（適合）'!$T$144*'2-3.設備仕様入力（適合）'!$T$150*3.6/1000*VLOOKUP('2-3.設備仕様入力（適合）'!$T$146,計算!$N$16:$P$26,3,FALSE),1),""),""),"")</f>
        <v/>
      </c>
      <c r="AA72" s="45" t="str">
        <f t="shared" si="18"/>
        <v/>
      </c>
      <c r="AB72" s="45" t="str">
        <f>IF('2-3.設備仕様入力（適合）'!$T$143="ガスヒートポンプ式空調機",IF('2-3.設備仕様入力（適合）'!$T$145="LPG",IF('2-3.設備仕様入力（適合）'!$T$151="kg/h",ROUND('2-3.設備仕様入力（適合）'!$T$144*'2-3.設備仕様入力（適合）'!$T$149*計算!$C$11/1000*VLOOKUP('2-3.設備仕様入力（適合）'!$T$146,計算!$N$16:$P$26,2,FALSE),1),""),""),"")</f>
        <v/>
      </c>
      <c r="AC72" s="45" t="str">
        <f>IF('2-3.設備仕様入力（適合）'!$T$143="ガスヒートポンプ式空調機",IF('2-3.設備仕様入力（適合）'!$T$145="LPG",IF('2-3.設備仕様入力（適合）'!$T$151="kg/h",ROUND('2-3.設備仕様入力（適合）'!$T$144*'2-3.設備仕様入力（適合）'!$T$150*計算!$C$11/1000*VLOOKUP('2-3.設備仕様入力（適合）'!$T$146,計算!$N$16:$P$26,3,FALSE),1),""),""),"")</f>
        <v/>
      </c>
      <c r="AD72" s="45" t="str">
        <f t="shared" si="19"/>
        <v/>
      </c>
    </row>
    <row r="73" spans="14:30" ht="19.5" x14ac:dyDescent="0.45">
      <c r="N73" s="85" t="s">
        <v>384</v>
      </c>
      <c r="O73" s="38" t="str">
        <f>IF(AND('2-3.設備仕様入力（適合）'!U$145="電気",'2-3.設備仕様入力（適合）'!U$151="kW"),1,IF(AND('2-3.設備仕様入力（適合）'!U$145="都市ガス",'2-3.設備仕様入力（適合）'!U$151="kW"),2,IF(AND('2-3.設備仕様入力（適合）'!U$145="都市ガス",'2-3.設備仕様入力（適合）'!U$151="ｍ3N/h"),3,IF(AND('2-3.設備仕様入力（適合）'!U$145="LPG",'2-3.設備仕様入力（適合）'!U$151="kW"),4,IF(AND('2-3.設備仕様入力（適合）'!U$145="LPG",'2-3.設備仕様入力（適合）'!U$151="kg/h"),5,"")))))</f>
        <v/>
      </c>
      <c r="P73" s="45" t="str">
        <f>IF(OR('2-3.設備仕様入力（適合）'!$U$143="電気式パッケージ形空調機",'2-3.設備仕様入力（適合）'!$U$143="ルームエアコン"),ROUND('2-3.設備仕様入力（適合）'!$U$149*'2-3.設備仕様入力（適合）'!$U$144*計算!$C$3*VLOOKUP('2-3.設備仕様入力（適合）'!$U$146,計算!$N$16:$P$26,2,FALSE)/1000,1),"")</f>
        <v/>
      </c>
      <c r="Q73" s="45" t="str">
        <f>IF(OR('2-3.設備仕様入力（適合）'!$U$143="電気式パッケージ形空調機",'2-3.設備仕様入力（適合）'!$U$143="ルームエアコン"),ROUND('2-3.設備仕様入力（適合）'!$U$150*'2-3.設備仕様入力（適合）'!$U$144*計算!$C$3*VLOOKUP('2-3.設備仕様入力（適合）'!$U$146,計算!$N$16:$P$26,3,FALSE)/1000,1),"")</f>
        <v/>
      </c>
      <c r="R73" s="45" t="str">
        <f t="shared" si="15"/>
        <v/>
      </c>
      <c r="S73" s="45" t="str">
        <f>IF('2-3.設備仕様入力（適合）'!$U$143="ガスヒートポンプ式空調機",IF('2-3.設備仕様入力（適合）'!$U$145="都市ガス",IF('2-3.設備仕様入力（適合）'!$U$151="kW",ROUND('2-3.設備仕様入力（適合）'!$U$144*'2-3.設備仕様入力（適合）'!$U$149*3.6/1000*VLOOKUP('2-3.設備仕様入力（適合）'!$U$146,計算!$N$16:$P$26,2,FALSE),1),""),""),"")</f>
        <v/>
      </c>
      <c r="T73" s="45" t="str">
        <f>IF('2-3.設備仕様入力（適合）'!$U$143="ガスヒートポンプ式空調機",IF('2-3.設備仕様入力（適合）'!$U$145="都市ガス",IF('2-3.設備仕様入力（適合）'!$U$151="kW",ROUND('2-3.設備仕様入力（適合）'!$U$144*'2-3.設備仕様入力（適合）'!$U$150*3.6/1000*VLOOKUP('2-3.設備仕様入力（適合）'!$U$146,計算!$N$16:$P$26,3,FALSE),1),""),""),"")</f>
        <v/>
      </c>
      <c r="U73" s="45" t="str">
        <f t="shared" si="16"/>
        <v/>
      </c>
      <c r="V73" s="45" t="str">
        <f>IF('2-3.設備仕様入力（適合）'!$U$143="ガスヒートポンプ式空調機",IF('2-3.設備仕様入力（適合）'!$U$151="ｍ3N/h",ROUND('2-3.設備仕様入力（適合）'!$U$144*'2-3.設備仕様入力（適合）'!$U$149*計算!$C$10/1000*VLOOKUP('2-3.設備仕様入力（適合）'!$U$146,計算!$N$16:$P$26,2,FALSE),1),""),"")</f>
        <v/>
      </c>
      <c r="W73" s="45" t="str">
        <f>IF('2-3.設備仕様入力（適合）'!$U$143="ガスヒートポンプ式空調機",IF('2-3.設備仕様入力（適合）'!$U$151="ｍ3N/h",ROUND('2-3.設備仕様入力（適合）'!$U$144*'2-3.設備仕様入力（適合）'!$U$150*計算!$C$10/1000*VLOOKUP('2-3.設備仕様入力（適合）'!$U$146,計算!$N$16:$P$26,3,FALSE),1),""),"")</f>
        <v/>
      </c>
      <c r="X73" s="45" t="str">
        <f t="shared" si="17"/>
        <v/>
      </c>
      <c r="Y73" s="45" t="str">
        <f>IF('2-3.設備仕様入力（適合）'!$U$143="ガスヒートポンプ式空調機",IF('2-3.設備仕様入力（適合）'!$U$145="LPG",IF('2-3.設備仕様入力（適合）'!$U$151="kW",ROUND('2-3.設備仕様入力（適合）'!$U$144*'2-3.設備仕様入力（適合）'!$U$149*3.6/1000*VLOOKUP('2-3.設備仕様入力（適合）'!$U$146,計算!$N$16:$P$26,2,FALSE),1),""),""),"")</f>
        <v/>
      </c>
      <c r="Z73" s="45" t="str">
        <f>IF('2-3.設備仕様入力（適合）'!$U$143="ガスヒートポンプ式空調機",IF('2-3.設備仕様入力（適合）'!$U$145="LPG",IF('2-3.設備仕様入力（適合）'!$U$151="kW",ROUND('2-3.設備仕様入力（適合）'!$U$144*'2-3.設備仕様入力（適合）'!$U$150*3.6/1000*VLOOKUP('2-3.設備仕様入力（適合）'!$U$146,計算!$N$16:$P$26,3,FALSE),1),""),""),"")</f>
        <v/>
      </c>
      <c r="AA73" s="45" t="str">
        <f t="shared" si="18"/>
        <v/>
      </c>
      <c r="AB73" s="45" t="str">
        <f>IF('2-3.設備仕様入力（適合）'!$U$143="ガスヒートポンプ式空調機",IF('2-3.設備仕様入力（適合）'!$U$145="LPG",IF('2-3.設備仕様入力（適合）'!$U$151="kg/h",ROUND('2-3.設備仕様入力（適合）'!$U$144*'2-3.設備仕様入力（適合）'!$U$149*計算!$C$11/1000*VLOOKUP('2-3.設備仕様入力（適合）'!$U$146,計算!$N$16:$P$26,2,FALSE),1),""),""),"")</f>
        <v/>
      </c>
      <c r="AC73" s="45" t="str">
        <f>IF('2-3.設備仕様入力（適合）'!$U$143="ガスヒートポンプ式空調機",IF('2-3.設備仕様入力（適合）'!$U$145="LPG",IF('2-3.設備仕様入力（適合）'!$U$151="kg/h",ROUND('2-3.設備仕様入力（適合）'!$U$144*'2-3.設備仕様入力（適合）'!$U$150*計算!$C$11/1000*VLOOKUP('2-3.設備仕様入力（適合）'!$U$146,計算!$N$16:$P$26,3,FALSE),1),""),""),"")</f>
        <v/>
      </c>
      <c r="AD73" s="45" t="str">
        <f t="shared" si="19"/>
        <v/>
      </c>
    </row>
    <row r="74" spans="14:30" ht="19.5" x14ac:dyDescent="0.45">
      <c r="N74" s="85" t="s">
        <v>385</v>
      </c>
      <c r="O74" s="38" t="str">
        <f>IF(AND('2-3.設備仕様入力（適合）'!V$145="電気",'2-3.設備仕様入力（適合）'!V$151="kW"),1,IF(AND('2-3.設備仕様入力（適合）'!V$145="都市ガス",'2-3.設備仕様入力（適合）'!V$151="kW"),2,IF(AND('2-3.設備仕様入力（適合）'!V$145="都市ガス",'2-3.設備仕様入力（適合）'!V$151="ｍ3N/h"),3,IF(AND('2-3.設備仕様入力（適合）'!V$145="LPG",'2-3.設備仕様入力（適合）'!V$151="kW"),4,IF(AND('2-3.設備仕様入力（適合）'!V$145="LPG",'2-3.設備仕様入力（適合）'!V$151="kg/h"),5,"")))))</f>
        <v/>
      </c>
      <c r="P74" s="45" t="str">
        <f>IF(OR('2-3.設備仕様入力（適合）'!$V$143="電気式パッケージ形空調機",'2-3.設備仕様入力（適合）'!$V$143="ルームエアコン"),ROUND('2-3.設備仕様入力（適合）'!$V$149*'2-3.設備仕様入力（適合）'!$V$144*計算!$C$3*VLOOKUP('2-3.設備仕様入力（適合）'!$V$146,計算!$N$16:$P$26,2,FALSE)/1000,1),"")</f>
        <v/>
      </c>
      <c r="Q74" s="45" t="str">
        <f>IF(OR('2-3.設備仕様入力（適合）'!$V$143="電気式パッケージ形空調機",'2-3.設備仕様入力（適合）'!$V$143="ルームエアコン"),ROUND('2-3.設備仕様入力（適合）'!$V$150*'2-3.設備仕様入力（適合）'!$V$144*計算!$C$3*VLOOKUP('2-3.設備仕様入力（適合）'!$V$146,計算!$N$16:$P$26,3,FALSE)/1000,1),"")</f>
        <v/>
      </c>
      <c r="R74" s="45" t="str">
        <f t="shared" si="15"/>
        <v/>
      </c>
      <c r="S74" s="45" t="str">
        <f>IF('2-3.設備仕様入力（適合）'!$V$143="ガスヒートポンプ式空調機",IF('2-3.設備仕様入力（適合）'!$V$145="都市ガス",IF('2-3.設備仕様入力（適合）'!$V$151="kW",ROUND('2-3.設備仕様入力（適合）'!$V$144*'2-3.設備仕様入力（適合）'!$V$149*3.6/1000*VLOOKUP('2-3.設備仕様入力（適合）'!$V$146,計算!$N$16:$P$26,2,FALSE),1),""),""),"")</f>
        <v/>
      </c>
      <c r="T74" s="45" t="str">
        <f>IF('2-3.設備仕様入力（適合）'!$V$143="ガスヒートポンプ式空調機",IF('2-3.設備仕様入力（適合）'!$V$145="都市ガス",IF('2-3.設備仕様入力（適合）'!$V$151="kW",ROUND('2-3.設備仕様入力（適合）'!$V$144*'2-3.設備仕様入力（適合）'!$V$150*3.6/1000*VLOOKUP('2-3.設備仕様入力（適合）'!$V$146,計算!$N$16:$P$26,3,FALSE),1),""),""),"")</f>
        <v/>
      </c>
      <c r="U74" s="45" t="str">
        <f t="shared" si="16"/>
        <v/>
      </c>
      <c r="V74" s="45" t="str">
        <f>IF('2-3.設備仕様入力（適合）'!$V$143="ガスヒートポンプ式空調機",IF('2-3.設備仕様入力（適合）'!$V$151="ｍ3N/h",ROUND('2-3.設備仕様入力（適合）'!$V$144*'2-3.設備仕様入力（適合）'!$V$149*計算!$C$10/1000*VLOOKUP('2-3.設備仕様入力（適合）'!$V$146,計算!$N$16:$P$26,2,FALSE),1),""),"")</f>
        <v/>
      </c>
      <c r="W74" s="45" t="str">
        <f>IF('2-3.設備仕様入力（適合）'!$V$143="ガスヒートポンプ式空調機",IF('2-3.設備仕様入力（適合）'!$V$151="ｍ3N/h",ROUND('2-3.設備仕様入力（適合）'!$V$144*'2-3.設備仕様入力（適合）'!$V$150*計算!$C$10/1000*VLOOKUP('2-3.設備仕様入力（適合）'!$V$146,計算!$N$16:$P$26,3,FALSE),1),""),"")</f>
        <v/>
      </c>
      <c r="X74" s="45" t="str">
        <f t="shared" si="17"/>
        <v/>
      </c>
      <c r="Y74" s="45" t="str">
        <f>IF('2-3.設備仕様入力（適合）'!$V$143="ガスヒートポンプ式空調機",IF('2-3.設備仕様入力（適合）'!$V$145="LPG",IF('2-3.設備仕様入力（適合）'!$V$151="kW",ROUND('2-3.設備仕様入力（適合）'!$V$144*'2-3.設備仕様入力（適合）'!$V$149*3.6/1000*VLOOKUP('2-3.設備仕様入力（適合）'!$V$146,計算!$N$16:$P$26,2,FALSE),1),""),""),"")</f>
        <v/>
      </c>
      <c r="Z74" s="45" t="str">
        <f>IF('2-3.設備仕様入力（適合）'!$V$143="ガスヒートポンプ式空調機",IF('2-3.設備仕様入力（適合）'!$V$145="LPG",IF('2-3.設備仕様入力（適合）'!$V$151="kW",ROUND('2-3.設備仕様入力（適合）'!$V$144*'2-3.設備仕様入力（適合）'!$V$150*3.6/1000*VLOOKUP('2-3.設備仕様入力（適合）'!$V$146,計算!$N$16:$P$26,3,FALSE),1),""),""),"")</f>
        <v/>
      </c>
      <c r="AA74" s="45" t="str">
        <f t="shared" si="18"/>
        <v/>
      </c>
      <c r="AB74" s="45" t="str">
        <f>IF('2-3.設備仕様入力（適合）'!$V$143="ガスヒートポンプ式空調機",IF('2-3.設備仕様入力（適合）'!$V$145="LPG",IF('2-3.設備仕様入力（適合）'!$V$151="kg/h",ROUND('2-3.設備仕様入力（適合）'!$V$144*'2-3.設備仕様入力（適合）'!$V$149*計算!$C$11/1000*VLOOKUP('2-3.設備仕様入力（適合）'!$V$146,計算!$N$16:$P$26,2,FALSE),1),""),""),"")</f>
        <v/>
      </c>
      <c r="AC74" s="45" t="str">
        <f>IF('2-3.設備仕様入力（適合）'!$V$143="ガスヒートポンプ式空調機",IF('2-3.設備仕様入力（適合）'!$V$145="LPG",IF('2-3.設備仕様入力（適合）'!$V$151="kg/h",ROUND('2-3.設備仕様入力（適合）'!$V$144*'2-3.設備仕様入力（適合）'!$V$150*計算!$C$11/1000*VLOOKUP('2-3.設備仕様入力（適合）'!$V$146,計算!$N$16:$P$26,3,FALSE),1),""),""),"")</f>
        <v/>
      </c>
      <c r="AD74" s="45" t="str">
        <f t="shared" si="19"/>
        <v/>
      </c>
    </row>
    <row r="75" spans="14:30" ht="19.5" x14ac:dyDescent="0.45">
      <c r="N75" s="85" t="s">
        <v>386</v>
      </c>
      <c r="O75" s="38" t="str">
        <f>IF(AND('2-3.設備仕様入力（適合）'!W$145="電気",'2-3.設備仕様入力（適合）'!W$151="kW"),1,IF(AND('2-3.設備仕様入力（適合）'!W$145="都市ガス",'2-3.設備仕様入力（適合）'!W$151="kW"),2,IF(AND('2-3.設備仕様入力（適合）'!W$145="都市ガス",'2-3.設備仕様入力（適合）'!W$151="ｍ3N/h"),3,IF(AND('2-3.設備仕様入力（適合）'!W$145="LPG",'2-3.設備仕様入力（適合）'!W$151="kW"),4,IF(AND('2-3.設備仕様入力（適合）'!W$145="LPG",'2-3.設備仕様入力（適合）'!W$151="kg/h"),5,"")))))</f>
        <v/>
      </c>
      <c r="P75" s="45" t="str">
        <f>IF(OR('2-3.設備仕様入力（適合）'!$W$143="電気式パッケージ形空調機",'2-3.設備仕様入力（適合）'!$W$143="ルームエアコン"),ROUND('2-3.設備仕様入力（適合）'!$W$149*'2-3.設備仕様入力（適合）'!$W$144*計算!$C$3*VLOOKUP('2-3.設備仕様入力（適合）'!$W$146,計算!$N$16:$P$26,2,FALSE)/1000,1),"")</f>
        <v/>
      </c>
      <c r="Q75" s="45" t="str">
        <f>IF(OR('2-3.設備仕様入力（適合）'!$W$143="電気式パッケージ形空調機",'2-3.設備仕様入力（適合）'!$W$143="ルームエアコン"),ROUND('2-3.設備仕様入力（適合）'!$W$150*'2-3.設備仕様入力（適合）'!$W$144*計算!$C$3*VLOOKUP('2-3.設備仕様入力（適合）'!$W$146,計算!$N$16:$P$26,3,FALSE)/1000,1),"")</f>
        <v/>
      </c>
      <c r="R75" s="45" t="str">
        <f t="shared" si="15"/>
        <v/>
      </c>
      <c r="S75" s="45" t="str">
        <f>IF('2-3.設備仕様入力（適合）'!$W$143="ガスヒートポンプ式空調機",IF('2-3.設備仕様入力（適合）'!$W$145="都市ガス",IF('2-3.設備仕様入力（適合）'!$W$151="kW",ROUND('2-3.設備仕様入力（適合）'!$W$144*'2-3.設備仕様入力（適合）'!$W$149*3.6/1000*VLOOKUP('2-3.設備仕様入力（適合）'!$W$146,計算!$N$16:$P$26,2,FALSE),1),""),""),"")</f>
        <v/>
      </c>
      <c r="T75" s="45" t="str">
        <f>IF('2-3.設備仕様入力（適合）'!$W$143="ガスヒートポンプ式空調機",IF('2-3.設備仕様入力（適合）'!$W$145="都市ガス",IF('2-3.設備仕様入力（適合）'!$W$151="kW",ROUND('2-3.設備仕様入力（適合）'!$W$144*'2-3.設備仕様入力（適合）'!$W$150*3.6/1000*VLOOKUP('2-3.設備仕様入力（適合）'!$W$146,計算!$N$16:$P$26,3,FALSE),1),""),""),"")</f>
        <v/>
      </c>
      <c r="U75" s="45" t="str">
        <f t="shared" si="16"/>
        <v/>
      </c>
      <c r="V75" s="45" t="str">
        <f>IF('2-3.設備仕様入力（適合）'!$W$143="ガスヒートポンプ式空調機",IF('2-3.設備仕様入力（適合）'!$W$151="ｍ3N/h",ROUND('2-3.設備仕様入力（適合）'!$W$144*'2-3.設備仕様入力（適合）'!$W$149*計算!$C$10/1000*VLOOKUP('2-3.設備仕様入力（適合）'!$W$146,計算!$N$16:$P$26,2,FALSE),1),""),"")</f>
        <v/>
      </c>
      <c r="W75" s="45" t="str">
        <f>IF('2-3.設備仕様入力（適合）'!$W$143="ガスヒートポンプ式空調機",IF('2-3.設備仕様入力（適合）'!$W$151="ｍ3N/h",ROUND('2-3.設備仕様入力（適合）'!$W$144*'2-3.設備仕様入力（適合）'!$W$150*計算!$C$10/1000*VLOOKUP('2-3.設備仕様入力（適合）'!$W$146,計算!$N$16:$P$26,3,FALSE),1),""),"")</f>
        <v/>
      </c>
      <c r="X75" s="45" t="str">
        <f t="shared" si="17"/>
        <v/>
      </c>
      <c r="Y75" s="45" t="str">
        <f>IF('2-3.設備仕様入力（適合）'!$W$143="ガスヒートポンプ式空調機",IF('2-3.設備仕様入力（適合）'!$W$145="LPG",IF('2-3.設備仕様入力（適合）'!$W$151="kW",ROUND('2-3.設備仕様入力（適合）'!$W$144*'2-3.設備仕様入力（適合）'!$W$149*3.6/1000*VLOOKUP('2-3.設備仕様入力（適合）'!$W$146,計算!$N$16:$P$26,2,FALSE),1),""),""),"")</f>
        <v/>
      </c>
      <c r="Z75" s="45" t="str">
        <f>IF('2-3.設備仕様入力（適合）'!$W$143="ガスヒートポンプ式空調機",IF('2-3.設備仕様入力（適合）'!$W$145="LPG",IF('2-3.設備仕様入力（適合）'!$W$151="kW",ROUND('2-3.設備仕様入力（適合）'!$W$144*'2-3.設備仕様入力（適合）'!$W$150*3.6/1000*VLOOKUP('2-3.設備仕様入力（適合）'!$W$146,計算!$N$16:$P$26,3,FALSE),1),""),""),"")</f>
        <v/>
      </c>
      <c r="AA75" s="45" t="str">
        <f t="shared" si="18"/>
        <v/>
      </c>
      <c r="AB75" s="45" t="str">
        <f>IF('2-3.設備仕様入力（適合）'!$W$143="ガスヒートポンプ式空調機",IF('2-3.設備仕様入力（適合）'!$W$145="LPG",IF('2-3.設備仕様入力（適合）'!$W$151="kg/h",ROUND('2-3.設備仕様入力（適合）'!$W$144*'2-3.設備仕様入力（適合）'!$W$149*計算!$C$11/1000*VLOOKUP('2-3.設備仕様入力（適合）'!$W$146,計算!$N$16:$P$26,2,FALSE),1),""),""),"")</f>
        <v/>
      </c>
      <c r="AC75" s="45" t="str">
        <f>IF('2-3.設備仕様入力（適合）'!$W$143="ガスヒートポンプ式空調機",IF('2-3.設備仕様入力（適合）'!$W$145="LPG",IF('2-3.設備仕様入力（適合）'!$W$151="kg/h",ROUND('2-3.設備仕様入力（適合）'!$W$144*'2-3.設備仕様入力（適合）'!$W$150*計算!$C$11/1000*VLOOKUP('2-3.設備仕様入力（適合）'!$W$146,計算!$N$16:$P$26,3,FALSE),1),""),""),"")</f>
        <v/>
      </c>
      <c r="AD75" s="45" t="str">
        <f t="shared" si="19"/>
        <v/>
      </c>
    </row>
    <row r="76" spans="14:30" ht="19.5" x14ac:dyDescent="0.45">
      <c r="P76" s="156"/>
      <c r="Q76" s="156"/>
      <c r="R76" s="156"/>
      <c r="S76" s="156"/>
      <c r="T76" s="156"/>
      <c r="U76" s="156"/>
      <c r="V76" s="156"/>
      <c r="W76" s="156"/>
      <c r="X76" s="156"/>
      <c r="Y76" s="156"/>
      <c r="Z76" s="156"/>
      <c r="AA76" s="156"/>
      <c r="AB76" s="156"/>
      <c r="AC76" s="156"/>
      <c r="AD76" s="156"/>
    </row>
  </sheetData>
  <mergeCells count="13">
    <mergeCell ref="J1:K1"/>
    <mergeCell ref="P28:AD28"/>
    <mergeCell ref="Y29:AA29"/>
    <mergeCell ref="AB29:AD29"/>
    <mergeCell ref="P29:R29"/>
    <mergeCell ref="S29:U29"/>
    <mergeCell ref="V29:X29"/>
    <mergeCell ref="P53:AD53"/>
    <mergeCell ref="P54:R54"/>
    <mergeCell ref="S54:U54"/>
    <mergeCell ref="V54:X54"/>
    <mergeCell ref="Y54:AA54"/>
    <mergeCell ref="AB54:AD54"/>
  </mergeCells>
  <phoneticPr fontId="2"/>
  <pageMargins left="0.7" right="0.7"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
  <sheetViews>
    <sheetView zoomScale="70" zoomScaleNormal="70" workbookViewId="0"/>
  </sheetViews>
  <sheetFormatPr defaultRowHeight="19.5" x14ac:dyDescent="0.45"/>
  <cols>
    <col min="1" max="1" width="3.296875" customWidth="1"/>
  </cols>
  <sheetData>
    <row r="2" spans="2:16" ht="30" x14ac:dyDescent="0.45">
      <c r="B2" s="352" t="s">
        <v>642</v>
      </c>
      <c r="P2" s="352" t="s">
        <v>627</v>
      </c>
    </row>
  </sheetData>
  <sheetProtection password="DFA8" sheet="1" objects="1" scenarios="1" selectLockedCells="1" selectUnlockedCells="1"/>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outlinePr summaryBelow="0" summaryRight="0"/>
    <pageSetUpPr fitToPage="1"/>
  </sheetPr>
  <dimension ref="B1:BO54"/>
  <sheetViews>
    <sheetView zoomScale="70" zoomScaleNormal="70" workbookViewId="0">
      <selection activeCell="B20" sqref="B20"/>
    </sheetView>
  </sheetViews>
  <sheetFormatPr defaultColWidth="7.19921875" defaultRowHeight="19.5" x14ac:dyDescent="0.45"/>
  <cols>
    <col min="1" max="1" width="2.19921875" style="43" customWidth="1"/>
    <col min="2" max="2" width="14.8984375" style="43" customWidth="1"/>
    <col min="3" max="3" width="4.796875" style="43" customWidth="1"/>
    <col min="4" max="4" width="4" style="43" customWidth="1"/>
    <col min="5" max="13" width="9.796875" style="43" customWidth="1"/>
    <col min="14" max="14" width="9.796875" style="43" customWidth="1" collapsed="1"/>
    <col min="15" max="28" width="9.796875" style="43" customWidth="1"/>
    <col min="29" max="29" width="9.796875" style="43" customWidth="1" collapsed="1"/>
    <col min="30" max="36" width="9.796875" style="43" customWidth="1"/>
    <col min="37" max="37" width="9.796875" style="50" customWidth="1"/>
    <col min="38" max="54" width="9.796875" style="43" customWidth="1"/>
    <col min="55" max="65" width="9.8984375" style="43" customWidth="1"/>
    <col min="66" max="16384" width="7.19921875" style="43"/>
  </cols>
  <sheetData>
    <row r="1" spans="2:34" s="64" customFormat="1" ht="18.75" x14ac:dyDescent="0.45"/>
    <row r="2" spans="2:34" s="23" customFormat="1" x14ac:dyDescent="0.45">
      <c r="B2" s="55" t="s">
        <v>213</v>
      </c>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2:34" s="64" customFormat="1" x14ac:dyDescent="0.45">
      <c r="B3" s="79" t="s">
        <v>214</v>
      </c>
      <c r="C3" s="43"/>
      <c r="D3" s="43"/>
      <c r="E3" s="43"/>
      <c r="F3" s="43"/>
      <c r="G3" s="43"/>
      <c r="H3" s="43"/>
      <c r="I3" s="43"/>
      <c r="J3" s="43"/>
      <c r="K3" s="56"/>
      <c r="L3" s="43"/>
      <c r="M3" s="43"/>
      <c r="N3" s="43"/>
      <c r="O3" s="43"/>
      <c r="P3" s="43"/>
      <c r="Q3" s="43"/>
      <c r="R3" s="43"/>
      <c r="S3" s="43"/>
      <c r="T3" s="43"/>
      <c r="U3" s="43"/>
      <c r="V3" s="43"/>
      <c r="W3" s="43"/>
      <c r="X3" s="43"/>
      <c r="Y3" s="43"/>
      <c r="Z3" s="43"/>
      <c r="AA3" s="43"/>
      <c r="AB3" s="43"/>
      <c r="AC3" s="43"/>
      <c r="AD3" s="43"/>
      <c r="AE3" s="43"/>
      <c r="AF3" s="43"/>
      <c r="AG3" s="43"/>
      <c r="AH3" s="43"/>
    </row>
    <row r="4" spans="2:34" s="64" customFormat="1" x14ac:dyDescent="0.45">
      <c r="B4" s="79"/>
      <c r="C4" s="43"/>
      <c r="D4" s="43"/>
      <c r="E4" s="43"/>
      <c r="F4" s="43"/>
      <c r="G4" s="43"/>
      <c r="H4" s="43"/>
      <c r="I4" s="43"/>
      <c r="J4" s="43"/>
      <c r="K4" s="56"/>
      <c r="L4" s="43"/>
      <c r="M4" s="43"/>
      <c r="N4" s="43"/>
      <c r="O4" s="43"/>
      <c r="P4" s="43"/>
      <c r="Q4" s="43"/>
      <c r="R4" s="43"/>
      <c r="S4" s="43"/>
      <c r="T4" s="43"/>
      <c r="U4" s="43"/>
      <c r="V4" s="43"/>
      <c r="W4" s="43"/>
      <c r="X4" s="43"/>
      <c r="Y4" s="43"/>
      <c r="Z4" s="43"/>
      <c r="AA4" s="43"/>
      <c r="AB4" s="43"/>
      <c r="AC4" s="43"/>
      <c r="AD4" s="43"/>
      <c r="AE4" s="43"/>
      <c r="AF4" s="43"/>
      <c r="AG4" s="43"/>
      <c r="AH4" s="43"/>
    </row>
    <row r="5" spans="2:34" s="23" customFormat="1" x14ac:dyDescent="0.45">
      <c r="B5" s="55" t="s">
        <v>166</v>
      </c>
      <c r="C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2:34" s="64" customFormat="1" x14ac:dyDescent="0.45">
      <c r="B6" s="128" t="s">
        <v>628</v>
      </c>
      <c r="C6" s="43"/>
      <c r="D6" s="43"/>
      <c r="E6" s="43"/>
      <c r="F6" s="43"/>
      <c r="G6" s="43"/>
      <c r="H6" s="43"/>
      <c r="I6" s="43"/>
      <c r="J6" s="43"/>
      <c r="K6" s="56"/>
      <c r="L6" s="43"/>
      <c r="M6" s="43"/>
      <c r="N6" s="43"/>
      <c r="O6" s="43"/>
      <c r="P6" s="43"/>
      <c r="Q6" s="43"/>
      <c r="R6" s="43"/>
      <c r="S6" s="43"/>
      <c r="T6" s="43"/>
      <c r="U6" s="43"/>
      <c r="V6" s="43"/>
      <c r="W6" s="43"/>
      <c r="X6" s="43"/>
      <c r="Y6" s="43"/>
      <c r="Z6" s="43"/>
      <c r="AA6" s="43"/>
      <c r="AB6" s="43"/>
      <c r="AC6" s="43"/>
      <c r="AD6" s="43"/>
      <c r="AE6" s="43"/>
      <c r="AF6" s="43"/>
      <c r="AG6" s="43"/>
      <c r="AH6" s="43"/>
    </row>
    <row r="7" spans="2:34" s="64" customFormat="1" x14ac:dyDescent="0.45">
      <c r="B7" s="128" t="s">
        <v>629</v>
      </c>
      <c r="C7" s="43"/>
      <c r="D7" s="43"/>
      <c r="E7" s="43"/>
      <c r="F7" s="43"/>
      <c r="G7" s="43"/>
      <c r="H7" s="43"/>
      <c r="I7" s="43"/>
      <c r="J7" s="43"/>
      <c r="K7" s="56"/>
      <c r="L7" s="43"/>
      <c r="M7" s="43"/>
      <c r="N7" s="43"/>
      <c r="O7" s="43"/>
      <c r="P7" s="43"/>
      <c r="Q7" s="43"/>
      <c r="R7" s="43"/>
      <c r="S7" s="43"/>
      <c r="T7" s="43"/>
      <c r="U7" s="43"/>
      <c r="V7" s="43"/>
      <c r="W7" s="43"/>
      <c r="X7" s="43"/>
      <c r="Y7" s="43"/>
      <c r="Z7" s="43"/>
      <c r="AA7" s="43"/>
      <c r="AB7" s="43"/>
      <c r="AC7" s="43"/>
      <c r="AD7" s="43"/>
      <c r="AE7" s="43"/>
      <c r="AF7" s="43"/>
      <c r="AG7" s="43"/>
      <c r="AH7" s="43"/>
    </row>
    <row r="8" spans="2:34" s="64" customFormat="1" x14ac:dyDescent="0.45">
      <c r="B8" s="128" t="s">
        <v>630</v>
      </c>
      <c r="C8" s="43"/>
      <c r="D8" s="43"/>
      <c r="E8" s="43"/>
      <c r="F8" s="43"/>
      <c r="G8" s="43"/>
      <c r="H8" s="43"/>
      <c r="I8" s="43"/>
      <c r="J8" s="43"/>
      <c r="K8" s="56"/>
      <c r="L8" s="43"/>
      <c r="M8" s="43"/>
      <c r="N8" s="43"/>
      <c r="O8" s="43"/>
      <c r="P8" s="43"/>
      <c r="Q8" s="43"/>
      <c r="R8" s="43"/>
      <c r="S8" s="43"/>
      <c r="T8" s="43"/>
      <c r="U8" s="43"/>
      <c r="V8" s="43"/>
      <c r="W8" s="43"/>
      <c r="X8" s="43"/>
      <c r="Y8" s="43"/>
      <c r="Z8" s="43"/>
      <c r="AA8" s="43"/>
      <c r="AB8" s="43"/>
      <c r="AC8" s="43"/>
      <c r="AD8" s="43"/>
      <c r="AE8" s="43"/>
      <c r="AF8" s="43"/>
      <c r="AG8" s="43"/>
      <c r="AH8" s="43"/>
    </row>
    <row r="9" spans="2:34" s="64" customFormat="1" x14ac:dyDescent="0.45">
      <c r="B9" s="128" t="s">
        <v>472</v>
      </c>
      <c r="C9" s="43"/>
      <c r="D9" s="93"/>
      <c r="E9" s="93"/>
      <c r="F9" s="93"/>
      <c r="G9" s="43"/>
      <c r="H9" s="43"/>
      <c r="I9" s="43"/>
      <c r="J9" s="43"/>
      <c r="K9" s="56"/>
      <c r="L9" s="43"/>
      <c r="M9" s="43"/>
      <c r="N9" s="43"/>
      <c r="O9" s="43"/>
      <c r="P9" s="43"/>
      <c r="Q9" s="43"/>
      <c r="R9" s="43"/>
      <c r="S9" s="43"/>
      <c r="T9" s="43"/>
      <c r="U9" s="43"/>
      <c r="V9" s="43"/>
      <c r="W9" s="43"/>
      <c r="X9" s="43"/>
      <c r="Y9" s="43"/>
      <c r="Z9" s="43"/>
      <c r="AA9" s="43"/>
      <c r="AB9" s="43"/>
      <c r="AC9" s="43"/>
      <c r="AD9" s="43"/>
      <c r="AE9" s="43"/>
      <c r="AF9" s="43"/>
      <c r="AG9" s="43"/>
      <c r="AH9" s="43"/>
    </row>
    <row r="10" spans="2:34" s="64" customFormat="1" x14ac:dyDescent="0.45">
      <c r="B10" s="128" t="s">
        <v>473</v>
      </c>
      <c r="C10" s="43"/>
      <c r="D10" s="43"/>
      <c r="E10" s="43"/>
      <c r="F10" s="43"/>
      <c r="G10" s="43"/>
      <c r="H10" s="43"/>
      <c r="I10" s="43"/>
      <c r="J10" s="43"/>
      <c r="K10" s="56"/>
      <c r="L10" s="43"/>
      <c r="M10" s="43"/>
      <c r="N10" s="43"/>
      <c r="O10" s="43"/>
      <c r="P10" s="43"/>
      <c r="Q10" s="43"/>
      <c r="R10" s="43"/>
      <c r="S10" s="43"/>
      <c r="T10" s="43"/>
      <c r="U10" s="43"/>
      <c r="V10" s="43"/>
      <c r="W10" s="43"/>
      <c r="X10" s="43"/>
      <c r="Y10" s="43"/>
      <c r="Z10" s="43"/>
      <c r="AA10" s="43"/>
      <c r="AB10" s="43"/>
      <c r="AC10" s="43"/>
      <c r="AD10" s="43"/>
      <c r="AE10" s="43"/>
      <c r="AF10" s="43"/>
      <c r="AG10" s="43"/>
      <c r="AH10" s="43"/>
    </row>
    <row r="11" spans="2:34" s="64" customFormat="1" x14ac:dyDescent="0.45">
      <c r="B11" s="128" t="s">
        <v>409</v>
      </c>
      <c r="C11" s="43"/>
      <c r="D11" s="43"/>
      <c r="E11" s="43"/>
      <c r="F11" s="43"/>
      <c r="G11" s="43"/>
      <c r="H11" s="43"/>
      <c r="I11" s="43"/>
      <c r="J11" s="43"/>
      <c r="K11" s="56"/>
      <c r="L11" s="43"/>
      <c r="M11" s="43"/>
      <c r="N11" s="43"/>
      <c r="O11" s="43"/>
      <c r="P11" s="43"/>
      <c r="Q11" s="43"/>
      <c r="R11" s="43"/>
      <c r="S11" s="43"/>
      <c r="T11" s="43"/>
      <c r="U11" s="43"/>
      <c r="V11" s="43"/>
      <c r="W11" s="43"/>
      <c r="X11" s="43"/>
      <c r="Y11" s="43"/>
      <c r="Z11" s="43"/>
      <c r="AA11" s="43"/>
      <c r="AB11" s="43"/>
      <c r="AC11" s="43"/>
      <c r="AD11" s="43"/>
      <c r="AE11" s="43"/>
      <c r="AF11" s="43"/>
      <c r="AG11" s="43"/>
      <c r="AH11" s="43"/>
    </row>
    <row r="12" spans="2:34" s="64" customFormat="1" x14ac:dyDescent="0.45">
      <c r="B12" s="128" t="s">
        <v>408</v>
      </c>
      <c r="C12" s="43"/>
      <c r="D12" s="43"/>
      <c r="E12" s="43"/>
      <c r="F12" s="43"/>
      <c r="G12" s="43"/>
      <c r="H12" s="43"/>
      <c r="I12" s="43"/>
      <c r="J12" s="43"/>
      <c r="K12" s="56"/>
      <c r="L12" s="43"/>
      <c r="M12" s="43"/>
      <c r="N12" s="43"/>
      <c r="O12" s="43"/>
      <c r="P12" s="43"/>
      <c r="Q12" s="43"/>
      <c r="R12" s="43"/>
      <c r="S12" s="43"/>
      <c r="T12" s="43"/>
      <c r="U12" s="43"/>
      <c r="V12" s="43"/>
      <c r="W12" s="43"/>
      <c r="X12" s="43"/>
      <c r="Y12" s="43"/>
      <c r="Z12" s="43"/>
      <c r="AA12" s="43"/>
      <c r="AB12" s="43"/>
      <c r="AC12" s="43"/>
      <c r="AD12" s="43"/>
      <c r="AE12" s="43"/>
      <c r="AF12" s="43"/>
      <c r="AG12" s="43"/>
      <c r="AH12" s="43"/>
    </row>
    <row r="13" spans="2:34" s="64" customFormat="1" x14ac:dyDescent="0.45">
      <c r="B13" s="146" t="s">
        <v>407</v>
      </c>
      <c r="C13" s="43"/>
      <c r="D13" s="43"/>
      <c r="E13" s="43"/>
      <c r="F13" s="43"/>
      <c r="G13" s="43"/>
      <c r="H13" s="43"/>
      <c r="I13" s="43"/>
      <c r="J13" s="43"/>
      <c r="K13" s="56"/>
      <c r="L13" s="43"/>
      <c r="M13" s="43"/>
      <c r="N13" s="43"/>
      <c r="O13" s="43"/>
      <c r="P13" s="43"/>
      <c r="Q13" s="43"/>
      <c r="R13" s="43"/>
      <c r="S13" s="43"/>
      <c r="T13" s="43"/>
      <c r="U13" s="43"/>
      <c r="V13" s="43"/>
      <c r="W13" s="43"/>
      <c r="X13" s="43"/>
      <c r="Y13" s="43"/>
      <c r="Z13" s="43"/>
      <c r="AA13" s="43"/>
      <c r="AB13" s="43"/>
      <c r="AC13" s="43"/>
      <c r="AD13" s="43"/>
      <c r="AE13" s="43"/>
      <c r="AF13" s="43"/>
      <c r="AG13" s="43"/>
      <c r="AH13" s="43"/>
    </row>
    <row r="14" spans="2:34" s="23" customFormat="1" x14ac:dyDescent="0.45">
      <c r="B14" s="55"/>
      <c r="C14" s="55"/>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2:34" s="23" customFormat="1" x14ac:dyDescent="0.45">
      <c r="B15" s="95" t="s">
        <v>167</v>
      </c>
      <c r="C15" s="57"/>
      <c r="D15" s="56" t="s">
        <v>633</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2:34" s="23" customFormat="1" x14ac:dyDescent="0.45">
      <c r="B16" s="58"/>
      <c r="C16" s="59"/>
      <c r="D16" s="56" t="s">
        <v>635</v>
      </c>
      <c r="F16" s="56"/>
      <c r="G16" s="56"/>
      <c r="H16" s="56"/>
      <c r="I16" s="56"/>
      <c r="J16" s="56"/>
      <c r="K16" s="60"/>
      <c r="L16" s="56"/>
      <c r="M16" s="56"/>
      <c r="N16" s="60"/>
      <c r="O16" s="60"/>
      <c r="P16" s="60"/>
      <c r="Q16" s="60"/>
      <c r="R16" s="60"/>
      <c r="S16" s="60"/>
      <c r="T16" s="60"/>
      <c r="U16" s="60"/>
      <c r="V16" s="60"/>
      <c r="W16" s="60"/>
      <c r="X16" s="60"/>
      <c r="Y16" s="60"/>
      <c r="Z16" s="60"/>
      <c r="AA16" s="60"/>
      <c r="AB16" s="60"/>
      <c r="AC16" s="60"/>
      <c r="AD16" s="60"/>
      <c r="AE16" s="60"/>
      <c r="AF16" s="60"/>
      <c r="AG16" s="60"/>
      <c r="AH16" s="60"/>
    </row>
    <row r="17" spans="2:67" s="23" customFormat="1" x14ac:dyDescent="0.45">
      <c r="B17" s="58"/>
      <c r="C17" s="61"/>
      <c r="D17" s="52" t="s">
        <v>634</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2:67" s="23" customFormat="1" x14ac:dyDescent="0.45">
      <c r="B18" s="58"/>
      <c r="C18" s="58"/>
      <c r="D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2:67" s="23" customFormat="1" x14ac:dyDescent="0.45">
      <c r="B19" s="58" t="s">
        <v>641</v>
      </c>
      <c r="C19" s="58"/>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2:67" ht="24.75" customHeight="1" thickBot="1" x14ac:dyDescent="0.5">
      <c r="AI20" s="124"/>
    </row>
    <row r="21" spans="2:67" ht="49.5" customHeight="1" thickTop="1" thickBot="1" x14ac:dyDescent="0.5">
      <c r="B21" s="97" t="s">
        <v>189</v>
      </c>
      <c r="C21" s="97"/>
      <c r="D21" s="97"/>
      <c r="E21" s="97"/>
      <c r="F21" s="97"/>
      <c r="G21" s="361" t="s">
        <v>257</v>
      </c>
      <c r="H21" s="362"/>
      <c r="I21" s="358" t="str">
        <f>IF(SUM($E40:$BL40)=120,"「換気設備導入前後の比較表」を入力してください",IF(I42="入力確認","「換気設備導入前後の比較表」の入力をご確認ください。",IF(SUM(E41:BL41)=0,"必要換気量に係る要件を満たしています。","必要換気量に係る要件を満たしていないため、申請できません。")))</f>
        <v>必要換気量に係る要件を満たしています。</v>
      </c>
      <c r="J21" s="359"/>
      <c r="K21" s="359"/>
      <c r="L21" s="359"/>
      <c r="M21" s="359"/>
      <c r="N21" s="359"/>
      <c r="O21" s="359"/>
      <c r="P21" s="359"/>
      <c r="Q21" s="360"/>
    </row>
    <row r="22" spans="2:67" ht="24.75" customHeight="1" thickTop="1" x14ac:dyDescent="0.5">
      <c r="B22" s="96"/>
      <c r="C22" s="96"/>
      <c r="D22" s="96"/>
      <c r="E22" s="96"/>
      <c r="F22" s="96"/>
      <c r="G22" s="96"/>
      <c r="H22" s="96"/>
      <c r="I22" s="96"/>
      <c r="J22" s="96"/>
      <c r="K22" s="96"/>
      <c r="L22" s="96"/>
      <c r="M22" s="96"/>
      <c r="N22" s="121"/>
      <c r="O22" s="145"/>
      <c r="P22" s="145"/>
      <c r="Q22" s="145"/>
      <c r="R22" s="145"/>
      <c r="S22" s="145"/>
      <c r="T22" s="145"/>
      <c r="U22" s="145"/>
      <c r="V22" s="145"/>
      <c r="W22" s="145"/>
      <c r="X22" s="145"/>
      <c r="Y22" s="145"/>
      <c r="Z22" s="145"/>
      <c r="AA22" s="145"/>
      <c r="AB22" s="145"/>
      <c r="AC22" s="145"/>
      <c r="AD22" s="145"/>
      <c r="AE22" s="145"/>
      <c r="AF22" s="145"/>
      <c r="AG22" s="145"/>
      <c r="AH22" s="145"/>
    </row>
    <row r="23" spans="2:67" ht="42" customHeight="1" x14ac:dyDescent="0.45">
      <c r="B23" s="367" t="s">
        <v>125</v>
      </c>
      <c r="C23" s="367"/>
      <c r="D23" s="367"/>
      <c r="E23" s="144" t="s">
        <v>315</v>
      </c>
      <c r="F23" s="144" t="s">
        <v>316</v>
      </c>
      <c r="G23" s="144" t="s">
        <v>317</v>
      </c>
      <c r="H23" s="144" t="s">
        <v>318</v>
      </c>
      <c r="I23" s="144" t="s">
        <v>319</v>
      </c>
      <c r="J23" s="144" t="s">
        <v>320</v>
      </c>
      <c r="K23" s="144" t="s">
        <v>321</v>
      </c>
      <c r="L23" s="144" t="s">
        <v>322</v>
      </c>
      <c r="M23" s="144" t="s">
        <v>323</v>
      </c>
      <c r="N23" s="144" t="s">
        <v>324</v>
      </c>
      <c r="O23" s="144" t="s">
        <v>325</v>
      </c>
      <c r="P23" s="144" t="s">
        <v>326</v>
      </c>
      <c r="Q23" s="144" t="s">
        <v>327</v>
      </c>
      <c r="R23" s="144" t="s">
        <v>328</v>
      </c>
      <c r="S23" s="144" t="s">
        <v>329</v>
      </c>
      <c r="T23" s="144" t="s">
        <v>330</v>
      </c>
      <c r="U23" s="144" t="s">
        <v>331</v>
      </c>
      <c r="V23" s="144" t="s">
        <v>332</v>
      </c>
      <c r="W23" s="144" t="s">
        <v>333</v>
      </c>
      <c r="X23" s="144" t="s">
        <v>334</v>
      </c>
      <c r="Y23" s="144" t="s">
        <v>335</v>
      </c>
      <c r="Z23" s="144" t="s">
        <v>336</v>
      </c>
      <c r="AA23" s="144" t="s">
        <v>337</v>
      </c>
      <c r="AB23" s="144" t="s">
        <v>338</v>
      </c>
      <c r="AC23" s="144" t="s">
        <v>339</v>
      </c>
      <c r="AD23" s="144" t="s">
        <v>340</v>
      </c>
      <c r="AE23" s="144" t="s">
        <v>341</v>
      </c>
      <c r="AF23" s="144" t="s">
        <v>342</v>
      </c>
      <c r="AG23" s="144" t="s">
        <v>343</v>
      </c>
      <c r="AH23" s="144" t="s">
        <v>344</v>
      </c>
      <c r="AI23" s="144" t="s">
        <v>387</v>
      </c>
      <c r="AJ23" s="144" t="s">
        <v>388</v>
      </c>
      <c r="AK23" s="144" t="s">
        <v>389</v>
      </c>
      <c r="AL23" s="144" t="s">
        <v>390</v>
      </c>
      <c r="AM23" s="144" t="s">
        <v>391</v>
      </c>
      <c r="AN23" s="144" t="s">
        <v>392</v>
      </c>
      <c r="AO23" s="144" t="s">
        <v>393</v>
      </c>
      <c r="AP23" s="144" t="s">
        <v>394</v>
      </c>
      <c r="AQ23" s="144" t="s">
        <v>395</v>
      </c>
      <c r="AR23" s="144" t="s">
        <v>396</v>
      </c>
      <c r="AS23" s="144" t="s">
        <v>397</v>
      </c>
      <c r="AT23" s="144" t="s">
        <v>398</v>
      </c>
      <c r="AU23" s="144" t="s">
        <v>399</v>
      </c>
      <c r="AV23" s="144" t="s">
        <v>400</v>
      </c>
      <c r="AW23" s="144" t="s">
        <v>401</v>
      </c>
      <c r="AX23" s="144" t="s">
        <v>402</v>
      </c>
      <c r="AY23" s="144" t="s">
        <v>403</v>
      </c>
      <c r="AZ23" s="144" t="s">
        <v>404</v>
      </c>
      <c r="BA23" s="144" t="s">
        <v>405</v>
      </c>
      <c r="BB23" s="144" t="s">
        <v>406</v>
      </c>
      <c r="BC23" s="144" t="s">
        <v>418</v>
      </c>
      <c r="BD23" s="144" t="s">
        <v>419</v>
      </c>
      <c r="BE23" s="144" t="s">
        <v>420</v>
      </c>
      <c r="BF23" s="144" t="s">
        <v>421</v>
      </c>
      <c r="BG23" s="144" t="s">
        <v>422</v>
      </c>
      <c r="BH23" s="144" t="s">
        <v>423</v>
      </c>
      <c r="BI23" s="144" t="s">
        <v>424</v>
      </c>
      <c r="BJ23" s="144" t="s">
        <v>425</v>
      </c>
      <c r="BK23" s="144" t="s">
        <v>426</v>
      </c>
      <c r="BL23" s="144" t="s">
        <v>427</v>
      </c>
      <c r="BO23" s="50"/>
    </row>
    <row r="24" spans="2:67" ht="58.5" customHeight="1" x14ac:dyDescent="0.45">
      <c r="B24" s="367" t="s">
        <v>126</v>
      </c>
      <c r="C24" s="367"/>
      <c r="D24" s="367"/>
      <c r="E24" s="101" t="s">
        <v>90</v>
      </c>
      <c r="F24" s="101" t="s">
        <v>90</v>
      </c>
      <c r="G24" s="101" t="s">
        <v>90</v>
      </c>
      <c r="H24" s="101" t="s">
        <v>100</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N24" s="128"/>
      <c r="BO24" s="50"/>
    </row>
    <row r="25" spans="2:67" ht="49.5" customHeight="1" x14ac:dyDescent="0.45">
      <c r="B25" s="368" t="s">
        <v>130</v>
      </c>
      <c r="C25" s="368"/>
      <c r="D25" s="368"/>
      <c r="E25" s="102">
        <v>50.2</v>
      </c>
      <c r="F25" s="102">
        <v>50.2</v>
      </c>
      <c r="G25" s="102">
        <v>100</v>
      </c>
      <c r="H25" s="102">
        <v>120.5</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O25" s="50"/>
    </row>
    <row r="26" spans="2:67" ht="49.5" customHeight="1" x14ac:dyDescent="0.45">
      <c r="B26" s="368" t="s">
        <v>133</v>
      </c>
      <c r="C26" s="368"/>
      <c r="D26" s="368"/>
      <c r="E26" s="102">
        <v>2.5</v>
      </c>
      <c r="F26" s="102">
        <v>2.5</v>
      </c>
      <c r="G26" s="102">
        <v>2.5</v>
      </c>
      <c r="H26" s="102">
        <v>3.2</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O26" s="50"/>
    </row>
    <row r="27" spans="2:67" ht="49.5" customHeight="1" x14ac:dyDescent="0.45">
      <c r="B27" s="368" t="s">
        <v>173</v>
      </c>
      <c r="C27" s="368"/>
      <c r="D27" s="368"/>
      <c r="E27" s="103" t="s">
        <v>129</v>
      </c>
      <c r="F27" s="103" t="s">
        <v>132</v>
      </c>
      <c r="G27" s="103" t="s">
        <v>129</v>
      </c>
      <c r="H27" s="103" t="s">
        <v>132</v>
      </c>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N27" s="128"/>
      <c r="BO27" s="50"/>
    </row>
    <row r="28" spans="2:67" ht="49.5" customHeight="1" x14ac:dyDescent="0.45">
      <c r="B28" s="365" t="s">
        <v>345</v>
      </c>
      <c r="C28" s="368" t="s">
        <v>136</v>
      </c>
      <c r="D28" s="368"/>
      <c r="E28" s="104">
        <v>15</v>
      </c>
      <c r="F28" s="104">
        <v>10</v>
      </c>
      <c r="G28" s="104">
        <v>20</v>
      </c>
      <c r="H28" s="104">
        <v>20</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O28" s="50"/>
    </row>
    <row r="29" spans="2:67" ht="49.5" customHeight="1" thickBot="1" x14ac:dyDescent="0.5">
      <c r="B29" s="366"/>
      <c r="C29" s="368" t="s">
        <v>168</v>
      </c>
      <c r="D29" s="368"/>
      <c r="E29" s="247">
        <v>15</v>
      </c>
      <c r="F29" s="247">
        <v>10</v>
      </c>
      <c r="G29" s="247">
        <v>20</v>
      </c>
      <c r="H29" s="247">
        <v>20</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O29" s="50"/>
    </row>
    <row r="30" spans="2:67" ht="49.5" customHeight="1" thickTop="1" x14ac:dyDescent="0.45">
      <c r="B30" s="365" t="s">
        <v>174</v>
      </c>
      <c r="C30" s="368" t="s">
        <v>136</v>
      </c>
      <c r="D30" s="363"/>
      <c r="E30" s="252">
        <v>500</v>
      </c>
      <c r="F30" s="253">
        <v>0</v>
      </c>
      <c r="G30" s="253">
        <v>800</v>
      </c>
      <c r="H30" s="254">
        <v>0</v>
      </c>
      <c r="I30" s="245"/>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O30" s="50"/>
    </row>
    <row r="31" spans="2:67" ht="49.5" customHeight="1" thickBot="1" x14ac:dyDescent="0.5">
      <c r="B31" s="366"/>
      <c r="C31" s="368" t="s">
        <v>168</v>
      </c>
      <c r="D31" s="363"/>
      <c r="E31" s="255">
        <v>1200</v>
      </c>
      <c r="F31" s="256">
        <v>600</v>
      </c>
      <c r="G31" s="256">
        <v>1000</v>
      </c>
      <c r="H31" s="257">
        <v>1000</v>
      </c>
      <c r="I31" s="245"/>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O31" s="50"/>
    </row>
    <row r="32" spans="2:67" ht="49.5" customHeight="1" thickTop="1" x14ac:dyDescent="0.45">
      <c r="B32" s="365" t="s">
        <v>140</v>
      </c>
      <c r="C32" s="368" t="s">
        <v>136</v>
      </c>
      <c r="D32" s="368"/>
      <c r="E32" s="251">
        <f>IF(E40&lt;&gt;0,"",IF(E27="自然換気",0,IF(ISERROR(E30/E28),"入力確認",E30/E28)))</f>
        <v>33.333333333333336</v>
      </c>
      <c r="F32" s="251">
        <f t="shared" ref="F32:BL32" si="0">IF(F40&lt;&gt;0,"",IF(F27="自然換気",0,IF(ISERROR(F30/F28),"入力確認",F30/F28)))</f>
        <v>0</v>
      </c>
      <c r="G32" s="251">
        <f t="shared" si="0"/>
        <v>40</v>
      </c>
      <c r="H32" s="251">
        <f t="shared" si="0"/>
        <v>0</v>
      </c>
      <c r="I32" s="207" t="str">
        <f t="shared" si="0"/>
        <v/>
      </c>
      <c r="J32" s="207" t="str">
        <f t="shared" si="0"/>
        <v/>
      </c>
      <c r="K32" s="207" t="str">
        <f t="shared" si="0"/>
        <v/>
      </c>
      <c r="L32" s="207" t="str">
        <f t="shared" si="0"/>
        <v/>
      </c>
      <c r="M32" s="207" t="str">
        <f t="shared" si="0"/>
        <v/>
      </c>
      <c r="N32" s="207" t="str">
        <f t="shared" si="0"/>
        <v/>
      </c>
      <c r="O32" s="207" t="str">
        <f t="shared" si="0"/>
        <v/>
      </c>
      <c r="P32" s="207" t="str">
        <f t="shared" si="0"/>
        <v/>
      </c>
      <c r="Q32" s="207" t="str">
        <f t="shared" si="0"/>
        <v/>
      </c>
      <c r="R32" s="207" t="str">
        <f t="shared" si="0"/>
        <v/>
      </c>
      <c r="S32" s="207" t="str">
        <f t="shared" si="0"/>
        <v/>
      </c>
      <c r="T32" s="207" t="str">
        <f t="shared" si="0"/>
        <v/>
      </c>
      <c r="U32" s="207" t="str">
        <f t="shared" si="0"/>
        <v/>
      </c>
      <c r="V32" s="207" t="str">
        <f t="shared" si="0"/>
        <v/>
      </c>
      <c r="W32" s="207" t="str">
        <f t="shared" si="0"/>
        <v/>
      </c>
      <c r="X32" s="207" t="str">
        <f t="shared" si="0"/>
        <v/>
      </c>
      <c r="Y32" s="207" t="str">
        <f t="shared" si="0"/>
        <v/>
      </c>
      <c r="Z32" s="207" t="str">
        <f t="shared" si="0"/>
        <v/>
      </c>
      <c r="AA32" s="207" t="str">
        <f t="shared" si="0"/>
        <v/>
      </c>
      <c r="AB32" s="207" t="str">
        <f t="shared" si="0"/>
        <v/>
      </c>
      <c r="AC32" s="207" t="str">
        <f t="shared" si="0"/>
        <v/>
      </c>
      <c r="AD32" s="207" t="str">
        <f t="shared" si="0"/>
        <v/>
      </c>
      <c r="AE32" s="207" t="str">
        <f t="shared" si="0"/>
        <v/>
      </c>
      <c r="AF32" s="207" t="str">
        <f t="shared" si="0"/>
        <v/>
      </c>
      <c r="AG32" s="207" t="str">
        <f t="shared" si="0"/>
        <v/>
      </c>
      <c r="AH32" s="207" t="str">
        <f t="shared" si="0"/>
        <v/>
      </c>
      <c r="AI32" s="207" t="str">
        <f t="shared" si="0"/>
        <v/>
      </c>
      <c r="AJ32" s="207" t="str">
        <f t="shared" si="0"/>
        <v/>
      </c>
      <c r="AK32" s="207" t="str">
        <f t="shared" si="0"/>
        <v/>
      </c>
      <c r="AL32" s="207" t="str">
        <f t="shared" si="0"/>
        <v/>
      </c>
      <c r="AM32" s="207" t="str">
        <f t="shared" si="0"/>
        <v/>
      </c>
      <c r="AN32" s="207" t="str">
        <f t="shared" si="0"/>
        <v/>
      </c>
      <c r="AO32" s="207" t="str">
        <f t="shared" si="0"/>
        <v/>
      </c>
      <c r="AP32" s="207" t="str">
        <f t="shared" si="0"/>
        <v/>
      </c>
      <c r="AQ32" s="207" t="str">
        <f t="shared" si="0"/>
        <v/>
      </c>
      <c r="AR32" s="207" t="str">
        <f t="shared" si="0"/>
        <v/>
      </c>
      <c r="AS32" s="207" t="str">
        <f t="shared" si="0"/>
        <v/>
      </c>
      <c r="AT32" s="207" t="str">
        <f t="shared" si="0"/>
        <v/>
      </c>
      <c r="AU32" s="207" t="str">
        <f t="shared" si="0"/>
        <v/>
      </c>
      <c r="AV32" s="207" t="str">
        <f t="shared" si="0"/>
        <v/>
      </c>
      <c r="AW32" s="207" t="str">
        <f t="shared" si="0"/>
        <v/>
      </c>
      <c r="AX32" s="207" t="str">
        <f t="shared" si="0"/>
        <v/>
      </c>
      <c r="AY32" s="207" t="str">
        <f t="shared" si="0"/>
        <v/>
      </c>
      <c r="AZ32" s="207" t="str">
        <f t="shared" si="0"/>
        <v/>
      </c>
      <c r="BA32" s="207" t="str">
        <f t="shared" si="0"/>
        <v/>
      </c>
      <c r="BB32" s="207" t="str">
        <f t="shared" si="0"/>
        <v/>
      </c>
      <c r="BC32" s="207" t="str">
        <f t="shared" si="0"/>
        <v/>
      </c>
      <c r="BD32" s="207" t="str">
        <f t="shared" si="0"/>
        <v/>
      </c>
      <c r="BE32" s="207" t="str">
        <f t="shared" si="0"/>
        <v/>
      </c>
      <c r="BF32" s="207" t="str">
        <f t="shared" si="0"/>
        <v/>
      </c>
      <c r="BG32" s="207" t="str">
        <f t="shared" si="0"/>
        <v/>
      </c>
      <c r="BH32" s="207" t="str">
        <f t="shared" si="0"/>
        <v/>
      </c>
      <c r="BI32" s="207" t="str">
        <f t="shared" si="0"/>
        <v/>
      </c>
      <c r="BJ32" s="207" t="str">
        <f t="shared" si="0"/>
        <v/>
      </c>
      <c r="BK32" s="207" t="str">
        <f t="shared" si="0"/>
        <v/>
      </c>
      <c r="BL32" s="207" t="str">
        <f t="shared" si="0"/>
        <v/>
      </c>
      <c r="BO32" s="50"/>
    </row>
    <row r="33" spans="2:67" ht="49.5" customHeight="1" thickBot="1" x14ac:dyDescent="0.5">
      <c r="B33" s="366"/>
      <c r="C33" s="368" t="s">
        <v>168</v>
      </c>
      <c r="D33" s="368"/>
      <c r="E33" s="259">
        <f>IF(E40&lt;&gt;0,"",IF(ISERROR(E31/E29),"入力確認",E31/E29))</f>
        <v>80</v>
      </c>
      <c r="F33" s="259">
        <f t="shared" ref="F33:BL33" si="1">IF(F40&lt;&gt;0,"",IF(ISERROR(F31/F29),"入力確認",F31/F29))</f>
        <v>60</v>
      </c>
      <c r="G33" s="259">
        <f t="shared" si="1"/>
        <v>50</v>
      </c>
      <c r="H33" s="259">
        <f t="shared" si="1"/>
        <v>50</v>
      </c>
      <c r="I33" s="207" t="str">
        <f t="shared" si="1"/>
        <v/>
      </c>
      <c r="J33" s="207" t="str">
        <f t="shared" si="1"/>
        <v/>
      </c>
      <c r="K33" s="207" t="str">
        <f t="shared" si="1"/>
        <v/>
      </c>
      <c r="L33" s="207" t="str">
        <f t="shared" si="1"/>
        <v/>
      </c>
      <c r="M33" s="207" t="str">
        <f>IF(M40&lt;&gt;0,"",IF(ISERROR(M31/M29),"入力確認",M31/M29))</f>
        <v/>
      </c>
      <c r="N33" s="207" t="str">
        <f t="shared" si="1"/>
        <v/>
      </c>
      <c r="O33" s="207" t="str">
        <f t="shared" si="1"/>
        <v/>
      </c>
      <c r="P33" s="207" t="str">
        <f t="shared" si="1"/>
        <v/>
      </c>
      <c r="Q33" s="207" t="str">
        <f t="shared" si="1"/>
        <v/>
      </c>
      <c r="R33" s="207" t="str">
        <f t="shared" si="1"/>
        <v/>
      </c>
      <c r="S33" s="207" t="str">
        <f t="shared" si="1"/>
        <v/>
      </c>
      <c r="T33" s="207" t="str">
        <f t="shared" si="1"/>
        <v/>
      </c>
      <c r="U33" s="207" t="str">
        <f t="shared" si="1"/>
        <v/>
      </c>
      <c r="V33" s="207" t="str">
        <f t="shared" si="1"/>
        <v/>
      </c>
      <c r="W33" s="207" t="str">
        <f t="shared" si="1"/>
        <v/>
      </c>
      <c r="X33" s="207" t="str">
        <f t="shared" si="1"/>
        <v/>
      </c>
      <c r="Y33" s="207" t="str">
        <f t="shared" si="1"/>
        <v/>
      </c>
      <c r="Z33" s="207" t="str">
        <f t="shared" si="1"/>
        <v/>
      </c>
      <c r="AA33" s="207" t="str">
        <f t="shared" si="1"/>
        <v/>
      </c>
      <c r="AB33" s="207" t="str">
        <f t="shared" si="1"/>
        <v/>
      </c>
      <c r="AC33" s="207" t="str">
        <f t="shared" si="1"/>
        <v/>
      </c>
      <c r="AD33" s="207" t="str">
        <f t="shared" si="1"/>
        <v/>
      </c>
      <c r="AE33" s="207" t="str">
        <f t="shared" si="1"/>
        <v/>
      </c>
      <c r="AF33" s="207" t="str">
        <f t="shared" si="1"/>
        <v/>
      </c>
      <c r="AG33" s="207" t="str">
        <f t="shared" si="1"/>
        <v/>
      </c>
      <c r="AH33" s="207" t="str">
        <f t="shared" si="1"/>
        <v/>
      </c>
      <c r="AI33" s="207" t="str">
        <f t="shared" si="1"/>
        <v/>
      </c>
      <c r="AJ33" s="207" t="str">
        <f t="shared" si="1"/>
        <v/>
      </c>
      <c r="AK33" s="207" t="str">
        <f t="shared" si="1"/>
        <v/>
      </c>
      <c r="AL33" s="207" t="str">
        <f t="shared" si="1"/>
        <v/>
      </c>
      <c r="AM33" s="207" t="str">
        <f t="shared" si="1"/>
        <v/>
      </c>
      <c r="AN33" s="207" t="str">
        <f t="shared" si="1"/>
        <v/>
      </c>
      <c r="AO33" s="207" t="str">
        <f t="shared" si="1"/>
        <v/>
      </c>
      <c r="AP33" s="207" t="str">
        <f t="shared" si="1"/>
        <v/>
      </c>
      <c r="AQ33" s="207" t="str">
        <f t="shared" si="1"/>
        <v/>
      </c>
      <c r="AR33" s="207" t="str">
        <f t="shared" si="1"/>
        <v/>
      </c>
      <c r="AS33" s="207" t="str">
        <f t="shared" si="1"/>
        <v/>
      </c>
      <c r="AT33" s="207" t="str">
        <f t="shared" si="1"/>
        <v/>
      </c>
      <c r="AU33" s="207" t="str">
        <f t="shared" si="1"/>
        <v/>
      </c>
      <c r="AV33" s="207" t="str">
        <f t="shared" si="1"/>
        <v/>
      </c>
      <c r="AW33" s="207" t="str">
        <f t="shared" si="1"/>
        <v/>
      </c>
      <c r="AX33" s="207" t="str">
        <f t="shared" si="1"/>
        <v/>
      </c>
      <c r="AY33" s="207" t="str">
        <f t="shared" si="1"/>
        <v/>
      </c>
      <c r="AZ33" s="207" t="str">
        <f t="shared" si="1"/>
        <v/>
      </c>
      <c r="BA33" s="207" t="str">
        <f t="shared" si="1"/>
        <v/>
      </c>
      <c r="BB33" s="207" t="str">
        <f t="shared" si="1"/>
        <v/>
      </c>
      <c r="BC33" s="207" t="str">
        <f t="shared" si="1"/>
        <v/>
      </c>
      <c r="BD33" s="207" t="str">
        <f t="shared" si="1"/>
        <v/>
      </c>
      <c r="BE33" s="207" t="str">
        <f t="shared" si="1"/>
        <v/>
      </c>
      <c r="BF33" s="207" t="str">
        <f t="shared" si="1"/>
        <v/>
      </c>
      <c r="BG33" s="207" t="str">
        <f t="shared" si="1"/>
        <v/>
      </c>
      <c r="BH33" s="207" t="str">
        <f t="shared" si="1"/>
        <v/>
      </c>
      <c r="BI33" s="207" t="str">
        <f t="shared" si="1"/>
        <v/>
      </c>
      <c r="BJ33" s="207" t="str">
        <f t="shared" si="1"/>
        <v/>
      </c>
      <c r="BK33" s="207" t="str">
        <f t="shared" si="1"/>
        <v/>
      </c>
      <c r="BL33" s="207" t="str">
        <f t="shared" si="1"/>
        <v/>
      </c>
      <c r="BO33" s="50"/>
    </row>
    <row r="34" spans="2:67" ht="49.5" customHeight="1" thickTop="1" x14ac:dyDescent="0.45">
      <c r="B34" s="363" t="s">
        <v>206</v>
      </c>
      <c r="C34" s="364"/>
      <c r="D34" s="364"/>
      <c r="E34" s="260" t="str">
        <f>IF(E40&lt;&gt;0,"",IF((E31-E30)&lt;0,"不適合","適合"))</f>
        <v>適合</v>
      </c>
      <c r="F34" s="261" t="str">
        <f t="shared" ref="F34:BL34" si="2">IF(F40&lt;&gt;0,"",IF((F31-F30)&lt;0,"不適合","適合"))</f>
        <v>適合</v>
      </c>
      <c r="G34" s="261" t="str">
        <f t="shared" si="2"/>
        <v>適合</v>
      </c>
      <c r="H34" s="262" t="str">
        <f t="shared" si="2"/>
        <v>適合</v>
      </c>
      <c r="I34" s="258" t="str">
        <f t="shared" si="2"/>
        <v/>
      </c>
      <c r="J34" s="98" t="str">
        <f t="shared" si="2"/>
        <v/>
      </c>
      <c r="K34" s="98" t="str">
        <f t="shared" si="2"/>
        <v/>
      </c>
      <c r="L34" s="98" t="str">
        <f t="shared" si="2"/>
        <v/>
      </c>
      <c r="M34" s="98" t="str">
        <f t="shared" si="2"/>
        <v/>
      </c>
      <c r="N34" s="98" t="str">
        <f t="shared" si="2"/>
        <v/>
      </c>
      <c r="O34" s="98" t="str">
        <f t="shared" si="2"/>
        <v/>
      </c>
      <c r="P34" s="98" t="str">
        <f t="shared" si="2"/>
        <v/>
      </c>
      <c r="Q34" s="98" t="str">
        <f t="shared" si="2"/>
        <v/>
      </c>
      <c r="R34" s="98" t="str">
        <f t="shared" si="2"/>
        <v/>
      </c>
      <c r="S34" s="98" t="str">
        <f t="shared" si="2"/>
        <v/>
      </c>
      <c r="T34" s="98" t="str">
        <f t="shared" si="2"/>
        <v/>
      </c>
      <c r="U34" s="98" t="str">
        <f t="shared" si="2"/>
        <v/>
      </c>
      <c r="V34" s="98" t="str">
        <f t="shared" si="2"/>
        <v/>
      </c>
      <c r="W34" s="98" t="str">
        <f t="shared" si="2"/>
        <v/>
      </c>
      <c r="X34" s="98" t="str">
        <f t="shared" si="2"/>
        <v/>
      </c>
      <c r="Y34" s="98" t="str">
        <f t="shared" si="2"/>
        <v/>
      </c>
      <c r="Z34" s="98" t="str">
        <f t="shared" si="2"/>
        <v/>
      </c>
      <c r="AA34" s="98" t="str">
        <f t="shared" si="2"/>
        <v/>
      </c>
      <c r="AB34" s="98" t="str">
        <f t="shared" si="2"/>
        <v/>
      </c>
      <c r="AC34" s="98" t="str">
        <f t="shared" si="2"/>
        <v/>
      </c>
      <c r="AD34" s="98" t="str">
        <f t="shared" si="2"/>
        <v/>
      </c>
      <c r="AE34" s="98" t="str">
        <f t="shared" si="2"/>
        <v/>
      </c>
      <c r="AF34" s="98" t="str">
        <f t="shared" si="2"/>
        <v/>
      </c>
      <c r="AG34" s="98" t="str">
        <f t="shared" si="2"/>
        <v/>
      </c>
      <c r="AH34" s="98" t="str">
        <f t="shared" si="2"/>
        <v/>
      </c>
      <c r="AI34" s="98" t="str">
        <f t="shared" si="2"/>
        <v/>
      </c>
      <c r="AJ34" s="98" t="str">
        <f t="shared" si="2"/>
        <v/>
      </c>
      <c r="AK34" s="98" t="str">
        <f t="shared" si="2"/>
        <v/>
      </c>
      <c r="AL34" s="98" t="str">
        <f t="shared" si="2"/>
        <v/>
      </c>
      <c r="AM34" s="98" t="str">
        <f t="shared" si="2"/>
        <v/>
      </c>
      <c r="AN34" s="98" t="str">
        <f t="shared" si="2"/>
        <v/>
      </c>
      <c r="AO34" s="98" t="str">
        <f t="shared" si="2"/>
        <v/>
      </c>
      <c r="AP34" s="98" t="str">
        <f t="shared" si="2"/>
        <v/>
      </c>
      <c r="AQ34" s="98" t="str">
        <f t="shared" si="2"/>
        <v/>
      </c>
      <c r="AR34" s="98" t="str">
        <f t="shared" si="2"/>
        <v/>
      </c>
      <c r="AS34" s="98" t="str">
        <f t="shared" si="2"/>
        <v/>
      </c>
      <c r="AT34" s="98" t="str">
        <f t="shared" si="2"/>
        <v/>
      </c>
      <c r="AU34" s="98" t="str">
        <f t="shared" si="2"/>
        <v/>
      </c>
      <c r="AV34" s="98" t="str">
        <f t="shared" si="2"/>
        <v/>
      </c>
      <c r="AW34" s="98" t="str">
        <f t="shared" si="2"/>
        <v/>
      </c>
      <c r="AX34" s="98" t="str">
        <f t="shared" si="2"/>
        <v/>
      </c>
      <c r="AY34" s="98" t="str">
        <f t="shared" si="2"/>
        <v/>
      </c>
      <c r="AZ34" s="98" t="str">
        <f t="shared" si="2"/>
        <v/>
      </c>
      <c r="BA34" s="98" t="str">
        <f t="shared" si="2"/>
        <v/>
      </c>
      <c r="BB34" s="98" t="str">
        <f t="shared" si="2"/>
        <v/>
      </c>
      <c r="BC34" s="98" t="str">
        <f t="shared" si="2"/>
        <v/>
      </c>
      <c r="BD34" s="98" t="str">
        <f t="shared" si="2"/>
        <v/>
      </c>
      <c r="BE34" s="98" t="str">
        <f t="shared" si="2"/>
        <v/>
      </c>
      <c r="BF34" s="98" t="str">
        <f t="shared" si="2"/>
        <v/>
      </c>
      <c r="BG34" s="98" t="str">
        <f t="shared" si="2"/>
        <v/>
      </c>
      <c r="BH34" s="98" t="str">
        <f t="shared" si="2"/>
        <v/>
      </c>
      <c r="BI34" s="98" t="str">
        <f t="shared" si="2"/>
        <v/>
      </c>
      <c r="BJ34" s="98" t="str">
        <f t="shared" si="2"/>
        <v/>
      </c>
      <c r="BK34" s="98" t="str">
        <f t="shared" si="2"/>
        <v/>
      </c>
      <c r="BL34" s="98" t="str">
        <f t="shared" si="2"/>
        <v/>
      </c>
      <c r="BO34" s="50"/>
    </row>
    <row r="35" spans="2:67" ht="49.5" customHeight="1" thickBot="1" x14ac:dyDescent="0.5">
      <c r="B35" s="363" t="s">
        <v>207</v>
      </c>
      <c r="C35" s="364"/>
      <c r="D35" s="364"/>
      <c r="E35" s="263" t="str">
        <f>IF(E40&lt;&gt;0,"",IF(ISERROR(AND((E33-E32)&gt;=0,E33&gt;=30)),"不適合",IF(AND((E33-E32)&gt;=0,E33&gt;=30),"適合","不適合")))</f>
        <v>適合</v>
      </c>
      <c r="F35" s="264" t="str">
        <f t="shared" ref="F35:BL35" si="3">IF(F40&lt;&gt;0,"",IF(ISERROR(AND((F33-F32)&gt;=0,F33&gt;=30)),"不適合",IF(AND((F33-F32)&gt;=0,F33&gt;=30),"適合","不適合")))</f>
        <v>適合</v>
      </c>
      <c r="G35" s="264" t="str">
        <f t="shared" si="3"/>
        <v>適合</v>
      </c>
      <c r="H35" s="265" t="str">
        <f t="shared" si="3"/>
        <v>適合</v>
      </c>
      <c r="I35" s="258" t="str">
        <f t="shared" si="3"/>
        <v/>
      </c>
      <c r="J35" s="98" t="str">
        <f t="shared" si="3"/>
        <v/>
      </c>
      <c r="K35" s="98" t="str">
        <f t="shared" si="3"/>
        <v/>
      </c>
      <c r="L35" s="98" t="str">
        <f t="shared" si="3"/>
        <v/>
      </c>
      <c r="M35" s="98" t="str">
        <f>IF(M40&lt;&gt;0,"",IF(ISERROR(AND((M33-M32)&gt;=0,M33&gt;=30)),"不適合",IF(AND((M33-M32)&gt;=0,M33&gt;=30),"適合","不適合")))</f>
        <v/>
      </c>
      <c r="N35" s="98" t="str">
        <f t="shared" si="3"/>
        <v/>
      </c>
      <c r="O35" s="98" t="str">
        <f t="shared" si="3"/>
        <v/>
      </c>
      <c r="P35" s="98" t="str">
        <f t="shared" si="3"/>
        <v/>
      </c>
      <c r="Q35" s="98" t="str">
        <f t="shared" si="3"/>
        <v/>
      </c>
      <c r="R35" s="98" t="str">
        <f t="shared" si="3"/>
        <v/>
      </c>
      <c r="S35" s="98" t="str">
        <f t="shared" si="3"/>
        <v/>
      </c>
      <c r="T35" s="98" t="str">
        <f t="shared" si="3"/>
        <v/>
      </c>
      <c r="U35" s="98" t="str">
        <f t="shared" si="3"/>
        <v/>
      </c>
      <c r="V35" s="98" t="str">
        <f t="shared" si="3"/>
        <v/>
      </c>
      <c r="W35" s="98" t="str">
        <f t="shared" si="3"/>
        <v/>
      </c>
      <c r="X35" s="98" t="str">
        <f t="shared" si="3"/>
        <v/>
      </c>
      <c r="Y35" s="98" t="str">
        <f t="shared" si="3"/>
        <v/>
      </c>
      <c r="Z35" s="98" t="str">
        <f t="shared" si="3"/>
        <v/>
      </c>
      <c r="AA35" s="98" t="str">
        <f t="shared" si="3"/>
        <v/>
      </c>
      <c r="AB35" s="98" t="str">
        <f t="shared" si="3"/>
        <v/>
      </c>
      <c r="AC35" s="98" t="str">
        <f t="shared" si="3"/>
        <v/>
      </c>
      <c r="AD35" s="98" t="str">
        <f t="shared" si="3"/>
        <v/>
      </c>
      <c r="AE35" s="98" t="str">
        <f t="shared" si="3"/>
        <v/>
      </c>
      <c r="AF35" s="98" t="str">
        <f t="shared" si="3"/>
        <v/>
      </c>
      <c r="AG35" s="98" t="str">
        <f t="shared" si="3"/>
        <v/>
      </c>
      <c r="AH35" s="98" t="str">
        <f t="shared" si="3"/>
        <v/>
      </c>
      <c r="AI35" s="98" t="str">
        <f t="shared" si="3"/>
        <v/>
      </c>
      <c r="AJ35" s="98" t="str">
        <f t="shared" si="3"/>
        <v/>
      </c>
      <c r="AK35" s="98" t="str">
        <f t="shared" si="3"/>
        <v/>
      </c>
      <c r="AL35" s="98" t="str">
        <f t="shared" si="3"/>
        <v/>
      </c>
      <c r="AM35" s="98" t="str">
        <f t="shared" si="3"/>
        <v/>
      </c>
      <c r="AN35" s="98" t="str">
        <f t="shared" si="3"/>
        <v/>
      </c>
      <c r="AO35" s="98" t="str">
        <f t="shared" si="3"/>
        <v/>
      </c>
      <c r="AP35" s="98" t="str">
        <f t="shared" si="3"/>
        <v/>
      </c>
      <c r="AQ35" s="98" t="str">
        <f t="shared" si="3"/>
        <v/>
      </c>
      <c r="AR35" s="98" t="str">
        <f t="shared" si="3"/>
        <v/>
      </c>
      <c r="AS35" s="98" t="str">
        <f t="shared" si="3"/>
        <v/>
      </c>
      <c r="AT35" s="98" t="str">
        <f t="shared" si="3"/>
        <v/>
      </c>
      <c r="AU35" s="98" t="str">
        <f t="shared" si="3"/>
        <v/>
      </c>
      <c r="AV35" s="98" t="str">
        <f t="shared" si="3"/>
        <v/>
      </c>
      <c r="AW35" s="98" t="str">
        <f t="shared" si="3"/>
        <v/>
      </c>
      <c r="AX35" s="98" t="str">
        <f t="shared" si="3"/>
        <v/>
      </c>
      <c r="AY35" s="98" t="str">
        <f t="shared" si="3"/>
        <v/>
      </c>
      <c r="AZ35" s="98" t="str">
        <f t="shared" si="3"/>
        <v/>
      </c>
      <c r="BA35" s="98" t="str">
        <f t="shared" si="3"/>
        <v/>
      </c>
      <c r="BB35" s="98" t="str">
        <f t="shared" si="3"/>
        <v/>
      </c>
      <c r="BC35" s="98" t="str">
        <f t="shared" si="3"/>
        <v/>
      </c>
      <c r="BD35" s="98" t="str">
        <f t="shared" si="3"/>
        <v/>
      </c>
      <c r="BE35" s="98" t="str">
        <f t="shared" si="3"/>
        <v/>
      </c>
      <c r="BF35" s="98" t="str">
        <f t="shared" si="3"/>
        <v/>
      </c>
      <c r="BG35" s="98" t="str">
        <f t="shared" si="3"/>
        <v/>
      </c>
      <c r="BH35" s="98" t="str">
        <f t="shared" si="3"/>
        <v/>
      </c>
      <c r="BI35" s="98" t="str">
        <f t="shared" si="3"/>
        <v/>
      </c>
      <c r="BJ35" s="98" t="str">
        <f t="shared" si="3"/>
        <v/>
      </c>
      <c r="BK35" s="98" t="str">
        <f t="shared" si="3"/>
        <v/>
      </c>
      <c r="BL35" s="98" t="str">
        <f t="shared" si="3"/>
        <v/>
      </c>
      <c r="BO35" s="50"/>
    </row>
    <row r="36" spans="2:67" ht="24.75" hidden="1" customHeight="1" x14ac:dyDescent="0.45">
      <c r="B36" s="371" t="s">
        <v>476</v>
      </c>
      <c r="C36" s="371"/>
      <c r="D36" s="371"/>
      <c r="E36" s="205">
        <f t="shared" ref="E36:AJ36" si="4">IF(E24="",0,1)</f>
        <v>1</v>
      </c>
      <c r="F36" s="205">
        <f t="shared" si="4"/>
        <v>1</v>
      </c>
      <c r="G36" s="205">
        <f t="shared" si="4"/>
        <v>1</v>
      </c>
      <c r="H36" s="205">
        <f t="shared" si="4"/>
        <v>1</v>
      </c>
      <c r="I36" s="205">
        <f t="shared" si="4"/>
        <v>0</v>
      </c>
      <c r="J36" s="205">
        <f t="shared" si="4"/>
        <v>0</v>
      </c>
      <c r="K36" s="205">
        <f t="shared" si="4"/>
        <v>0</v>
      </c>
      <c r="L36" s="205">
        <f t="shared" si="4"/>
        <v>0</v>
      </c>
      <c r="M36" s="205">
        <f t="shared" si="4"/>
        <v>0</v>
      </c>
      <c r="N36" s="205">
        <f t="shared" si="4"/>
        <v>0</v>
      </c>
      <c r="O36" s="205">
        <f t="shared" si="4"/>
        <v>0</v>
      </c>
      <c r="P36" s="205">
        <f t="shared" si="4"/>
        <v>0</v>
      </c>
      <c r="Q36" s="205">
        <f t="shared" si="4"/>
        <v>0</v>
      </c>
      <c r="R36" s="205">
        <f t="shared" si="4"/>
        <v>0</v>
      </c>
      <c r="S36" s="205">
        <f t="shared" si="4"/>
        <v>0</v>
      </c>
      <c r="T36" s="205">
        <f t="shared" si="4"/>
        <v>0</v>
      </c>
      <c r="U36" s="205">
        <f t="shared" si="4"/>
        <v>0</v>
      </c>
      <c r="V36" s="205">
        <f t="shared" si="4"/>
        <v>0</v>
      </c>
      <c r="W36" s="205">
        <f t="shared" si="4"/>
        <v>0</v>
      </c>
      <c r="X36" s="205">
        <f t="shared" si="4"/>
        <v>0</v>
      </c>
      <c r="Y36" s="205">
        <f t="shared" si="4"/>
        <v>0</v>
      </c>
      <c r="Z36" s="205">
        <f t="shared" si="4"/>
        <v>0</v>
      </c>
      <c r="AA36" s="205">
        <f t="shared" si="4"/>
        <v>0</v>
      </c>
      <c r="AB36" s="205">
        <f t="shared" si="4"/>
        <v>0</v>
      </c>
      <c r="AC36" s="205">
        <f t="shared" si="4"/>
        <v>0</v>
      </c>
      <c r="AD36" s="205">
        <f t="shared" si="4"/>
        <v>0</v>
      </c>
      <c r="AE36" s="205">
        <f t="shared" si="4"/>
        <v>0</v>
      </c>
      <c r="AF36" s="205">
        <f t="shared" si="4"/>
        <v>0</v>
      </c>
      <c r="AG36" s="205">
        <f t="shared" si="4"/>
        <v>0</v>
      </c>
      <c r="AH36" s="205">
        <f t="shared" si="4"/>
        <v>0</v>
      </c>
      <c r="AI36" s="205">
        <f t="shared" si="4"/>
        <v>0</v>
      </c>
      <c r="AJ36" s="205">
        <f t="shared" si="4"/>
        <v>0</v>
      </c>
      <c r="AK36" s="205">
        <f t="shared" ref="AK36:BL36" si="5">IF(AK24="",0,1)</f>
        <v>0</v>
      </c>
      <c r="AL36" s="205">
        <f t="shared" si="5"/>
        <v>0</v>
      </c>
      <c r="AM36" s="205">
        <f t="shared" si="5"/>
        <v>0</v>
      </c>
      <c r="AN36" s="205">
        <f t="shared" si="5"/>
        <v>0</v>
      </c>
      <c r="AO36" s="205">
        <f t="shared" si="5"/>
        <v>0</v>
      </c>
      <c r="AP36" s="205">
        <f t="shared" si="5"/>
        <v>0</v>
      </c>
      <c r="AQ36" s="205">
        <f t="shared" si="5"/>
        <v>0</v>
      </c>
      <c r="AR36" s="205">
        <f t="shared" si="5"/>
        <v>0</v>
      </c>
      <c r="AS36" s="205">
        <f t="shared" si="5"/>
        <v>0</v>
      </c>
      <c r="AT36" s="205">
        <f t="shared" si="5"/>
        <v>0</v>
      </c>
      <c r="AU36" s="205">
        <f t="shared" si="5"/>
        <v>0</v>
      </c>
      <c r="AV36" s="205">
        <f t="shared" si="5"/>
        <v>0</v>
      </c>
      <c r="AW36" s="205">
        <f t="shared" si="5"/>
        <v>0</v>
      </c>
      <c r="AX36" s="205">
        <f t="shared" si="5"/>
        <v>0</v>
      </c>
      <c r="AY36" s="205">
        <f t="shared" si="5"/>
        <v>0</v>
      </c>
      <c r="AZ36" s="205">
        <f t="shared" si="5"/>
        <v>0</v>
      </c>
      <c r="BA36" s="205">
        <f t="shared" si="5"/>
        <v>0</v>
      </c>
      <c r="BB36" s="205">
        <f t="shared" si="5"/>
        <v>0</v>
      </c>
      <c r="BC36" s="205">
        <f t="shared" si="5"/>
        <v>0</v>
      </c>
      <c r="BD36" s="205">
        <f t="shared" si="5"/>
        <v>0</v>
      </c>
      <c r="BE36" s="205">
        <f t="shared" si="5"/>
        <v>0</v>
      </c>
      <c r="BF36" s="205">
        <f t="shared" si="5"/>
        <v>0</v>
      </c>
      <c r="BG36" s="205">
        <f t="shared" si="5"/>
        <v>0</v>
      </c>
      <c r="BH36" s="205">
        <f t="shared" si="5"/>
        <v>0</v>
      </c>
      <c r="BI36" s="205">
        <f t="shared" si="5"/>
        <v>0</v>
      </c>
      <c r="BJ36" s="205">
        <f t="shared" si="5"/>
        <v>0</v>
      </c>
      <c r="BK36" s="205">
        <f t="shared" si="5"/>
        <v>0</v>
      </c>
      <c r="BL36" s="205">
        <f t="shared" si="5"/>
        <v>0</v>
      </c>
      <c r="BO36" s="50"/>
    </row>
    <row r="37" spans="2:67" ht="24.75" hidden="1" customHeight="1" x14ac:dyDescent="0.45">
      <c r="B37" s="369" t="s">
        <v>481</v>
      </c>
      <c r="C37" s="369"/>
      <c r="D37" s="369"/>
      <c r="E37" s="205">
        <f>IF(OR(AND(E27="機械換気",E30&gt;0),AND(E27="自然換気",E30=0)),0,1)</f>
        <v>0</v>
      </c>
      <c r="F37" s="205">
        <f t="shared" ref="F37:BL37" si="6">IF(OR(AND(F27="機械換気",F30&gt;0),AND(F27="自然換気",F30=0)),0,1)</f>
        <v>0</v>
      </c>
      <c r="G37" s="205">
        <f t="shared" si="6"/>
        <v>0</v>
      </c>
      <c r="H37" s="205">
        <f t="shared" si="6"/>
        <v>0</v>
      </c>
      <c r="I37" s="205">
        <f t="shared" si="6"/>
        <v>1</v>
      </c>
      <c r="J37" s="205">
        <f t="shared" si="6"/>
        <v>1</v>
      </c>
      <c r="K37" s="205">
        <f t="shared" si="6"/>
        <v>1</v>
      </c>
      <c r="L37" s="205">
        <f t="shared" si="6"/>
        <v>1</v>
      </c>
      <c r="M37" s="205">
        <f t="shared" si="6"/>
        <v>1</v>
      </c>
      <c r="N37" s="205">
        <f t="shared" si="6"/>
        <v>1</v>
      </c>
      <c r="O37" s="205">
        <f t="shared" si="6"/>
        <v>1</v>
      </c>
      <c r="P37" s="205">
        <f t="shared" si="6"/>
        <v>1</v>
      </c>
      <c r="Q37" s="205">
        <f t="shared" si="6"/>
        <v>1</v>
      </c>
      <c r="R37" s="205">
        <f t="shared" si="6"/>
        <v>1</v>
      </c>
      <c r="S37" s="205">
        <f t="shared" si="6"/>
        <v>1</v>
      </c>
      <c r="T37" s="205">
        <f t="shared" si="6"/>
        <v>1</v>
      </c>
      <c r="U37" s="205">
        <f t="shared" si="6"/>
        <v>1</v>
      </c>
      <c r="V37" s="205">
        <f t="shared" si="6"/>
        <v>1</v>
      </c>
      <c r="W37" s="205">
        <f t="shared" si="6"/>
        <v>1</v>
      </c>
      <c r="X37" s="205">
        <f t="shared" si="6"/>
        <v>1</v>
      </c>
      <c r="Y37" s="205">
        <f t="shared" si="6"/>
        <v>1</v>
      </c>
      <c r="Z37" s="205">
        <f t="shared" si="6"/>
        <v>1</v>
      </c>
      <c r="AA37" s="205">
        <f t="shared" si="6"/>
        <v>1</v>
      </c>
      <c r="AB37" s="205">
        <f t="shared" si="6"/>
        <v>1</v>
      </c>
      <c r="AC37" s="205">
        <f t="shared" si="6"/>
        <v>1</v>
      </c>
      <c r="AD37" s="205">
        <f t="shared" si="6"/>
        <v>1</v>
      </c>
      <c r="AE37" s="205">
        <f t="shared" si="6"/>
        <v>1</v>
      </c>
      <c r="AF37" s="205">
        <f t="shared" si="6"/>
        <v>1</v>
      </c>
      <c r="AG37" s="205">
        <f t="shared" si="6"/>
        <v>1</v>
      </c>
      <c r="AH37" s="205">
        <f t="shared" si="6"/>
        <v>1</v>
      </c>
      <c r="AI37" s="205">
        <f t="shared" si="6"/>
        <v>1</v>
      </c>
      <c r="AJ37" s="205">
        <f t="shared" si="6"/>
        <v>1</v>
      </c>
      <c r="AK37" s="205">
        <f t="shared" si="6"/>
        <v>1</v>
      </c>
      <c r="AL37" s="205">
        <f t="shared" si="6"/>
        <v>1</v>
      </c>
      <c r="AM37" s="205">
        <f t="shared" si="6"/>
        <v>1</v>
      </c>
      <c r="AN37" s="205">
        <f t="shared" si="6"/>
        <v>1</v>
      </c>
      <c r="AO37" s="205">
        <f t="shared" si="6"/>
        <v>1</v>
      </c>
      <c r="AP37" s="205">
        <f t="shared" si="6"/>
        <v>1</v>
      </c>
      <c r="AQ37" s="205">
        <f t="shared" si="6"/>
        <v>1</v>
      </c>
      <c r="AR37" s="205">
        <f t="shared" si="6"/>
        <v>1</v>
      </c>
      <c r="AS37" s="205">
        <f t="shared" si="6"/>
        <v>1</v>
      </c>
      <c r="AT37" s="205">
        <f t="shared" si="6"/>
        <v>1</v>
      </c>
      <c r="AU37" s="205">
        <f t="shared" si="6"/>
        <v>1</v>
      </c>
      <c r="AV37" s="205">
        <f t="shared" si="6"/>
        <v>1</v>
      </c>
      <c r="AW37" s="205">
        <f t="shared" si="6"/>
        <v>1</v>
      </c>
      <c r="AX37" s="205">
        <f t="shared" si="6"/>
        <v>1</v>
      </c>
      <c r="AY37" s="205">
        <f t="shared" si="6"/>
        <v>1</v>
      </c>
      <c r="AZ37" s="205">
        <f t="shared" si="6"/>
        <v>1</v>
      </c>
      <c r="BA37" s="205">
        <f t="shared" si="6"/>
        <v>1</v>
      </c>
      <c r="BB37" s="205">
        <f t="shared" si="6"/>
        <v>1</v>
      </c>
      <c r="BC37" s="205">
        <f t="shared" si="6"/>
        <v>1</v>
      </c>
      <c r="BD37" s="205">
        <f t="shared" si="6"/>
        <v>1</v>
      </c>
      <c r="BE37" s="205">
        <f t="shared" si="6"/>
        <v>1</v>
      </c>
      <c r="BF37" s="205">
        <f t="shared" si="6"/>
        <v>1</v>
      </c>
      <c r="BG37" s="205">
        <f t="shared" si="6"/>
        <v>1</v>
      </c>
      <c r="BH37" s="205">
        <f t="shared" si="6"/>
        <v>1</v>
      </c>
      <c r="BI37" s="205">
        <f t="shared" si="6"/>
        <v>1</v>
      </c>
      <c r="BJ37" s="205">
        <f t="shared" si="6"/>
        <v>1</v>
      </c>
      <c r="BK37" s="205">
        <f t="shared" si="6"/>
        <v>1</v>
      </c>
      <c r="BL37" s="205">
        <f t="shared" si="6"/>
        <v>1</v>
      </c>
      <c r="BO37" s="50"/>
    </row>
    <row r="38" spans="2:67" s="128" customFormat="1" ht="24.75" hidden="1" customHeight="1" x14ac:dyDescent="0.45">
      <c r="B38" s="370" t="s">
        <v>475</v>
      </c>
      <c r="C38" s="370"/>
      <c r="D38" s="370"/>
      <c r="E38" s="208">
        <f>IF(E34="適合",0,1)</f>
        <v>0</v>
      </c>
      <c r="F38" s="208">
        <f t="shared" ref="F38:AJ38" si="7">IF(F34="適合",0,1)</f>
        <v>0</v>
      </c>
      <c r="G38" s="208">
        <f t="shared" si="7"/>
        <v>0</v>
      </c>
      <c r="H38" s="208">
        <f t="shared" si="7"/>
        <v>0</v>
      </c>
      <c r="I38" s="208">
        <f t="shared" si="7"/>
        <v>1</v>
      </c>
      <c r="J38" s="208">
        <f t="shared" si="7"/>
        <v>1</v>
      </c>
      <c r="K38" s="208">
        <f t="shared" si="7"/>
        <v>1</v>
      </c>
      <c r="L38" s="208">
        <f t="shared" si="7"/>
        <v>1</v>
      </c>
      <c r="M38" s="208">
        <f t="shared" si="7"/>
        <v>1</v>
      </c>
      <c r="N38" s="208">
        <f t="shared" si="7"/>
        <v>1</v>
      </c>
      <c r="O38" s="208">
        <f t="shared" si="7"/>
        <v>1</v>
      </c>
      <c r="P38" s="208">
        <f t="shared" si="7"/>
        <v>1</v>
      </c>
      <c r="Q38" s="208">
        <f t="shared" si="7"/>
        <v>1</v>
      </c>
      <c r="R38" s="208">
        <f t="shared" si="7"/>
        <v>1</v>
      </c>
      <c r="S38" s="208">
        <f t="shared" si="7"/>
        <v>1</v>
      </c>
      <c r="T38" s="208">
        <f t="shared" si="7"/>
        <v>1</v>
      </c>
      <c r="U38" s="208">
        <f t="shared" si="7"/>
        <v>1</v>
      </c>
      <c r="V38" s="208">
        <f t="shared" si="7"/>
        <v>1</v>
      </c>
      <c r="W38" s="208">
        <f t="shared" si="7"/>
        <v>1</v>
      </c>
      <c r="X38" s="208">
        <f t="shared" si="7"/>
        <v>1</v>
      </c>
      <c r="Y38" s="208">
        <f t="shared" si="7"/>
        <v>1</v>
      </c>
      <c r="Z38" s="208">
        <f t="shared" si="7"/>
        <v>1</v>
      </c>
      <c r="AA38" s="208">
        <f t="shared" si="7"/>
        <v>1</v>
      </c>
      <c r="AB38" s="208">
        <f t="shared" si="7"/>
        <v>1</v>
      </c>
      <c r="AC38" s="208">
        <f t="shared" si="7"/>
        <v>1</v>
      </c>
      <c r="AD38" s="208">
        <f t="shared" si="7"/>
        <v>1</v>
      </c>
      <c r="AE38" s="208">
        <f t="shared" si="7"/>
        <v>1</v>
      </c>
      <c r="AF38" s="208">
        <f t="shared" si="7"/>
        <v>1</v>
      </c>
      <c r="AG38" s="208">
        <f t="shared" si="7"/>
        <v>1</v>
      </c>
      <c r="AH38" s="208">
        <f t="shared" si="7"/>
        <v>1</v>
      </c>
      <c r="AI38" s="208">
        <f t="shared" si="7"/>
        <v>1</v>
      </c>
      <c r="AJ38" s="208">
        <f t="shared" si="7"/>
        <v>1</v>
      </c>
      <c r="AK38" s="208">
        <f t="shared" ref="AK38:BL38" si="8">IF(AK34="適合",0,1)</f>
        <v>1</v>
      </c>
      <c r="AL38" s="208">
        <f t="shared" si="8"/>
        <v>1</v>
      </c>
      <c r="AM38" s="208">
        <f t="shared" si="8"/>
        <v>1</v>
      </c>
      <c r="AN38" s="208">
        <f t="shared" si="8"/>
        <v>1</v>
      </c>
      <c r="AO38" s="208">
        <f t="shared" si="8"/>
        <v>1</v>
      </c>
      <c r="AP38" s="208">
        <f t="shared" si="8"/>
        <v>1</v>
      </c>
      <c r="AQ38" s="208">
        <f t="shared" si="8"/>
        <v>1</v>
      </c>
      <c r="AR38" s="208">
        <f t="shared" si="8"/>
        <v>1</v>
      </c>
      <c r="AS38" s="208">
        <f t="shared" si="8"/>
        <v>1</v>
      </c>
      <c r="AT38" s="208">
        <f t="shared" si="8"/>
        <v>1</v>
      </c>
      <c r="AU38" s="208">
        <f t="shared" si="8"/>
        <v>1</v>
      </c>
      <c r="AV38" s="208">
        <f t="shared" si="8"/>
        <v>1</v>
      </c>
      <c r="AW38" s="208">
        <f t="shared" si="8"/>
        <v>1</v>
      </c>
      <c r="AX38" s="208">
        <f t="shared" si="8"/>
        <v>1</v>
      </c>
      <c r="AY38" s="208">
        <f t="shared" si="8"/>
        <v>1</v>
      </c>
      <c r="AZ38" s="208">
        <f t="shared" si="8"/>
        <v>1</v>
      </c>
      <c r="BA38" s="208">
        <f t="shared" si="8"/>
        <v>1</v>
      </c>
      <c r="BB38" s="208">
        <f t="shared" si="8"/>
        <v>1</v>
      </c>
      <c r="BC38" s="208">
        <f t="shared" si="8"/>
        <v>1</v>
      </c>
      <c r="BD38" s="208">
        <f t="shared" si="8"/>
        <v>1</v>
      </c>
      <c r="BE38" s="208">
        <f t="shared" si="8"/>
        <v>1</v>
      </c>
      <c r="BF38" s="208">
        <f t="shared" si="8"/>
        <v>1</v>
      </c>
      <c r="BG38" s="208">
        <f t="shared" si="8"/>
        <v>1</v>
      </c>
      <c r="BH38" s="208">
        <f t="shared" si="8"/>
        <v>1</v>
      </c>
      <c r="BI38" s="208">
        <f t="shared" si="8"/>
        <v>1</v>
      </c>
      <c r="BJ38" s="208">
        <f t="shared" si="8"/>
        <v>1</v>
      </c>
      <c r="BK38" s="208">
        <f t="shared" si="8"/>
        <v>1</v>
      </c>
      <c r="BL38" s="208">
        <f t="shared" si="8"/>
        <v>1</v>
      </c>
      <c r="BO38" s="158"/>
    </row>
    <row r="39" spans="2:67" ht="24.75" hidden="1" customHeight="1" x14ac:dyDescent="0.45">
      <c r="B39" s="369" t="s">
        <v>474</v>
      </c>
      <c r="C39" s="369"/>
      <c r="D39" s="369"/>
      <c r="E39" s="205">
        <f>IF(E35="適合",0,1)</f>
        <v>0</v>
      </c>
      <c r="F39" s="205">
        <f t="shared" ref="F39:BL39" si="9">IF(F35="適合",0,1)</f>
        <v>0</v>
      </c>
      <c r="G39" s="205">
        <f t="shared" si="9"/>
        <v>0</v>
      </c>
      <c r="H39" s="205">
        <f t="shared" si="9"/>
        <v>0</v>
      </c>
      <c r="I39" s="205">
        <f t="shared" si="9"/>
        <v>1</v>
      </c>
      <c r="J39" s="205">
        <f t="shared" si="9"/>
        <v>1</v>
      </c>
      <c r="K39" s="205">
        <f t="shared" si="9"/>
        <v>1</v>
      </c>
      <c r="L39" s="205">
        <f t="shared" si="9"/>
        <v>1</v>
      </c>
      <c r="M39" s="205">
        <f t="shared" si="9"/>
        <v>1</v>
      </c>
      <c r="N39" s="205">
        <f t="shared" si="9"/>
        <v>1</v>
      </c>
      <c r="O39" s="205">
        <f t="shared" si="9"/>
        <v>1</v>
      </c>
      <c r="P39" s="205">
        <f t="shared" si="9"/>
        <v>1</v>
      </c>
      <c r="Q39" s="205">
        <f t="shared" si="9"/>
        <v>1</v>
      </c>
      <c r="R39" s="205">
        <f t="shared" si="9"/>
        <v>1</v>
      </c>
      <c r="S39" s="205">
        <f t="shared" si="9"/>
        <v>1</v>
      </c>
      <c r="T39" s="205">
        <f t="shared" si="9"/>
        <v>1</v>
      </c>
      <c r="U39" s="205">
        <f t="shared" si="9"/>
        <v>1</v>
      </c>
      <c r="V39" s="205">
        <f t="shared" si="9"/>
        <v>1</v>
      </c>
      <c r="W39" s="205">
        <f t="shared" si="9"/>
        <v>1</v>
      </c>
      <c r="X39" s="205">
        <f t="shared" si="9"/>
        <v>1</v>
      </c>
      <c r="Y39" s="205">
        <f t="shared" si="9"/>
        <v>1</v>
      </c>
      <c r="Z39" s="205">
        <f t="shared" si="9"/>
        <v>1</v>
      </c>
      <c r="AA39" s="205">
        <f t="shared" si="9"/>
        <v>1</v>
      </c>
      <c r="AB39" s="205">
        <f t="shared" si="9"/>
        <v>1</v>
      </c>
      <c r="AC39" s="205">
        <f t="shared" si="9"/>
        <v>1</v>
      </c>
      <c r="AD39" s="205">
        <f t="shared" si="9"/>
        <v>1</v>
      </c>
      <c r="AE39" s="205">
        <f t="shared" si="9"/>
        <v>1</v>
      </c>
      <c r="AF39" s="205">
        <f t="shared" si="9"/>
        <v>1</v>
      </c>
      <c r="AG39" s="205">
        <f t="shared" si="9"/>
        <v>1</v>
      </c>
      <c r="AH39" s="205">
        <f t="shared" si="9"/>
        <v>1</v>
      </c>
      <c r="AI39" s="205">
        <f t="shared" si="9"/>
        <v>1</v>
      </c>
      <c r="AJ39" s="205">
        <f t="shared" si="9"/>
        <v>1</v>
      </c>
      <c r="AK39" s="205">
        <f t="shared" si="9"/>
        <v>1</v>
      </c>
      <c r="AL39" s="205">
        <f t="shared" si="9"/>
        <v>1</v>
      </c>
      <c r="AM39" s="205">
        <f t="shared" si="9"/>
        <v>1</v>
      </c>
      <c r="AN39" s="205">
        <f t="shared" si="9"/>
        <v>1</v>
      </c>
      <c r="AO39" s="205">
        <f t="shared" si="9"/>
        <v>1</v>
      </c>
      <c r="AP39" s="205">
        <f t="shared" si="9"/>
        <v>1</v>
      </c>
      <c r="AQ39" s="205">
        <f t="shared" si="9"/>
        <v>1</v>
      </c>
      <c r="AR39" s="205">
        <f t="shared" si="9"/>
        <v>1</v>
      </c>
      <c r="AS39" s="205">
        <f t="shared" si="9"/>
        <v>1</v>
      </c>
      <c r="AT39" s="205">
        <f t="shared" si="9"/>
        <v>1</v>
      </c>
      <c r="AU39" s="205">
        <f t="shared" si="9"/>
        <v>1</v>
      </c>
      <c r="AV39" s="205">
        <f t="shared" si="9"/>
        <v>1</v>
      </c>
      <c r="AW39" s="205">
        <f t="shared" si="9"/>
        <v>1</v>
      </c>
      <c r="AX39" s="205">
        <f t="shared" si="9"/>
        <v>1</v>
      </c>
      <c r="AY39" s="205">
        <f t="shared" si="9"/>
        <v>1</v>
      </c>
      <c r="AZ39" s="205">
        <f t="shared" si="9"/>
        <v>1</v>
      </c>
      <c r="BA39" s="205">
        <f t="shared" si="9"/>
        <v>1</v>
      </c>
      <c r="BB39" s="205">
        <f t="shared" si="9"/>
        <v>1</v>
      </c>
      <c r="BC39" s="205">
        <f t="shared" si="9"/>
        <v>1</v>
      </c>
      <c r="BD39" s="205">
        <f t="shared" si="9"/>
        <v>1</v>
      </c>
      <c r="BE39" s="205">
        <f t="shared" si="9"/>
        <v>1</v>
      </c>
      <c r="BF39" s="205">
        <f t="shared" si="9"/>
        <v>1</v>
      </c>
      <c r="BG39" s="205">
        <f t="shared" si="9"/>
        <v>1</v>
      </c>
      <c r="BH39" s="205">
        <f t="shared" si="9"/>
        <v>1</v>
      </c>
      <c r="BI39" s="205">
        <f t="shared" si="9"/>
        <v>1</v>
      </c>
      <c r="BJ39" s="205">
        <f t="shared" si="9"/>
        <v>1</v>
      </c>
      <c r="BK39" s="205">
        <f t="shared" si="9"/>
        <v>1</v>
      </c>
      <c r="BL39" s="205">
        <f t="shared" si="9"/>
        <v>1</v>
      </c>
      <c r="BO39" s="50"/>
    </row>
    <row r="40" spans="2:67" ht="24.75" hidden="1" customHeight="1" x14ac:dyDescent="0.45">
      <c r="B40" s="370" t="s">
        <v>477</v>
      </c>
      <c r="C40" s="370"/>
      <c r="D40" s="370"/>
      <c r="E40" s="205">
        <f>IF(AND(E24="",E25="",E26="",E27="",E28="",E29="",E30="",E31=""),2,IF(AND(E24&lt;&gt;"",E25&lt;&gt;"",E26&lt;&gt;"",E27&lt;&gt;"",E28&lt;&gt;"",E29&lt;&gt;"",E30&lt;&gt;"",E31&lt;&gt;"",E37=0),0,1))</f>
        <v>0</v>
      </c>
      <c r="F40" s="205">
        <f t="shared" ref="F40:BL40" si="10">IF(AND(F24="",F25="",F26="",F27="",F28="",F29="",F30="",F31=""),2,IF(AND(F24&lt;&gt;"",F25&lt;&gt;"",F26&lt;&gt;"",F27&lt;&gt;"",F28&lt;&gt;"",F29&lt;&gt;"",F30&lt;&gt;"",F31&lt;&gt;"",F37=0),0,1))</f>
        <v>0</v>
      </c>
      <c r="G40" s="205">
        <f t="shared" si="10"/>
        <v>0</v>
      </c>
      <c r="H40" s="205">
        <f t="shared" si="10"/>
        <v>0</v>
      </c>
      <c r="I40" s="205">
        <f t="shared" si="10"/>
        <v>2</v>
      </c>
      <c r="J40" s="205">
        <f t="shared" si="10"/>
        <v>2</v>
      </c>
      <c r="K40" s="205">
        <f t="shared" si="10"/>
        <v>2</v>
      </c>
      <c r="L40" s="205">
        <f t="shared" si="10"/>
        <v>2</v>
      </c>
      <c r="M40" s="205">
        <f t="shared" si="10"/>
        <v>2</v>
      </c>
      <c r="N40" s="205">
        <f t="shared" si="10"/>
        <v>2</v>
      </c>
      <c r="O40" s="205">
        <f t="shared" si="10"/>
        <v>2</v>
      </c>
      <c r="P40" s="205">
        <f t="shared" si="10"/>
        <v>2</v>
      </c>
      <c r="Q40" s="205">
        <f t="shared" si="10"/>
        <v>2</v>
      </c>
      <c r="R40" s="205">
        <f t="shared" si="10"/>
        <v>2</v>
      </c>
      <c r="S40" s="205">
        <f t="shared" si="10"/>
        <v>2</v>
      </c>
      <c r="T40" s="205">
        <f t="shared" si="10"/>
        <v>2</v>
      </c>
      <c r="U40" s="205">
        <f t="shared" si="10"/>
        <v>2</v>
      </c>
      <c r="V40" s="205">
        <f t="shared" si="10"/>
        <v>2</v>
      </c>
      <c r="W40" s="205">
        <f t="shared" si="10"/>
        <v>2</v>
      </c>
      <c r="X40" s="205">
        <f t="shared" si="10"/>
        <v>2</v>
      </c>
      <c r="Y40" s="205">
        <f t="shared" si="10"/>
        <v>2</v>
      </c>
      <c r="Z40" s="205">
        <f t="shared" si="10"/>
        <v>2</v>
      </c>
      <c r="AA40" s="205">
        <f t="shared" si="10"/>
        <v>2</v>
      </c>
      <c r="AB40" s="205">
        <f t="shared" si="10"/>
        <v>2</v>
      </c>
      <c r="AC40" s="205">
        <f t="shared" si="10"/>
        <v>2</v>
      </c>
      <c r="AD40" s="205">
        <f t="shared" si="10"/>
        <v>2</v>
      </c>
      <c r="AE40" s="205">
        <f t="shared" si="10"/>
        <v>2</v>
      </c>
      <c r="AF40" s="205">
        <f t="shared" si="10"/>
        <v>2</v>
      </c>
      <c r="AG40" s="205">
        <f t="shared" si="10"/>
        <v>2</v>
      </c>
      <c r="AH40" s="205">
        <f t="shared" si="10"/>
        <v>2</v>
      </c>
      <c r="AI40" s="205">
        <f t="shared" si="10"/>
        <v>2</v>
      </c>
      <c r="AJ40" s="205">
        <f t="shared" si="10"/>
        <v>2</v>
      </c>
      <c r="AK40" s="205">
        <f t="shared" si="10"/>
        <v>2</v>
      </c>
      <c r="AL40" s="205">
        <f t="shared" si="10"/>
        <v>2</v>
      </c>
      <c r="AM40" s="205">
        <f t="shared" si="10"/>
        <v>2</v>
      </c>
      <c r="AN40" s="205">
        <f t="shared" si="10"/>
        <v>2</v>
      </c>
      <c r="AO40" s="205">
        <f t="shared" si="10"/>
        <v>2</v>
      </c>
      <c r="AP40" s="205">
        <f t="shared" si="10"/>
        <v>2</v>
      </c>
      <c r="AQ40" s="205">
        <f t="shared" si="10"/>
        <v>2</v>
      </c>
      <c r="AR40" s="205">
        <f t="shared" si="10"/>
        <v>2</v>
      </c>
      <c r="AS40" s="205">
        <f t="shared" si="10"/>
        <v>2</v>
      </c>
      <c r="AT40" s="205">
        <f t="shared" si="10"/>
        <v>2</v>
      </c>
      <c r="AU40" s="205">
        <f t="shared" si="10"/>
        <v>2</v>
      </c>
      <c r="AV40" s="205">
        <f t="shared" si="10"/>
        <v>2</v>
      </c>
      <c r="AW40" s="205">
        <f t="shared" si="10"/>
        <v>2</v>
      </c>
      <c r="AX40" s="205">
        <f t="shared" si="10"/>
        <v>2</v>
      </c>
      <c r="AY40" s="205">
        <f t="shared" si="10"/>
        <v>2</v>
      </c>
      <c r="AZ40" s="205">
        <f t="shared" si="10"/>
        <v>2</v>
      </c>
      <c r="BA40" s="205">
        <f t="shared" si="10"/>
        <v>2</v>
      </c>
      <c r="BB40" s="205">
        <f t="shared" si="10"/>
        <v>2</v>
      </c>
      <c r="BC40" s="205">
        <f t="shared" si="10"/>
        <v>2</v>
      </c>
      <c r="BD40" s="205">
        <f t="shared" si="10"/>
        <v>2</v>
      </c>
      <c r="BE40" s="205">
        <f t="shared" si="10"/>
        <v>2</v>
      </c>
      <c r="BF40" s="205">
        <f t="shared" si="10"/>
        <v>2</v>
      </c>
      <c r="BG40" s="205">
        <f t="shared" si="10"/>
        <v>2</v>
      </c>
      <c r="BH40" s="205">
        <f t="shared" si="10"/>
        <v>2</v>
      </c>
      <c r="BI40" s="205">
        <f t="shared" si="10"/>
        <v>2</v>
      </c>
      <c r="BJ40" s="205">
        <f t="shared" si="10"/>
        <v>2</v>
      </c>
      <c r="BK40" s="205">
        <f t="shared" si="10"/>
        <v>2</v>
      </c>
      <c r="BL40" s="205">
        <f t="shared" si="10"/>
        <v>2</v>
      </c>
    </row>
    <row r="41" spans="2:67" ht="24.75" hidden="1" customHeight="1" x14ac:dyDescent="0.45">
      <c r="B41" s="369" t="s">
        <v>479</v>
      </c>
      <c r="C41" s="369"/>
      <c r="D41" s="369"/>
      <c r="E41" s="205">
        <f>IF(AND(E38=0,E39=0,E40=0),0,IF(E40=2,0,1))</f>
        <v>0</v>
      </c>
      <c r="F41" s="205">
        <f t="shared" ref="F41:BL41" si="11">IF(AND(F38=0,F39=0,F40=0),0,IF(F40=2,0,1))</f>
        <v>0</v>
      </c>
      <c r="G41" s="205">
        <f t="shared" si="11"/>
        <v>0</v>
      </c>
      <c r="H41" s="205">
        <f t="shared" si="11"/>
        <v>0</v>
      </c>
      <c r="I41" s="205">
        <f t="shared" si="11"/>
        <v>0</v>
      </c>
      <c r="J41" s="205">
        <f t="shared" si="11"/>
        <v>0</v>
      </c>
      <c r="K41" s="205">
        <f t="shared" si="11"/>
        <v>0</v>
      </c>
      <c r="L41" s="205">
        <f t="shared" si="11"/>
        <v>0</v>
      </c>
      <c r="M41" s="205">
        <f t="shared" si="11"/>
        <v>0</v>
      </c>
      <c r="N41" s="205">
        <f t="shared" si="11"/>
        <v>0</v>
      </c>
      <c r="O41" s="205">
        <f t="shared" si="11"/>
        <v>0</v>
      </c>
      <c r="P41" s="205">
        <f t="shared" si="11"/>
        <v>0</v>
      </c>
      <c r="Q41" s="205">
        <f t="shared" si="11"/>
        <v>0</v>
      </c>
      <c r="R41" s="205">
        <f t="shared" si="11"/>
        <v>0</v>
      </c>
      <c r="S41" s="205">
        <f t="shared" si="11"/>
        <v>0</v>
      </c>
      <c r="T41" s="205">
        <f t="shared" si="11"/>
        <v>0</v>
      </c>
      <c r="U41" s="205">
        <f t="shared" si="11"/>
        <v>0</v>
      </c>
      <c r="V41" s="205">
        <f t="shared" si="11"/>
        <v>0</v>
      </c>
      <c r="W41" s="205">
        <f t="shared" si="11"/>
        <v>0</v>
      </c>
      <c r="X41" s="205">
        <f t="shared" si="11"/>
        <v>0</v>
      </c>
      <c r="Y41" s="205">
        <f t="shared" si="11"/>
        <v>0</v>
      </c>
      <c r="Z41" s="205">
        <f t="shared" si="11"/>
        <v>0</v>
      </c>
      <c r="AA41" s="205">
        <f t="shared" si="11"/>
        <v>0</v>
      </c>
      <c r="AB41" s="205">
        <f t="shared" si="11"/>
        <v>0</v>
      </c>
      <c r="AC41" s="205">
        <f t="shared" si="11"/>
        <v>0</v>
      </c>
      <c r="AD41" s="205">
        <f t="shared" si="11"/>
        <v>0</v>
      </c>
      <c r="AE41" s="205">
        <f t="shared" si="11"/>
        <v>0</v>
      </c>
      <c r="AF41" s="205">
        <f t="shared" si="11"/>
        <v>0</v>
      </c>
      <c r="AG41" s="205">
        <f t="shared" si="11"/>
        <v>0</v>
      </c>
      <c r="AH41" s="205">
        <f t="shared" si="11"/>
        <v>0</v>
      </c>
      <c r="AI41" s="205">
        <f t="shared" si="11"/>
        <v>0</v>
      </c>
      <c r="AJ41" s="205">
        <f t="shared" si="11"/>
        <v>0</v>
      </c>
      <c r="AK41" s="205">
        <f t="shared" si="11"/>
        <v>0</v>
      </c>
      <c r="AL41" s="205">
        <f t="shared" si="11"/>
        <v>0</v>
      </c>
      <c r="AM41" s="205">
        <f t="shared" si="11"/>
        <v>0</v>
      </c>
      <c r="AN41" s="205">
        <f t="shared" si="11"/>
        <v>0</v>
      </c>
      <c r="AO41" s="205">
        <f t="shared" si="11"/>
        <v>0</v>
      </c>
      <c r="AP41" s="205">
        <f t="shared" si="11"/>
        <v>0</v>
      </c>
      <c r="AQ41" s="205">
        <f t="shared" si="11"/>
        <v>0</v>
      </c>
      <c r="AR41" s="205">
        <f t="shared" si="11"/>
        <v>0</v>
      </c>
      <c r="AS41" s="205">
        <f t="shared" si="11"/>
        <v>0</v>
      </c>
      <c r="AT41" s="205">
        <f t="shared" si="11"/>
        <v>0</v>
      </c>
      <c r="AU41" s="205">
        <f t="shared" si="11"/>
        <v>0</v>
      </c>
      <c r="AV41" s="205">
        <f t="shared" si="11"/>
        <v>0</v>
      </c>
      <c r="AW41" s="205">
        <f t="shared" si="11"/>
        <v>0</v>
      </c>
      <c r="AX41" s="205">
        <f t="shared" si="11"/>
        <v>0</v>
      </c>
      <c r="AY41" s="205">
        <f t="shared" si="11"/>
        <v>0</v>
      </c>
      <c r="AZ41" s="205">
        <f t="shared" si="11"/>
        <v>0</v>
      </c>
      <c r="BA41" s="205">
        <f t="shared" si="11"/>
        <v>0</v>
      </c>
      <c r="BB41" s="205">
        <f t="shared" si="11"/>
        <v>0</v>
      </c>
      <c r="BC41" s="205">
        <f t="shared" si="11"/>
        <v>0</v>
      </c>
      <c r="BD41" s="205">
        <f t="shared" si="11"/>
        <v>0</v>
      </c>
      <c r="BE41" s="205">
        <f t="shared" si="11"/>
        <v>0</v>
      </c>
      <c r="BF41" s="205">
        <f t="shared" si="11"/>
        <v>0</v>
      </c>
      <c r="BG41" s="205">
        <f t="shared" si="11"/>
        <v>0</v>
      </c>
      <c r="BH41" s="205">
        <f t="shared" si="11"/>
        <v>0</v>
      </c>
      <c r="BI41" s="205">
        <f t="shared" si="11"/>
        <v>0</v>
      </c>
      <c r="BJ41" s="205">
        <f t="shared" si="11"/>
        <v>0</v>
      </c>
      <c r="BK41" s="205">
        <f t="shared" si="11"/>
        <v>0</v>
      </c>
      <c r="BL41" s="205">
        <f t="shared" si="11"/>
        <v>0</v>
      </c>
    </row>
    <row r="42" spans="2:67" ht="24.75" hidden="1" customHeight="1" x14ac:dyDescent="0.45">
      <c r="B42" s="372" t="s">
        <v>478</v>
      </c>
      <c r="C42" s="372"/>
      <c r="D42" s="372"/>
      <c r="E42" s="205">
        <f>COUNTIF($E40:$BL40,0)</f>
        <v>4</v>
      </c>
      <c r="F42" s="205">
        <f>COUNTIF($E40:$BL40,1)</f>
        <v>0</v>
      </c>
      <c r="G42" s="205">
        <f>COUNTIF($E40:$BL40,2)</f>
        <v>56</v>
      </c>
      <c r="H42" s="205">
        <f>60-COUNTIF($E$24:$BL$24,"")</f>
        <v>4</v>
      </c>
      <c r="I42" s="206" t="str">
        <f>IF(F42&lt;&gt;0,"入力確認",IF(H42=E42,"入力済","未入力"))</f>
        <v>入力済</v>
      </c>
      <c r="AK42" s="43"/>
    </row>
    <row r="43" spans="2:67" ht="20.25" thickTop="1" x14ac:dyDescent="0.45"/>
    <row r="44" spans="2:67" ht="19.5" customHeight="1" x14ac:dyDescent="0.45">
      <c r="B44" s="93"/>
      <c r="C44" s="93"/>
      <c r="D44" s="93"/>
      <c r="AK44" s="43"/>
    </row>
    <row r="45" spans="2:67" ht="19.5" customHeight="1" x14ac:dyDescent="0.45">
      <c r="AK45" s="43"/>
    </row>
    <row r="46" spans="2:67" ht="19.5" customHeight="1" x14ac:dyDescent="0.45">
      <c r="AK46" s="43"/>
    </row>
    <row r="47" spans="2:67" ht="19.5" customHeight="1" x14ac:dyDescent="0.45">
      <c r="AK47" s="43"/>
    </row>
    <row r="51" spans="37:37" x14ac:dyDescent="0.45">
      <c r="AK51" s="43"/>
    </row>
    <row r="54" spans="37:37" x14ac:dyDescent="0.45">
      <c r="AK54" s="43"/>
    </row>
  </sheetData>
  <sheetProtection password="DFA8" sheet="1" objects="1" scenarios="1" selectLockedCells="1" selectUnlockedCells="1"/>
  <mergeCells count="25">
    <mergeCell ref="B39:D39"/>
    <mergeCell ref="B40:D40"/>
    <mergeCell ref="B36:D36"/>
    <mergeCell ref="B42:D42"/>
    <mergeCell ref="B37:D37"/>
    <mergeCell ref="B41:D41"/>
    <mergeCell ref="B38:D38"/>
    <mergeCell ref="B35:D35"/>
    <mergeCell ref="B23:D23"/>
    <mergeCell ref="B24:D24"/>
    <mergeCell ref="B25:D25"/>
    <mergeCell ref="B26:D26"/>
    <mergeCell ref="B27:D27"/>
    <mergeCell ref="C28:D28"/>
    <mergeCell ref="C29:D29"/>
    <mergeCell ref="C30:D30"/>
    <mergeCell ref="C31:D31"/>
    <mergeCell ref="C32:D32"/>
    <mergeCell ref="C33:D33"/>
    <mergeCell ref="I21:Q21"/>
    <mergeCell ref="G21:H21"/>
    <mergeCell ref="B34:D34"/>
    <mergeCell ref="B28:B29"/>
    <mergeCell ref="B30:B31"/>
    <mergeCell ref="B32:B33"/>
  </mergeCells>
  <phoneticPr fontId="2"/>
  <conditionalFormatting sqref="E31:BL31 E29:BL29 E35:BL35 E33:BL33">
    <cfRule type="expression" dxfId="280" priority="7">
      <formula>E$35="不適合"</formula>
    </cfRule>
  </conditionalFormatting>
  <conditionalFormatting sqref="E33:BL33">
    <cfRule type="cellIs" dxfId="279" priority="9" operator="lessThan">
      <formula>30</formula>
    </cfRule>
    <cfRule type="expression" dxfId="278" priority="10">
      <formula>E33="入力確認"</formula>
    </cfRule>
  </conditionalFormatting>
  <conditionalFormatting sqref="E31:BL31 E34:BL34">
    <cfRule type="expression" dxfId="277" priority="6">
      <formula>E$31-E$30&lt;0</formula>
    </cfRule>
  </conditionalFormatting>
  <conditionalFormatting sqref="I21">
    <cfRule type="expression" dxfId="276" priority="19">
      <formula>$I$21="必要換気量に係る要件を満たしていないため、申請できません。"</formula>
    </cfRule>
    <cfRule type="expression" dxfId="275" priority="22">
      <formula>$I$21="「換気設備導入前後の比較表」の入力をご確認ください。"</formula>
    </cfRule>
  </conditionalFormatting>
  <conditionalFormatting sqref="E32:BL32">
    <cfRule type="expression" dxfId="274" priority="8">
      <formula>E32="入力確認"</formula>
    </cfRule>
  </conditionalFormatting>
  <conditionalFormatting sqref="E34:BL34">
    <cfRule type="expression" dxfId="273" priority="11">
      <formula>E34="不適合"</formula>
    </cfRule>
  </conditionalFormatting>
  <conditionalFormatting sqref="E29:BL29">
    <cfRule type="expression" dxfId="272" priority="5">
      <formula>AND(E29&lt;=0,E40=0)</formula>
    </cfRule>
  </conditionalFormatting>
  <conditionalFormatting sqref="E27:BL28">
    <cfRule type="expression" dxfId="271" priority="3">
      <formula>AND(E$27="機械換気",E$28=0)</formula>
    </cfRule>
  </conditionalFormatting>
  <conditionalFormatting sqref="E27:BL27 E30:BL30">
    <cfRule type="expression" dxfId="270" priority="1">
      <formula>AND(E$27="自然換気",E$30&gt;0)</formula>
    </cfRule>
  </conditionalFormatting>
  <conditionalFormatting sqref="I21:Q21">
    <cfRule type="expression" dxfId="269" priority="18">
      <formula>$I$21="「換気設備導入前後の比較表」を入力してください"</formula>
    </cfRule>
  </conditionalFormatting>
  <dataValidations xWindow="937" yWindow="277" count="4">
    <dataValidation allowBlank="1" sqref="C15:C16"/>
    <dataValidation type="whole" operator="greaterThanOrEqual" allowBlank="1" showInputMessage="1" showErrorMessage="1" prompt="利用人数を整数で入力してください" sqref="E28:BL29">
      <formula1>0</formula1>
    </dataValidation>
    <dataValidation type="whole" operator="greaterThanOrEqual" allowBlank="1" showInputMessage="1" showErrorMessage="1" prompt="”0”以上の整数を入力してください。" sqref="E31:BL31">
      <formula1>0</formula1>
    </dataValidation>
    <dataValidation type="whole" operator="greaterThanOrEqual" allowBlank="1" showInputMessage="1" showErrorMessage="1" prompt="自然換気は、”0”を入力。_x000a_機械換気は、”0”以上の整数を入力してください。" sqref="E30:BL30">
      <formula1>0</formula1>
    </dataValidation>
  </dataValidations>
  <pageMargins left="0.43307086614173229" right="0.31496062992125984" top="1.1023622047244095" bottom="0.82677165354330717" header="0.6692913385826772" footer="0.31496062992125984"/>
  <pageSetup paperSize="9" scale="60" fitToWidth="0" orientation="landscape" r:id="rId1"/>
  <headerFooter>
    <oddHeader>&amp;C&amp;20換気量・省エネ計算シート</oddHeader>
    <oddFooter>&amp;C&amp;14&amp;P</oddFooter>
  </headerFooter>
  <colBreaks count="3" manualBreakCount="3">
    <brk id="19" min="19" max="36" man="1"/>
    <brk id="34" min="19" max="36" man="1"/>
    <brk id="49" min="19" max="36" man="1"/>
  </colBreaks>
  <drawing r:id="rId2"/>
  <legacyDrawing r:id="rId3"/>
  <extLst>
    <ext xmlns:x14="http://schemas.microsoft.com/office/spreadsheetml/2009/9/main" uri="{CCE6A557-97BC-4b89-ADB6-D9C93CAAB3DF}">
      <x14:dataValidations xmlns:xm="http://schemas.microsoft.com/office/excel/2006/main" xWindow="937" yWindow="277" count="2">
        <x14:dataValidation type="list" allowBlank="1" showInputMessage="1" showErrorMessage="1">
          <x14:formula1>
            <xm:f>計算!$T$17:$T$18</xm:f>
          </x14:formula1>
          <xm:sqref>E27:BL27</xm:sqref>
        </x14:dataValidation>
        <x14:dataValidation type="list" allowBlank="1" showInputMessage="1" showErrorMessage="1">
          <x14:formula1>
            <xm:f>計算!$Z$4:$Z$14</xm:f>
          </x14:formula1>
          <xm:sqref>E24:BL24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ummaryRight="0"/>
    <pageSetUpPr fitToPage="1"/>
  </sheetPr>
  <dimension ref="B1:BO54"/>
  <sheetViews>
    <sheetView zoomScale="70" zoomScaleNormal="70" workbookViewId="0">
      <selection activeCell="B20" sqref="B20"/>
    </sheetView>
  </sheetViews>
  <sheetFormatPr defaultColWidth="7.19921875" defaultRowHeight="19.5" x14ac:dyDescent="0.45"/>
  <cols>
    <col min="1" max="1" width="2.19921875" style="43" customWidth="1"/>
    <col min="2" max="2" width="14.8984375" style="43" customWidth="1"/>
    <col min="3" max="3" width="4.796875" style="43" customWidth="1"/>
    <col min="4" max="4" width="4" style="43" customWidth="1"/>
    <col min="5" max="13" width="9.796875" style="43" customWidth="1"/>
    <col min="14" max="14" width="9.796875" style="43" customWidth="1" collapsed="1"/>
    <col min="15" max="28" width="9.796875" style="43" customWidth="1"/>
    <col min="29" max="29" width="9.796875" style="43" customWidth="1" collapsed="1"/>
    <col min="30" max="36" width="9.796875" style="43" customWidth="1"/>
    <col min="37" max="37" width="9.796875" style="50" customWidth="1"/>
    <col min="38" max="54" width="9.796875" style="43" customWidth="1"/>
    <col min="55" max="65" width="9.8984375" style="43" customWidth="1"/>
    <col min="66" max="16384" width="7.19921875" style="43"/>
  </cols>
  <sheetData>
    <row r="1" spans="2:34" s="64" customFormat="1" ht="18.75" x14ac:dyDescent="0.45"/>
    <row r="2" spans="2:34" s="23" customFormat="1" x14ac:dyDescent="0.45">
      <c r="B2" s="55" t="s">
        <v>213</v>
      </c>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2:34" s="64" customFormat="1" x14ac:dyDescent="0.45">
      <c r="B3" s="79" t="s">
        <v>214</v>
      </c>
      <c r="C3" s="43"/>
      <c r="D3" s="43"/>
      <c r="E3" s="43"/>
      <c r="F3" s="43"/>
      <c r="G3" s="43"/>
      <c r="H3" s="43"/>
      <c r="I3" s="43"/>
      <c r="J3" s="43"/>
      <c r="K3" s="56"/>
      <c r="L3" s="43"/>
      <c r="M3" s="43"/>
      <c r="N3" s="43"/>
      <c r="O3" s="43"/>
      <c r="P3" s="43"/>
      <c r="Q3" s="43"/>
      <c r="R3" s="43"/>
      <c r="S3" s="43"/>
      <c r="T3" s="43"/>
      <c r="U3" s="43"/>
      <c r="V3" s="43"/>
      <c r="W3" s="43"/>
      <c r="X3" s="43"/>
      <c r="Y3" s="43"/>
      <c r="Z3" s="43"/>
      <c r="AA3" s="43"/>
      <c r="AB3" s="43"/>
      <c r="AC3" s="43"/>
      <c r="AD3" s="43"/>
      <c r="AE3" s="43"/>
      <c r="AF3" s="43"/>
      <c r="AG3" s="43"/>
      <c r="AH3" s="43"/>
    </row>
    <row r="4" spans="2:34" s="64" customFormat="1" x14ac:dyDescent="0.45">
      <c r="B4" s="79"/>
      <c r="C4" s="43"/>
      <c r="D4" s="43"/>
      <c r="E4" s="43"/>
      <c r="F4" s="43"/>
      <c r="G4" s="43"/>
      <c r="H4" s="43"/>
      <c r="I4" s="43"/>
      <c r="J4" s="43"/>
      <c r="K4" s="56"/>
      <c r="L4" s="43"/>
      <c r="M4" s="43"/>
      <c r="N4" s="43"/>
      <c r="O4" s="43"/>
      <c r="P4" s="43"/>
      <c r="Q4" s="43"/>
      <c r="R4" s="43"/>
      <c r="S4" s="43"/>
      <c r="T4" s="43"/>
      <c r="U4" s="43"/>
      <c r="V4" s="43"/>
      <c r="W4" s="43"/>
      <c r="X4" s="43"/>
      <c r="Y4" s="43"/>
      <c r="Z4" s="43"/>
      <c r="AA4" s="43"/>
      <c r="AB4" s="43"/>
      <c r="AC4" s="43"/>
      <c r="AD4" s="43"/>
      <c r="AE4" s="43"/>
      <c r="AF4" s="43"/>
      <c r="AG4" s="43"/>
      <c r="AH4" s="43"/>
    </row>
    <row r="5" spans="2:34" s="23" customFormat="1" x14ac:dyDescent="0.45">
      <c r="B5" s="55" t="s">
        <v>166</v>
      </c>
      <c r="C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2:34" s="64" customFormat="1" x14ac:dyDescent="0.45">
      <c r="B6" s="128" t="s">
        <v>628</v>
      </c>
      <c r="C6" s="43"/>
      <c r="D6" s="43"/>
      <c r="E6" s="43"/>
      <c r="F6" s="43"/>
      <c r="G6" s="43"/>
      <c r="H6" s="43"/>
      <c r="I6" s="43"/>
      <c r="J6" s="43"/>
      <c r="K6" s="56"/>
      <c r="L6" s="43"/>
      <c r="M6" s="43"/>
      <c r="N6" s="43"/>
      <c r="O6" s="43"/>
      <c r="P6" s="43"/>
      <c r="Q6" s="43"/>
      <c r="R6" s="43"/>
      <c r="S6" s="43"/>
      <c r="T6" s="43"/>
      <c r="U6" s="43"/>
      <c r="V6" s="43"/>
      <c r="W6" s="43"/>
      <c r="X6" s="43"/>
      <c r="Y6" s="43"/>
      <c r="Z6" s="43"/>
      <c r="AA6" s="43"/>
      <c r="AB6" s="43"/>
      <c r="AC6" s="43"/>
      <c r="AD6" s="43"/>
      <c r="AE6" s="43"/>
      <c r="AF6" s="43"/>
      <c r="AG6" s="43"/>
      <c r="AH6" s="43"/>
    </row>
    <row r="7" spans="2:34" s="64" customFormat="1" x14ac:dyDescent="0.45">
      <c r="B7" s="128" t="s">
        <v>629</v>
      </c>
      <c r="C7" s="43"/>
      <c r="D7" s="43"/>
      <c r="E7" s="43"/>
      <c r="F7" s="43"/>
      <c r="G7" s="43"/>
      <c r="H7" s="43"/>
      <c r="I7" s="43"/>
      <c r="J7" s="43"/>
      <c r="K7" s="56"/>
      <c r="L7" s="43"/>
      <c r="M7" s="43"/>
      <c r="N7" s="43"/>
      <c r="O7" s="43"/>
      <c r="P7" s="43"/>
      <c r="Q7" s="43"/>
      <c r="R7" s="43"/>
      <c r="S7" s="43"/>
      <c r="T7" s="43"/>
      <c r="U7" s="43"/>
      <c r="V7" s="43"/>
      <c r="W7" s="43"/>
      <c r="X7" s="43"/>
      <c r="Y7" s="43"/>
      <c r="Z7" s="43"/>
      <c r="AA7" s="43"/>
      <c r="AB7" s="43"/>
      <c r="AC7" s="43"/>
      <c r="AD7" s="43"/>
      <c r="AE7" s="43"/>
      <c r="AF7" s="43"/>
      <c r="AG7" s="43"/>
      <c r="AH7" s="43"/>
    </row>
    <row r="8" spans="2:34" s="64" customFormat="1" x14ac:dyDescent="0.45">
      <c r="B8" s="128" t="s">
        <v>630</v>
      </c>
      <c r="C8" s="43"/>
      <c r="D8" s="43"/>
      <c r="E8" s="43"/>
      <c r="F8" s="43"/>
      <c r="G8" s="43"/>
      <c r="H8" s="43"/>
      <c r="I8" s="43"/>
      <c r="J8" s="43"/>
      <c r="K8" s="56"/>
      <c r="L8" s="43"/>
      <c r="M8" s="43"/>
      <c r="N8" s="43"/>
      <c r="O8" s="43"/>
      <c r="P8" s="43"/>
      <c r="Q8" s="43"/>
      <c r="R8" s="43"/>
      <c r="S8" s="43"/>
      <c r="T8" s="43"/>
      <c r="U8" s="43"/>
      <c r="V8" s="43"/>
      <c r="W8" s="43"/>
      <c r="X8" s="43"/>
      <c r="Y8" s="43"/>
      <c r="Z8" s="43"/>
      <c r="AA8" s="43"/>
      <c r="AB8" s="43"/>
      <c r="AC8" s="43"/>
      <c r="AD8" s="43"/>
      <c r="AE8" s="43"/>
      <c r="AF8" s="43"/>
      <c r="AG8" s="43"/>
      <c r="AH8" s="43"/>
    </row>
    <row r="9" spans="2:34" s="64" customFormat="1" x14ac:dyDescent="0.45">
      <c r="B9" s="128" t="s">
        <v>472</v>
      </c>
      <c r="C9" s="43"/>
      <c r="D9" s="93"/>
      <c r="E9" s="93"/>
      <c r="F9" s="93"/>
      <c r="G9" s="43"/>
      <c r="H9" s="43"/>
      <c r="I9" s="43"/>
      <c r="J9" s="43"/>
      <c r="K9" s="56"/>
      <c r="L9" s="43"/>
      <c r="M9" s="43"/>
      <c r="N9" s="43"/>
      <c r="O9" s="43"/>
      <c r="P9" s="43"/>
      <c r="Q9" s="43"/>
      <c r="R9" s="43"/>
      <c r="S9" s="43"/>
      <c r="T9" s="43"/>
      <c r="U9" s="43"/>
      <c r="V9" s="43"/>
      <c r="W9" s="43"/>
      <c r="X9" s="43"/>
      <c r="Y9" s="43"/>
      <c r="Z9" s="43"/>
      <c r="AA9" s="43"/>
      <c r="AB9" s="43"/>
      <c r="AC9" s="43"/>
      <c r="AD9" s="43"/>
      <c r="AE9" s="43"/>
      <c r="AF9" s="43"/>
      <c r="AG9" s="43"/>
      <c r="AH9" s="43"/>
    </row>
    <row r="10" spans="2:34" s="64" customFormat="1" x14ac:dyDescent="0.45">
      <c r="B10" s="128" t="s">
        <v>473</v>
      </c>
      <c r="C10" s="43"/>
      <c r="D10" s="43"/>
      <c r="E10" s="43"/>
      <c r="F10" s="43"/>
      <c r="G10" s="43"/>
      <c r="H10" s="43"/>
      <c r="I10" s="43"/>
      <c r="J10" s="43"/>
      <c r="K10" s="56"/>
      <c r="L10" s="43"/>
      <c r="M10" s="43"/>
      <c r="N10" s="43"/>
      <c r="O10" s="43"/>
      <c r="P10" s="43"/>
      <c r="Q10" s="43"/>
      <c r="R10" s="43"/>
      <c r="S10" s="43"/>
      <c r="T10" s="43"/>
      <c r="U10" s="43"/>
      <c r="V10" s="43"/>
      <c r="W10" s="43"/>
      <c r="X10" s="43"/>
      <c r="Y10" s="43"/>
      <c r="Z10" s="43"/>
      <c r="AA10" s="43"/>
      <c r="AB10" s="43"/>
      <c r="AC10" s="43"/>
      <c r="AD10" s="43"/>
      <c r="AE10" s="43"/>
      <c r="AF10" s="43"/>
      <c r="AG10" s="43"/>
      <c r="AH10" s="43"/>
    </row>
    <row r="11" spans="2:34" s="64" customFormat="1" x14ac:dyDescent="0.45">
      <c r="B11" s="128" t="s">
        <v>409</v>
      </c>
      <c r="C11" s="43"/>
      <c r="D11" s="43"/>
      <c r="E11" s="43"/>
      <c r="F11" s="43"/>
      <c r="G11" s="43"/>
      <c r="H11" s="43"/>
      <c r="I11" s="43"/>
      <c r="J11" s="43"/>
      <c r="K11" s="56"/>
      <c r="L11" s="43"/>
      <c r="M11" s="43"/>
      <c r="N11" s="43"/>
      <c r="O11" s="43"/>
      <c r="P11" s="43"/>
      <c r="Q11" s="43"/>
      <c r="R11" s="43"/>
      <c r="S11" s="43"/>
      <c r="T11" s="43"/>
      <c r="U11" s="43"/>
      <c r="V11" s="43"/>
      <c r="W11" s="43"/>
      <c r="X11" s="43"/>
      <c r="Y11" s="43"/>
      <c r="Z11" s="43"/>
      <c r="AA11" s="43"/>
      <c r="AB11" s="43"/>
      <c r="AC11" s="43"/>
      <c r="AD11" s="43"/>
      <c r="AE11" s="43"/>
      <c r="AF11" s="43"/>
      <c r="AG11" s="43"/>
      <c r="AH11" s="43"/>
    </row>
    <row r="12" spans="2:34" s="64" customFormat="1" x14ac:dyDescent="0.45">
      <c r="B12" s="128" t="s">
        <v>408</v>
      </c>
      <c r="C12" s="43"/>
      <c r="D12" s="43"/>
      <c r="E12" s="43"/>
      <c r="F12" s="43"/>
      <c r="G12" s="43"/>
      <c r="H12" s="43"/>
      <c r="I12" s="43"/>
      <c r="J12" s="43"/>
      <c r="K12" s="56"/>
      <c r="L12" s="43"/>
      <c r="M12" s="43"/>
      <c r="N12" s="43"/>
      <c r="O12" s="43"/>
      <c r="P12" s="43"/>
      <c r="Q12" s="43"/>
      <c r="R12" s="43"/>
      <c r="S12" s="43"/>
      <c r="T12" s="43"/>
      <c r="U12" s="43"/>
      <c r="V12" s="43"/>
      <c r="W12" s="43"/>
      <c r="X12" s="43"/>
      <c r="Y12" s="43"/>
      <c r="Z12" s="43"/>
      <c r="AA12" s="43"/>
      <c r="AB12" s="43"/>
      <c r="AC12" s="43"/>
      <c r="AD12" s="43"/>
      <c r="AE12" s="43"/>
      <c r="AF12" s="43"/>
      <c r="AG12" s="43"/>
      <c r="AH12" s="43"/>
    </row>
    <row r="13" spans="2:34" s="64" customFormat="1" x14ac:dyDescent="0.45">
      <c r="B13" s="146" t="s">
        <v>407</v>
      </c>
      <c r="C13" s="43"/>
      <c r="D13" s="43"/>
      <c r="E13" s="43"/>
      <c r="F13" s="43"/>
      <c r="G13" s="43"/>
      <c r="H13" s="43"/>
      <c r="I13" s="43"/>
      <c r="J13" s="43"/>
      <c r="K13" s="56"/>
      <c r="L13" s="43"/>
      <c r="M13" s="43"/>
      <c r="N13" s="43"/>
      <c r="O13" s="43"/>
      <c r="P13" s="43"/>
      <c r="Q13" s="43"/>
      <c r="R13" s="43"/>
      <c r="S13" s="43"/>
      <c r="T13" s="43"/>
      <c r="U13" s="43"/>
      <c r="V13" s="43"/>
      <c r="W13" s="43"/>
      <c r="X13" s="43"/>
      <c r="Y13" s="43"/>
      <c r="Z13" s="43"/>
      <c r="AA13" s="43"/>
      <c r="AB13" s="43"/>
      <c r="AC13" s="43"/>
      <c r="AD13" s="43"/>
      <c r="AE13" s="43"/>
      <c r="AF13" s="43"/>
      <c r="AG13" s="43"/>
      <c r="AH13" s="43"/>
    </row>
    <row r="14" spans="2:34" s="23" customFormat="1" x14ac:dyDescent="0.45">
      <c r="B14" s="55"/>
      <c r="C14" s="55"/>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2:34" s="23" customFormat="1" x14ac:dyDescent="0.45">
      <c r="B15" s="95" t="s">
        <v>167</v>
      </c>
      <c r="C15" s="57"/>
      <c r="D15" s="56" t="s">
        <v>633</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2:34" s="23" customFormat="1" x14ac:dyDescent="0.45">
      <c r="B16" s="58"/>
      <c r="C16" s="59"/>
      <c r="D16" s="56" t="s">
        <v>635</v>
      </c>
      <c r="F16" s="56"/>
      <c r="G16" s="56"/>
      <c r="H16" s="56"/>
      <c r="I16" s="56"/>
      <c r="J16" s="56"/>
      <c r="K16" s="60"/>
      <c r="L16" s="56"/>
      <c r="M16" s="56"/>
      <c r="N16" s="60"/>
      <c r="O16" s="60"/>
      <c r="P16" s="60"/>
      <c r="Q16" s="60"/>
      <c r="R16" s="60"/>
      <c r="S16" s="60"/>
      <c r="T16" s="60"/>
      <c r="U16" s="60"/>
      <c r="V16" s="60"/>
      <c r="W16" s="60"/>
      <c r="X16" s="60"/>
      <c r="Y16" s="60"/>
      <c r="Z16" s="60"/>
      <c r="AA16" s="60"/>
      <c r="AB16" s="60"/>
      <c r="AC16" s="60"/>
      <c r="AD16" s="60"/>
      <c r="AE16" s="60"/>
      <c r="AF16" s="60"/>
      <c r="AG16" s="60"/>
      <c r="AH16" s="60"/>
    </row>
    <row r="17" spans="2:67" s="23" customFormat="1" x14ac:dyDescent="0.45">
      <c r="B17" s="58"/>
      <c r="C17" s="61"/>
      <c r="D17" s="52" t="s">
        <v>634</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2:67" s="23" customFormat="1" x14ac:dyDescent="0.45">
      <c r="B18" s="58"/>
      <c r="C18" s="58"/>
      <c r="D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2:67" s="23" customFormat="1" x14ac:dyDescent="0.45">
      <c r="B19" s="58" t="s">
        <v>641</v>
      </c>
      <c r="C19" s="58"/>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2:67" ht="24.75" customHeight="1" thickBot="1" x14ac:dyDescent="0.5">
      <c r="AI20" s="124"/>
    </row>
    <row r="21" spans="2:67" ht="49.5" customHeight="1" thickTop="1" thickBot="1" x14ac:dyDescent="0.5">
      <c r="B21" s="97" t="s">
        <v>189</v>
      </c>
      <c r="C21" s="97"/>
      <c r="D21" s="97"/>
      <c r="E21" s="97"/>
      <c r="F21" s="97"/>
      <c r="G21" s="361" t="s">
        <v>257</v>
      </c>
      <c r="H21" s="362"/>
      <c r="I21" s="358" t="str">
        <f>IF(SUM($E40:$BL40)=120,"「換気設備導入前後の比較表」を入力してください",IF(I42="入力確認","「換気設備導入前後の比較表」の入力をご確認ください。",IF(SUM(E41:BL41)=0,"必要換気量に係る要件を満たしています。","必要換気量に係る要件を満たしていないため、申請できません。")))</f>
        <v>「換気設備導入前後の比較表」の入力をご確認ください。</v>
      </c>
      <c r="J21" s="359"/>
      <c r="K21" s="359"/>
      <c r="L21" s="359"/>
      <c r="M21" s="359"/>
      <c r="N21" s="359"/>
      <c r="O21" s="359"/>
      <c r="P21" s="359"/>
      <c r="Q21" s="360"/>
    </row>
    <row r="22" spans="2:67" ht="24.75" customHeight="1" thickTop="1" x14ac:dyDescent="0.5">
      <c r="B22" s="96"/>
      <c r="C22" s="96"/>
      <c r="D22" s="96"/>
      <c r="E22" s="96"/>
      <c r="F22" s="96"/>
      <c r="G22" s="96"/>
      <c r="H22" s="96"/>
      <c r="I22" s="96"/>
      <c r="J22" s="96"/>
      <c r="K22" s="96"/>
      <c r="L22" s="96"/>
      <c r="M22" s="96"/>
      <c r="N22" s="121"/>
      <c r="O22" s="145"/>
      <c r="P22" s="145"/>
      <c r="Q22" s="145"/>
      <c r="R22" s="145"/>
      <c r="S22" s="145"/>
      <c r="T22" s="145"/>
      <c r="U22" s="145"/>
      <c r="V22" s="145"/>
      <c r="W22" s="145"/>
      <c r="X22" s="145"/>
      <c r="Y22" s="145"/>
      <c r="Z22" s="145"/>
      <c r="AA22" s="145"/>
      <c r="AB22" s="145"/>
      <c r="AC22" s="145"/>
      <c r="AD22" s="145"/>
      <c r="AE22" s="145"/>
      <c r="AF22" s="145"/>
      <c r="AG22" s="145"/>
      <c r="AH22" s="145"/>
    </row>
    <row r="23" spans="2:67" ht="42" customHeight="1" x14ac:dyDescent="0.45">
      <c r="B23" s="367" t="s">
        <v>125</v>
      </c>
      <c r="C23" s="367"/>
      <c r="D23" s="367"/>
      <c r="E23" s="144" t="s">
        <v>315</v>
      </c>
      <c r="F23" s="144" t="s">
        <v>316</v>
      </c>
      <c r="G23" s="144" t="s">
        <v>317</v>
      </c>
      <c r="H23" s="144" t="s">
        <v>318</v>
      </c>
      <c r="I23" s="144" t="s">
        <v>319</v>
      </c>
      <c r="J23" s="144" t="s">
        <v>320</v>
      </c>
      <c r="K23" s="144" t="s">
        <v>321</v>
      </c>
      <c r="L23" s="144" t="s">
        <v>322</v>
      </c>
      <c r="M23" s="144" t="s">
        <v>323</v>
      </c>
      <c r="N23" s="144" t="s">
        <v>324</v>
      </c>
      <c r="O23" s="144" t="s">
        <v>325</v>
      </c>
      <c r="P23" s="144" t="s">
        <v>326</v>
      </c>
      <c r="Q23" s="144" t="s">
        <v>327</v>
      </c>
      <c r="R23" s="144" t="s">
        <v>328</v>
      </c>
      <c r="S23" s="144" t="s">
        <v>329</v>
      </c>
      <c r="T23" s="144" t="s">
        <v>330</v>
      </c>
      <c r="U23" s="144" t="s">
        <v>331</v>
      </c>
      <c r="V23" s="144" t="s">
        <v>332</v>
      </c>
      <c r="W23" s="144" t="s">
        <v>333</v>
      </c>
      <c r="X23" s="144" t="s">
        <v>334</v>
      </c>
      <c r="Y23" s="144" t="s">
        <v>335</v>
      </c>
      <c r="Z23" s="144" t="s">
        <v>336</v>
      </c>
      <c r="AA23" s="144" t="s">
        <v>337</v>
      </c>
      <c r="AB23" s="144" t="s">
        <v>338</v>
      </c>
      <c r="AC23" s="144" t="s">
        <v>339</v>
      </c>
      <c r="AD23" s="144" t="s">
        <v>340</v>
      </c>
      <c r="AE23" s="144" t="s">
        <v>341</v>
      </c>
      <c r="AF23" s="144" t="s">
        <v>342</v>
      </c>
      <c r="AG23" s="144" t="s">
        <v>343</v>
      </c>
      <c r="AH23" s="144" t="s">
        <v>344</v>
      </c>
      <c r="AI23" s="144" t="s">
        <v>387</v>
      </c>
      <c r="AJ23" s="144" t="s">
        <v>388</v>
      </c>
      <c r="AK23" s="144" t="s">
        <v>389</v>
      </c>
      <c r="AL23" s="144" t="s">
        <v>390</v>
      </c>
      <c r="AM23" s="144" t="s">
        <v>391</v>
      </c>
      <c r="AN23" s="144" t="s">
        <v>392</v>
      </c>
      <c r="AO23" s="144" t="s">
        <v>393</v>
      </c>
      <c r="AP23" s="144" t="s">
        <v>394</v>
      </c>
      <c r="AQ23" s="144" t="s">
        <v>395</v>
      </c>
      <c r="AR23" s="144" t="s">
        <v>396</v>
      </c>
      <c r="AS23" s="144" t="s">
        <v>397</v>
      </c>
      <c r="AT23" s="144" t="s">
        <v>398</v>
      </c>
      <c r="AU23" s="144" t="s">
        <v>399</v>
      </c>
      <c r="AV23" s="144" t="s">
        <v>400</v>
      </c>
      <c r="AW23" s="144" t="s">
        <v>401</v>
      </c>
      <c r="AX23" s="144" t="s">
        <v>402</v>
      </c>
      <c r="AY23" s="144" t="s">
        <v>403</v>
      </c>
      <c r="AZ23" s="144" t="s">
        <v>404</v>
      </c>
      <c r="BA23" s="144" t="s">
        <v>405</v>
      </c>
      <c r="BB23" s="144" t="s">
        <v>406</v>
      </c>
      <c r="BC23" s="144" t="s">
        <v>418</v>
      </c>
      <c r="BD23" s="144" t="s">
        <v>419</v>
      </c>
      <c r="BE23" s="144" t="s">
        <v>420</v>
      </c>
      <c r="BF23" s="144" t="s">
        <v>421</v>
      </c>
      <c r="BG23" s="144" t="s">
        <v>422</v>
      </c>
      <c r="BH23" s="144" t="s">
        <v>423</v>
      </c>
      <c r="BI23" s="144" t="s">
        <v>424</v>
      </c>
      <c r="BJ23" s="144" t="s">
        <v>425</v>
      </c>
      <c r="BK23" s="144" t="s">
        <v>426</v>
      </c>
      <c r="BL23" s="144" t="s">
        <v>427</v>
      </c>
      <c r="BO23" s="50"/>
    </row>
    <row r="24" spans="2:67" ht="58.5" customHeight="1" x14ac:dyDescent="0.45">
      <c r="B24" s="367" t="s">
        <v>126</v>
      </c>
      <c r="C24" s="367"/>
      <c r="D24" s="367"/>
      <c r="E24" s="101" t="s">
        <v>90</v>
      </c>
      <c r="F24" s="101" t="s">
        <v>90</v>
      </c>
      <c r="G24" s="101" t="s">
        <v>90</v>
      </c>
      <c r="H24" s="101" t="s">
        <v>100</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N24" s="128"/>
      <c r="BO24" s="50"/>
    </row>
    <row r="25" spans="2:67" ht="49.5" customHeight="1" x14ac:dyDescent="0.45">
      <c r="B25" s="368" t="s">
        <v>130</v>
      </c>
      <c r="C25" s="368"/>
      <c r="D25" s="368"/>
      <c r="E25" s="102">
        <v>50.2</v>
      </c>
      <c r="F25" s="102">
        <v>50.2</v>
      </c>
      <c r="G25" s="102">
        <v>100</v>
      </c>
      <c r="H25" s="102">
        <v>120.5</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O25" s="50"/>
    </row>
    <row r="26" spans="2:67" ht="49.5" customHeight="1" thickBot="1" x14ac:dyDescent="0.5">
      <c r="B26" s="368" t="s">
        <v>133</v>
      </c>
      <c r="C26" s="368"/>
      <c r="D26" s="368"/>
      <c r="E26" s="102">
        <v>2.5</v>
      </c>
      <c r="F26" s="102">
        <v>2.5</v>
      </c>
      <c r="G26" s="246">
        <v>2.5</v>
      </c>
      <c r="H26" s="102">
        <v>3.2</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O26" s="50"/>
    </row>
    <row r="27" spans="2:67" ht="49.5" customHeight="1" thickTop="1" thickBot="1" x14ac:dyDescent="0.5">
      <c r="B27" s="368" t="s">
        <v>173</v>
      </c>
      <c r="C27" s="368"/>
      <c r="D27" s="368"/>
      <c r="E27" s="103" t="s">
        <v>129</v>
      </c>
      <c r="F27" s="242" t="s">
        <v>132</v>
      </c>
      <c r="G27" s="249"/>
      <c r="H27" s="244" t="s">
        <v>132</v>
      </c>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N27" s="128"/>
      <c r="BO27" s="50"/>
    </row>
    <row r="28" spans="2:67" ht="49.5" customHeight="1" thickTop="1" x14ac:dyDescent="0.45">
      <c r="B28" s="365" t="s">
        <v>345</v>
      </c>
      <c r="C28" s="368" t="s">
        <v>136</v>
      </c>
      <c r="D28" s="368"/>
      <c r="E28" s="104">
        <v>15</v>
      </c>
      <c r="F28" s="104">
        <v>10</v>
      </c>
      <c r="G28" s="248">
        <v>20</v>
      </c>
      <c r="H28" s="104">
        <v>20</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O28" s="50"/>
    </row>
    <row r="29" spans="2:67" ht="49.5" customHeight="1" thickBot="1" x14ac:dyDescent="0.5">
      <c r="B29" s="366"/>
      <c r="C29" s="368" t="s">
        <v>168</v>
      </c>
      <c r="D29" s="368"/>
      <c r="E29" s="104">
        <v>15</v>
      </c>
      <c r="F29" s="104">
        <v>10</v>
      </c>
      <c r="G29" s="247">
        <v>20</v>
      </c>
      <c r="H29" s="104">
        <v>20</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O29" s="50"/>
    </row>
    <row r="30" spans="2:67" ht="49.5" customHeight="1" thickTop="1" thickBot="1" x14ac:dyDescent="0.5">
      <c r="B30" s="365" t="s">
        <v>174</v>
      </c>
      <c r="C30" s="368" t="s">
        <v>136</v>
      </c>
      <c r="D30" s="368"/>
      <c r="E30" s="104">
        <v>500</v>
      </c>
      <c r="F30" s="243">
        <v>0</v>
      </c>
      <c r="G30" s="250"/>
      <c r="H30" s="245">
        <v>0</v>
      </c>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O30" s="50"/>
    </row>
    <row r="31" spans="2:67" ht="49.5" customHeight="1" thickTop="1" x14ac:dyDescent="0.45">
      <c r="B31" s="366"/>
      <c r="C31" s="368" t="s">
        <v>168</v>
      </c>
      <c r="D31" s="368"/>
      <c r="E31" s="104">
        <v>1200</v>
      </c>
      <c r="F31" s="104">
        <v>600</v>
      </c>
      <c r="G31" s="248">
        <v>1000</v>
      </c>
      <c r="H31" s="104">
        <v>1000</v>
      </c>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O31" s="50"/>
    </row>
    <row r="32" spans="2:67" ht="49.5" customHeight="1" x14ac:dyDescent="0.45">
      <c r="B32" s="365" t="s">
        <v>140</v>
      </c>
      <c r="C32" s="368" t="s">
        <v>136</v>
      </c>
      <c r="D32" s="368"/>
      <c r="E32" s="207">
        <f>IF(E40&lt;&gt;0,"",IF(E27="自然換気",0,IF(ISERROR(E30/E28),"入力確認",E30/E28)))</f>
        <v>33.333333333333336</v>
      </c>
      <c r="F32" s="207">
        <f t="shared" ref="F32:BL32" si="0">IF(F40&lt;&gt;0,"",IF(F27="自然換気",0,IF(ISERROR(F30/F28),"入力確認",F30/F28)))</f>
        <v>0</v>
      </c>
      <c r="G32" s="207" t="str">
        <f t="shared" si="0"/>
        <v/>
      </c>
      <c r="H32" s="207">
        <f t="shared" si="0"/>
        <v>0</v>
      </c>
      <c r="I32" s="207" t="str">
        <f t="shared" si="0"/>
        <v/>
      </c>
      <c r="J32" s="207" t="str">
        <f t="shared" si="0"/>
        <v/>
      </c>
      <c r="K32" s="207" t="str">
        <f t="shared" si="0"/>
        <v/>
      </c>
      <c r="L32" s="207" t="str">
        <f t="shared" si="0"/>
        <v/>
      </c>
      <c r="M32" s="207" t="str">
        <f t="shared" si="0"/>
        <v/>
      </c>
      <c r="N32" s="207" t="str">
        <f t="shared" si="0"/>
        <v/>
      </c>
      <c r="O32" s="207" t="str">
        <f t="shared" si="0"/>
        <v/>
      </c>
      <c r="P32" s="207" t="str">
        <f t="shared" si="0"/>
        <v/>
      </c>
      <c r="Q32" s="207" t="str">
        <f t="shared" si="0"/>
        <v/>
      </c>
      <c r="R32" s="207" t="str">
        <f t="shared" si="0"/>
        <v/>
      </c>
      <c r="S32" s="207" t="str">
        <f t="shared" si="0"/>
        <v/>
      </c>
      <c r="T32" s="207" t="str">
        <f t="shared" si="0"/>
        <v/>
      </c>
      <c r="U32" s="207" t="str">
        <f t="shared" si="0"/>
        <v/>
      </c>
      <c r="V32" s="207" t="str">
        <f t="shared" si="0"/>
        <v/>
      </c>
      <c r="W32" s="207" t="str">
        <f t="shared" si="0"/>
        <v/>
      </c>
      <c r="X32" s="207" t="str">
        <f t="shared" si="0"/>
        <v/>
      </c>
      <c r="Y32" s="207" t="str">
        <f t="shared" si="0"/>
        <v/>
      </c>
      <c r="Z32" s="207" t="str">
        <f t="shared" si="0"/>
        <v/>
      </c>
      <c r="AA32" s="207" t="str">
        <f t="shared" si="0"/>
        <v/>
      </c>
      <c r="AB32" s="207" t="str">
        <f t="shared" si="0"/>
        <v/>
      </c>
      <c r="AC32" s="207" t="str">
        <f t="shared" si="0"/>
        <v/>
      </c>
      <c r="AD32" s="207" t="str">
        <f t="shared" si="0"/>
        <v/>
      </c>
      <c r="AE32" s="207" t="str">
        <f t="shared" si="0"/>
        <v/>
      </c>
      <c r="AF32" s="207" t="str">
        <f t="shared" si="0"/>
        <v/>
      </c>
      <c r="AG32" s="207" t="str">
        <f t="shared" si="0"/>
        <v/>
      </c>
      <c r="AH32" s="207" t="str">
        <f t="shared" si="0"/>
        <v/>
      </c>
      <c r="AI32" s="207" t="str">
        <f t="shared" si="0"/>
        <v/>
      </c>
      <c r="AJ32" s="207" t="str">
        <f t="shared" si="0"/>
        <v/>
      </c>
      <c r="AK32" s="207" t="str">
        <f t="shared" si="0"/>
        <v/>
      </c>
      <c r="AL32" s="207" t="str">
        <f t="shared" si="0"/>
        <v/>
      </c>
      <c r="AM32" s="207" t="str">
        <f t="shared" si="0"/>
        <v/>
      </c>
      <c r="AN32" s="207" t="str">
        <f t="shared" si="0"/>
        <v/>
      </c>
      <c r="AO32" s="207" t="str">
        <f t="shared" si="0"/>
        <v/>
      </c>
      <c r="AP32" s="207" t="str">
        <f t="shared" si="0"/>
        <v/>
      </c>
      <c r="AQ32" s="207" t="str">
        <f t="shared" si="0"/>
        <v/>
      </c>
      <c r="AR32" s="207" t="str">
        <f t="shared" si="0"/>
        <v/>
      </c>
      <c r="AS32" s="207" t="str">
        <f t="shared" si="0"/>
        <v/>
      </c>
      <c r="AT32" s="207" t="str">
        <f t="shared" si="0"/>
        <v/>
      </c>
      <c r="AU32" s="207" t="str">
        <f t="shared" si="0"/>
        <v/>
      </c>
      <c r="AV32" s="207" t="str">
        <f t="shared" si="0"/>
        <v/>
      </c>
      <c r="AW32" s="207" t="str">
        <f t="shared" si="0"/>
        <v/>
      </c>
      <c r="AX32" s="207" t="str">
        <f t="shared" si="0"/>
        <v/>
      </c>
      <c r="AY32" s="207" t="str">
        <f t="shared" si="0"/>
        <v/>
      </c>
      <c r="AZ32" s="207" t="str">
        <f t="shared" si="0"/>
        <v/>
      </c>
      <c r="BA32" s="207" t="str">
        <f t="shared" si="0"/>
        <v/>
      </c>
      <c r="BB32" s="207" t="str">
        <f t="shared" si="0"/>
        <v/>
      </c>
      <c r="BC32" s="207" t="str">
        <f t="shared" si="0"/>
        <v/>
      </c>
      <c r="BD32" s="207" t="str">
        <f t="shared" si="0"/>
        <v/>
      </c>
      <c r="BE32" s="207" t="str">
        <f t="shared" si="0"/>
        <v/>
      </c>
      <c r="BF32" s="207" t="str">
        <f t="shared" si="0"/>
        <v/>
      </c>
      <c r="BG32" s="207" t="str">
        <f t="shared" si="0"/>
        <v/>
      </c>
      <c r="BH32" s="207" t="str">
        <f t="shared" si="0"/>
        <v/>
      </c>
      <c r="BI32" s="207" t="str">
        <f t="shared" si="0"/>
        <v/>
      </c>
      <c r="BJ32" s="207" t="str">
        <f t="shared" si="0"/>
        <v/>
      </c>
      <c r="BK32" s="207" t="str">
        <f t="shared" si="0"/>
        <v/>
      </c>
      <c r="BL32" s="207" t="str">
        <f t="shared" si="0"/>
        <v/>
      </c>
      <c r="BO32" s="50"/>
    </row>
    <row r="33" spans="2:67" ht="49.5" customHeight="1" thickBot="1" x14ac:dyDescent="0.5">
      <c r="B33" s="366"/>
      <c r="C33" s="368" t="s">
        <v>168</v>
      </c>
      <c r="D33" s="368"/>
      <c r="E33" s="259">
        <f>IF(E40&lt;&gt;0,"",IF(ISERROR(E31/E29),"入力確認",E31/E29))</f>
        <v>80</v>
      </c>
      <c r="F33" s="259">
        <f t="shared" ref="F33:BL33" si="1">IF(F40&lt;&gt;0,"",IF(ISERROR(F31/F29),"入力確認",F31/F29))</f>
        <v>60</v>
      </c>
      <c r="G33" s="259" t="str">
        <f t="shared" si="1"/>
        <v/>
      </c>
      <c r="H33" s="259">
        <f t="shared" si="1"/>
        <v>50</v>
      </c>
      <c r="I33" s="207" t="str">
        <f t="shared" si="1"/>
        <v/>
      </c>
      <c r="J33" s="207" t="str">
        <f t="shared" si="1"/>
        <v/>
      </c>
      <c r="K33" s="207" t="str">
        <f t="shared" si="1"/>
        <v/>
      </c>
      <c r="L33" s="207" t="str">
        <f t="shared" si="1"/>
        <v/>
      </c>
      <c r="M33" s="207" t="str">
        <f>IF(M40&lt;&gt;0,"",IF(ISERROR(M31/M29),"入力確認",M31/M29))</f>
        <v/>
      </c>
      <c r="N33" s="207" t="str">
        <f t="shared" si="1"/>
        <v/>
      </c>
      <c r="O33" s="207" t="str">
        <f t="shared" si="1"/>
        <v/>
      </c>
      <c r="P33" s="207" t="str">
        <f t="shared" si="1"/>
        <v/>
      </c>
      <c r="Q33" s="207" t="str">
        <f t="shared" si="1"/>
        <v/>
      </c>
      <c r="R33" s="207" t="str">
        <f t="shared" si="1"/>
        <v/>
      </c>
      <c r="S33" s="207" t="str">
        <f t="shared" si="1"/>
        <v/>
      </c>
      <c r="T33" s="207" t="str">
        <f t="shared" si="1"/>
        <v/>
      </c>
      <c r="U33" s="207" t="str">
        <f t="shared" si="1"/>
        <v/>
      </c>
      <c r="V33" s="207" t="str">
        <f t="shared" si="1"/>
        <v/>
      </c>
      <c r="W33" s="207" t="str">
        <f t="shared" si="1"/>
        <v/>
      </c>
      <c r="X33" s="207" t="str">
        <f t="shared" si="1"/>
        <v/>
      </c>
      <c r="Y33" s="207" t="str">
        <f t="shared" si="1"/>
        <v/>
      </c>
      <c r="Z33" s="207" t="str">
        <f t="shared" si="1"/>
        <v/>
      </c>
      <c r="AA33" s="207" t="str">
        <f t="shared" si="1"/>
        <v/>
      </c>
      <c r="AB33" s="207" t="str">
        <f t="shared" si="1"/>
        <v/>
      </c>
      <c r="AC33" s="207" t="str">
        <f t="shared" si="1"/>
        <v/>
      </c>
      <c r="AD33" s="207" t="str">
        <f t="shared" si="1"/>
        <v/>
      </c>
      <c r="AE33" s="207" t="str">
        <f t="shared" si="1"/>
        <v/>
      </c>
      <c r="AF33" s="207" t="str">
        <f t="shared" si="1"/>
        <v/>
      </c>
      <c r="AG33" s="207" t="str">
        <f t="shared" si="1"/>
        <v/>
      </c>
      <c r="AH33" s="207" t="str">
        <f t="shared" si="1"/>
        <v/>
      </c>
      <c r="AI33" s="207" t="str">
        <f t="shared" si="1"/>
        <v/>
      </c>
      <c r="AJ33" s="207" t="str">
        <f t="shared" si="1"/>
        <v/>
      </c>
      <c r="AK33" s="207" t="str">
        <f t="shared" si="1"/>
        <v/>
      </c>
      <c r="AL33" s="207" t="str">
        <f t="shared" si="1"/>
        <v/>
      </c>
      <c r="AM33" s="207" t="str">
        <f t="shared" si="1"/>
        <v/>
      </c>
      <c r="AN33" s="207" t="str">
        <f t="shared" si="1"/>
        <v/>
      </c>
      <c r="AO33" s="207" t="str">
        <f t="shared" si="1"/>
        <v/>
      </c>
      <c r="AP33" s="207" t="str">
        <f t="shared" si="1"/>
        <v/>
      </c>
      <c r="AQ33" s="207" t="str">
        <f t="shared" si="1"/>
        <v/>
      </c>
      <c r="AR33" s="207" t="str">
        <f t="shared" si="1"/>
        <v/>
      </c>
      <c r="AS33" s="207" t="str">
        <f t="shared" si="1"/>
        <v/>
      </c>
      <c r="AT33" s="207" t="str">
        <f t="shared" si="1"/>
        <v/>
      </c>
      <c r="AU33" s="207" t="str">
        <f t="shared" si="1"/>
        <v/>
      </c>
      <c r="AV33" s="207" t="str">
        <f t="shared" si="1"/>
        <v/>
      </c>
      <c r="AW33" s="207" t="str">
        <f t="shared" si="1"/>
        <v/>
      </c>
      <c r="AX33" s="207" t="str">
        <f t="shared" si="1"/>
        <v/>
      </c>
      <c r="AY33" s="207" t="str">
        <f t="shared" si="1"/>
        <v/>
      </c>
      <c r="AZ33" s="207" t="str">
        <f t="shared" si="1"/>
        <v/>
      </c>
      <c r="BA33" s="207" t="str">
        <f t="shared" si="1"/>
        <v/>
      </c>
      <c r="BB33" s="207" t="str">
        <f t="shared" si="1"/>
        <v/>
      </c>
      <c r="BC33" s="207" t="str">
        <f t="shared" si="1"/>
        <v/>
      </c>
      <c r="BD33" s="207" t="str">
        <f t="shared" si="1"/>
        <v/>
      </c>
      <c r="BE33" s="207" t="str">
        <f t="shared" si="1"/>
        <v/>
      </c>
      <c r="BF33" s="207" t="str">
        <f t="shared" si="1"/>
        <v/>
      </c>
      <c r="BG33" s="207" t="str">
        <f t="shared" si="1"/>
        <v/>
      </c>
      <c r="BH33" s="207" t="str">
        <f t="shared" si="1"/>
        <v/>
      </c>
      <c r="BI33" s="207" t="str">
        <f t="shared" si="1"/>
        <v/>
      </c>
      <c r="BJ33" s="207" t="str">
        <f t="shared" si="1"/>
        <v/>
      </c>
      <c r="BK33" s="207" t="str">
        <f t="shared" si="1"/>
        <v/>
      </c>
      <c r="BL33" s="207" t="str">
        <f t="shared" si="1"/>
        <v/>
      </c>
      <c r="BO33" s="50"/>
    </row>
    <row r="34" spans="2:67" ht="49.5" customHeight="1" thickTop="1" x14ac:dyDescent="0.45">
      <c r="B34" s="363" t="s">
        <v>206</v>
      </c>
      <c r="C34" s="364"/>
      <c r="D34" s="364"/>
      <c r="E34" s="260" t="str">
        <f>IF(E40&lt;&gt;0,"",IF((E31-E30)&lt;0,"不適合","適合"))</f>
        <v>適合</v>
      </c>
      <c r="F34" s="261" t="str">
        <f t="shared" ref="F34:BL34" si="2">IF(F40&lt;&gt;0,"",IF((F31-F30)&lt;0,"不適合","適合"))</f>
        <v>適合</v>
      </c>
      <c r="G34" s="261" t="str">
        <f t="shared" si="2"/>
        <v/>
      </c>
      <c r="H34" s="262" t="str">
        <f t="shared" si="2"/>
        <v>適合</v>
      </c>
      <c r="I34" s="258" t="str">
        <f t="shared" si="2"/>
        <v/>
      </c>
      <c r="J34" s="98" t="str">
        <f t="shared" si="2"/>
        <v/>
      </c>
      <c r="K34" s="98" t="str">
        <f t="shared" si="2"/>
        <v/>
      </c>
      <c r="L34" s="98" t="str">
        <f t="shared" si="2"/>
        <v/>
      </c>
      <c r="M34" s="98" t="str">
        <f t="shared" si="2"/>
        <v/>
      </c>
      <c r="N34" s="98" t="str">
        <f t="shared" si="2"/>
        <v/>
      </c>
      <c r="O34" s="98" t="str">
        <f t="shared" si="2"/>
        <v/>
      </c>
      <c r="P34" s="98" t="str">
        <f t="shared" si="2"/>
        <v/>
      </c>
      <c r="Q34" s="98" t="str">
        <f t="shared" si="2"/>
        <v/>
      </c>
      <c r="R34" s="98" t="str">
        <f t="shared" si="2"/>
        <v/>
      </c>
      <c r="S34" s="98" t="str">
        <f t="shared" si="2"/>
        <v/>
      </c>
      <c r="T34" s="98" t="str">
        <f t="shared" si="2"/>
        <v/>
      </c>
      <c r="U34" s="98" t="str">
        <f t="shared" si="2"/>
        <v/>
      </c>
      <c r="V34" s="98" t="str">
        <f t="shared" si="2"/>
        <v/>
      </c>
      <c r="W34" s="98" t="str">
        <f t="shared" si="2"/>
        <v/>
      </c>
      <c r="X34" s="98" t="str">
        <f t="shared" si="2"/>
        <v/>
      </c>
      <c r="Y34" s="98" t="str">
        <f t="shared" si="2"/>
        <v/>
      </c>
      <c r="Z34" s="98" t="str">
        <f t="shared" si="2"/>
        <v/>
      </c>
      <c r="AA34" s="98" t="str">
        <f t="shared" si="2"/>
        <v/>
      </c>
      <c r="AB34" s="98" t="str">
        <f t="shared" si="2"/>
        <v/>
      </c>
      <c r="AC34" s="98" t="str">
        <f t="shared" si="2"/>
        <v/>
      </c>
      <c r="AD34" s="98" t="str">
        <f t="shared" si="2"/>
        <v/>
      </c>
      <c r="AE34" s="98" t="str">
        <f t="shared" si="2"/>
        <v/>
      </c>
      <c r="AF34" s="98" t="str">
        <f t="shared" si="2"/>
        <v/>
      </c>
      <c r="AG34" s="98" t="str">
        <f t="shared" si="2"/>
        <v/>
      </c>
      <c r="AH34" s="98" t="str">
        <f t="shared" si="2"/>
        <v/>
      </c>
      <c r="AI34" s="98" t="str">
        <f t="shared" si="2"/>
        <v/>
      </c>
      <c r="AJ34" s="98" t="str">
        <f t="shared" si="2"/>
        <v/>
      </c>
      <c r="AK34" s="98" t="str">
        <f t="shared" si="2"/>
        <v/>
      </c>
      <c r="AL34" s="98" t="str">
        <f t="shared" si="2"/>
        <v/>
      </c>
      <c r="AM34" s="98" t="str">
        <f t="shared" si="2"/>
        <v/>
      </c>
      <c r="AN34" s="98" t="str">
        <f t="shared" si="2"/>
        <v/>
      </c>
      <c r="AO34" s="98" t="str">
        <f t="shared" si="2"/>
        <v/>
      </c>
      <c r="AP34" s="98" t="str">
        <f t="shared" si="2"/>
        <v/>
      </c>
      <c r="AQ34" s="98" t="str">
        <f t="shared" si="2"/>
        <v/>
      </c>
      <c r="AR34" s="98" t="str">
        <f t="shared" si="2"/>
        <v/>
      </c>
      <c r="AS34" s="98" t="str">
        <f t="shared" si="2"/>
        <v/>
      </c>
      <c r="AT34" s="98" t="str">
        <f t="shared" si="2"/>
        <v/>
      </c>
      <c r="AU34" s="98" t="str">
        <f t="shared" si="2"/>
        <v/>
      </c>
      <c r="AV34" s="98" t="str">
        <f t="shared" si="2"/>
        <v/>
      </c>
      <c r="AW34" s="98" t="str">
        <f t="shared" si="2"/>
        <v/>
      </c>
      <c r="AX34" s="98" t="str">
        <f t="shared" si="2"/>
        <v/>
      </c>
      <c r="AY34" s="98" t="str">
        <f t="shared" si="2"/>
        <v/>
      </c>
      <c r="AZ34" s="98" t="str">
        <f t="shared" si="2"/>
        <v/>
      </c>
      <c r="BA34" s="98" t="str">
        <f t="shared" si="2"/>
        <v/>
      </c>
      <c r="BB34" s="98" t="str">
        <f t="shared" si="2"/>
        <v/>
      </c>
      <c r="BC34" s="98" t="str">
        <f t="shared" si="2"/>
        <v/>
      </c>
      <c r="BD34" s="98" t="str">
        <f t="shared" si="2"/>
        <v/>
      </c>
      <c r="BE34" s="98" t="str">
        <f t="shared" si="2"/>
        <v/>
      </c>
      <c r="BF34" s="98" t="str">
        <f t="shared" si="2"/>
        <v/>
      </c>
      <c r="BG34" s="98" t="str">
        <f t="shared" si="2"/>
        <v/>
      </c>
      <c r="BH34" s="98" t="str">
        <f t="shared" si="2"/>
        <v/>
      </c>
      <c r="BI34" s="98" t="str">
        <f t="shared" si="2"/>
        <v/>
      </c>
      <c r="BJ34" s="98" t="str">
        <f t="shared" si="2"/>
        <v/>
      </c>
      <c r="BK34" s="98" t="str">
        <f t="shared" si="2"/>
        <v/>
      </c>
      <c r="BL34" s="98" t="str">
        <f t="shared" si="2"/>
        <v/>
      </c>
      <c r="BO34" s="50"/>
    </row>
    <row r="35" spans="2:67" ht="49.5" customHeight="1" thickBot="1" x14ac:dyDescent="0.5">
      <c r="B35" s="363" t="s">
        <v>207</v>
      </c>
      <c r="C35" s="364"/>
      <c r="D35" s="364"/>
      <c r="E35" s="263" t="str">
        <f>IF(E40&lt;&gt;0,"",IF(ISERROR(AND((E33-E32)&gt;=0,E33&gt;=30)),"不適合",IF(AND((E33-E32)&gt;=0,E33&gt;=30),"適合","不適合")))</f>
        <v>適合</v>
      </c>
      <c r="F35" s="264" t="str">
        <f t="shared" ref="F35:BL35" si="3">IF(F40&lt;&gt;0,"",IF(ISERROR(AND((F33-F32)&gt;=0,F33&gt;=30)),"不適合",IF(AND((F33-F32)&gt;=0,F33&gt;=30),"適合","不適合")))</f>
        <v>適合</v>
      </c>
      <c r="G35" s="264" t="str">
        <f t="shared" si="3"/>
        <v/>
      </c>
      <c r="H35" s="265" t="str">
        <f t="shared" si="3"/>
        <v>適合</v>
      </c>
      <c r="I35" s="258" t="str">
        <f t="shared" si="3"/>
        <v/>
      </c>
      <c r="J35" s="98" t="str">
        <f t="shared" si="3"/>
        <v/>
      </c>
      <c r="K35" s="98" t="str">
        <f t="shared" si="3"/>
        <v/>
      </c>
      <c r="L35" s="98" t="str">
        <f t="shared" si="3"/>
        <v/>
      </c>
      <c r="M35" s="98" t="str">
        <f>IF(M40&lt;&gt;0,"",IF(ISERROR(AND((M33-M32)&gt;=0,M33&gt;=30)),"不適合",IF(AND((M33-M32)&gt;=0,M33&gt;=30),"適合","不適合")))</f>
        <v/>
      </c>
      <c r="N35" s="98" t="str">
        <f t="shared" si="3"/>
        <v/>
      </c>
      <c r="O35" s="98" t="str">
        <f t="shared" si="3"/>
        <v/>
      </c>
      <c r="P35" s="98" t="str">
        <f t="shared" si="3"/>
        <v/>
      </c>
      <c r="Q35" s="98" t="str">
        <f t="shared" si="3"/>
        <v/>
      </c>
      <c r="R35" s="98" t="str">
        <f t="shared" si="3"/>
        <v/>
      </c>
      <c r="S35" s="98" t="str">
        <f t="shared" si="3"/>
        <v/>
      </c>
      <c r="T35" s="98" t="str">
        <f t="shared" si="3"/>
        <v/>
      </c>
      <c r="U35" s="98" t="str">
        <f t="shared" si="3"/>
        <v/>
      </c>
      <c r="V35" s="98" t="str">
        <f t="shared" si="3"/>
        <v/>
      </c>
      <c r="W35" s="98" t="str">
        <f t="shared" si="3"/>
        <v/>
      </c>
      <c r="X35" s="98" t="str">
        <f t="shared" si="3"/>
        <v/>
      </c>
      <c r="Y35" s="98" t="str">
        <f t="shared" si="3"/>
        <v/>
      </c>
      <c r="Z35" s="98" t="str">
        <f t="shared" si="3"/>
        <v/>
      </c>
      <c r="AA35" s="98" t="str">
        <f t="shared" si="3"/>
        <v/>
      </c>
      <c r="AB35" s="98" t="str">
        <f t="shared" si="3"/>
        <v/>
      </c>
      <c r="AC35" s="98" t="str">
        <f t="shared" si="3"/>
        <v/>
      </c>
      <c r="AD35" s="98" t="str">
        <f t="shared" si="3"/>
        <v/>
      </c>
      <c r="AE35" s="98" t="str">
        <f t="shared" si="3"/>
        <v/>
      </c>
      <c r="AF35" s="98" t="str">
        <f t="shared" si="3"/>
        <v/>
      </c>
      <c r="AG35" s="98" t="str">
        <f t="shared" si="3"/>
        <v/>
      </c>
      <c r="AH35" s="98" t="str">
        <f t="shared" si="3"/>
        <v/>
      </c>
      <c r="AI35" s="98" t="str">
        <f t="shared" si="3"/>
        <v/>
      </c>
      <c r="AJ35" s="98" t="str">
        <f t="shared" si="3"/>
        <v/>
      </c>
      <c r="AK35" s="98" t="str">
        <f t="shared" si="3"/>
        <v/>
      </c>
      <c r="AL35" s="98" t="str">
        <f t="shared" si="3"/>
        <v/>
      </c>
      <c r="AM35" s="98" t="str">
        <f t="shared" si="3"/>
        <v/>
      </c>
      <c r="AN35" s="98" t="str">
        <f t="shared" si="3"/>
        <v/>
      </c>
      <c r="AO35" s="98" t="str">
        <f t="shared" si="3"/>
        <v/>
      </c>
      <c r="AP35" s="98" t="str">
        <f t="shared" si="3"/>
        <v/>
      </c>
      <c r="AQ35" s="98" t="str">
        <f t="shared" si="3"/>
        <v/>
      </c>
      <c r="AR35" s="98" t="str">
        <f t="shared" si="3"/>
        <v/>
      </c>
      <c r="AS35" s="98" t="str">
        <f t="shared" si="3"/>
        <v/>
      </c>
      <c r="AT35" s="98" t="str">
        <f t="shared" si="3"/>
        <v/>
      </c>
      <c r="AU35" s="98" t="str">
        <f t="shared" si="3"/>
        <v/>
      </c>
      <c r="AV35" s="98" t="str">
        <f t="shared" si="3"/>
        <v/>
      </c>
      <c r="AW35" s="98" t="str">
        <f t="shared" si="3"/>
        <v/>
      </c>
      <c r="AX35" s="98" t="str">
        <f t="shared" si="3"/>
        <v/>
      </c>
      <c r="AY35" s="98" t="str">
        <f t="shared" si="3"/>
        <v/>
      </c>
      <c r="AZ35" s="98" t="str">
        <f t="shared" si="3"/>
        <v/>
      </c>
      <c r="BA35" s="98" t="str">
        <f t="shared" si="3"/>
        <v/>
      </c>
      <c r="BB35" s="98" t="str">
        <f t="shared" si="3"/>
        <v/>
      </c>
      <c r="BC35" s="98" t="str">
        <f t="shared" si="3"/>
        <v/>
      </c>
      <c r="BD35" s="98" t="str">
        <f t="shared" si="3"/>
        <v/>
      </c>
      <c r="BE35" s="98" t="str">
        <f t="shared" si="3"/>
        <v/>
      </c>
      <c r="BF35" s="98" t="str">
        <f t="shared" si="3"/>
        <v/>
      </c>
      <c r="BG35" s="98" t="str">
        <f t="shared" si="3"/>
        <v/>
      </c>
      <c r="BH35" s="98" t="str">
        <f t="shared" si="3"/>
        <v/>
      </c>
      <c r="BI35" s="98" t="str">
        <f t="shared" si="3"/>
        <v/>
      </c>
      <c r="BJ35" s="98" t="str">
        <f t="shared" si="3"/>
        <v/>
      </c>
      <c r="BK35" s="98" t="str">
        <f t="shared" si="3"/>
        <v/>
      </c>
      <c r="BL35" s="98" t="str">
        <f t="shared" si="3"/>
        <v/>
      </c>
      <c r="BO35" s="50"/>
    </row>
    <row r="36" spans="2:67" ht="24.75" hidden="1" customHeight="1" x14ac:dyDescent="0.45">
      <c r="B36" s="371" t="s">
        <v>476</v>
      </c>
      <c r="C36" s="371"/>
      <c r="D36" s="371"/>
      <c r="E36" s="205">
        <f t="shared" ref="E36:BL36" si="4">IF(E24="",0,1)</f>
        <v>1</v>
      </c>
      <c r="F36" s="205">
        <f t="shared" si="4"/>
        <v>1</v>
      </c>
      <c r="G36" s="205">
        <f t="shared" si="4"/>
        <v>1</v>
      </c>
      <c r="H36" s="205">
        <f t="shared" si="4"/>
        <v>1</v>
      </c>
      <c r="I36" s="205">
        <f t="shared" si="4"/>
        <v>0</v>
      </c>
      <c r="J36" s="205">
        <f t="shared" si="4"/>
        <v>0</v>
      </c>
      <c r="K36" s="205">
        <f t="shared" si="4"/>
        <v>0</v>
      </c>
      <c r="L36" s="205">
        <f t="shared" si="4"/>
        <v>0</v>
      </c>
      <c r="M36" s="205">
        <f t="shared" si="4"/>
        <v>0</v>
      </c>
      <c r="N36" s="205">
        <f t="shared" si="4"/>
        <v>0</v>
      </c>
      <c r="O36" s="205">
        <f t="shared" si="4"/>
        <v>0</v>
      </c>
      <c r="P36" s="205">
        <f t="shared" si="4"/>
        <v>0</v>
      </c>
      <c r="Q36" s="205">
        <f t="shared" si="4"/>
        <v>0</v>
      </c>
      <c r="R36" s="205">
        <f t="shared" si="4"/>
        <v>0</v>
      </c>
      <c r="S36" s="205">
        <f t="shared" si="4"/>
        <v>0</v>
      </c>
      <c r="T36" s="205">
        <f t="shared" si="4"/>
        <v>0</v>
      </c>
      <c r="U36" s="205">
        <f t="shared" si="4"/>
        <v>0</v>
      </c>
      <c r="V36" s="205">
        <f t="shared" si="4"/>
        <v>0</v>
      </c>
      <c r="W36" s="205">
        <f t="shared" si="4"/>
        <v>0</v>
      </c>
      <c r="X36" s="205">
        <f t="shared" si="4"/>
        <v>0</v>
      </c>
      <c r="Y36" s="205">
        <f t="shared" si="4"/>
        <v>0</v>
      </c>
      <c r="Z36" s="205">
        <f t="shared" si="4"/>
        <v>0</v>
      </c>
      <c r="AA36" s="205">
        <f t="shared" si="4"/>
        <v>0</v>
      </c>
      <c r="AB36" s="205">
        <f t="shared" si="4"/>
        <v>0</v>
      </c>
      <c r="AC36" s="205">
        <f t="shared" si="4"/>
        <v>0</v>
      </c>
      <c r="AD36" s="205">
        <f t="shared" si="4"/>
        <v>0</v>
      </c>
      <c r="AE36" s="205">
        <f t="shared" si="4"/>
        <v>0</v>
      </c>
      <c r="AF36" s="205">
        <f t="shared" si="4"/>
        <v>0</v>
      </c>
      <c r="AG36" s="205">
        <f t="shared" si="4"/>
        <v>0</v>
      </c>
      <c r="AH36" s="205">
        <f t="shared" si="4"/>
        <v>0</v>
      </c>
      <c r="AI36" s="205">
        <f t="shared" si="4"/>
        <v>0</v>
      </c>
      <c r="AJ36" s="205">
        <f t="shared" si="4"/>
        <v>0</v>
      </c>
      <c r="AK36" s="205">
        <f t="shared" si="4"/>
        <v>0</v>
      </c>
      <c r="AL36" s="205">
        <f t="shared" si="4"/>
        <v>0</v>
      </c>
      <c r="AM36" s="205">
        <f t="shared" si="4"/>
        <v>0</v>
      </c>
      <c r="AN36" s="205">
        <f t="shared" si="4"/>
        <v>0</v>
      </c>
      <c r="AO36" s="205">
        <f t="shared" si="4"/>
        <v>0</v>
      </c>
      <c r="AP36" s="205">
        <f t="shared" si="4"/>
        <v>0</v>
      </c>
      <c r="AQ36" s="205">
        <f t="shared" si="4"/>
        <v>0</v>
      </c>
      <c r="AR36" s="205">
        <f t="shared" si="4"/>
        <v>0</v>
      </c>
      <c r="AS36" s="205">
        <f t="shared" si="4"/>
        <v>0</v>
      </c>
      <c r="AT36" s="205">
        <f t="shared" si="4"/>
        <v>0</v>
      </c>
      <c r="AU36" s="205">
        <f t="shared" si="4"/>
        <v>0</v>
      </c>
      <c r="AV36" s="205">
        <f t="shared" si="4"/>
        <v>0</v>
      </c>
      <c r="AW36" s="205">
        <f t="shared" si="4"/>
        <v>0</v>
      </c>
      <c r="AX36" s="205">
        <f t="shared" si="4"/>
        <v>0</v>
      </c>
      <c r="AY36" s="205">
        <f t="shared" si="4"/>
        <v>0</v>
      </c>
      <c r="AZ36" s="205">
        <f t="shared" si="4"/>
        <v>0</v>
      </c>
      <c r="BA36" s="205">
        <f t="shared" si="4"/>
        <v>0</v>
      </c>
      <c r="BB36" s="205">
        <f t="shared" si="4"/>
        <v>0</v>
      </c>
      <c r="BC36" s="205">
        <f t="shared" si="4"/>
        <v>0</v>
      </c>
      <c r="BD36" s="205">
        <f t="shared" si="4"/>
        <v>0</v>
      </c>
      <c r="BE36" s="205">
        <f t="shared" si="4"/>
        <v>0</v>
      </c>
      <c r="BF36" s="205">
        <f t="shared" si="4"/>
        <v>0</v>
      </c>
      <c r="BG36" s="205">
        <f t="shared" si="4"/>
        <v>0</v>
      </c>
      <c r="BH36" s="205">
        <f t="shared" si="4"/>
        <v>0</v>
      </c>
      <c r="BI36" s="205">
        <f t="shared" si="4"/>
        <v>0</v>
      </c>
      <c r="BJ36" s="205">
        <f t="shared" si="4"/>
        <v>0</v>
      </c>
      <c r="BK36" s="205">
        <f t="shared" si="4"/>
        <v>0</v>
      </c>
      <c r="BL36" s="205">
        <f t="shared" si="4"/>
        <v>0</v>
      </c>
      <c r="BO36" s="50"/>
    </row>
    <row r="37" spans="2:67" ht="24.75" hidden="1" customHeight="1" x14ac:dyDescent="0.45">
      <c r="B37" s="369" t="s">
        <v>481</v>
      </c>
      <c r="C37" s="369"/>
      <c r="D37" s="369"/>
      <c r="E37" s="205">
        <f>IF(OR(AND(E27="機械換気",E30&gt;0),AND(E27="自然換気",E30=0)),0,1)</f>
        <v>0</v>
      </c>
      <c r="F37" s="205">
        <f t="shared" ref="F37:BL37" si="5">IF(OR(AND(F27="機械換気",F30&gt;0),AND(F27="自然換気",F30=0)),0,1)</f>
        <v>0</v>
      </c>
      <c r="G37" s="205">
        <f t="shared" si="5"/>
        <v>1</v>
      </c>
      <c r="H37" s="205">
        <f t="shared" si="5"/>
        <v>0</v>
      </c>
      <c r="I37" s="205">
        <f t="shared" si="5"/>
        <v>1</v>
      </c>
      <c r="J37" s="205">
        <f t="shared" si="5"/>
        <v>1</v>
      </c>
      <c r="K37" s="205">
        <f t="shared" si="5"/>
        <v>1</v>
      </c>
      <c r="L37" s="205">
        <f t="shared" si="5"/>
        <v>1</v>
      </c>
      <c r="M37" s="205">
        <f t="shared" si="5"/>
        <v>1</v>
      </c>
      <c r="N37" s="205">
        <f t="shared" si="5"/>
        <v>1</v>
      </c>
      <c r="O37" s="205">
        <f t="shared" si="5"/>
        <v>1</v>
      </c>
      <c r="P37" s="205">
        <f t="shared" si="5"/>
        <v>1</v>
      </c>
      <c r="Q37" s="205">
        <f t="shared" si="5"/>
        <v>1</v>
      </c>
      <c r="R37" s="205">
        <f t="shared" si="5"/>
        <v>1</v>
      </c>
      <c r="S37" s="205">
        <f t="shared" si="5"/>
        <v>1</v>
      </c>
      <c r="T37" s="205">
        <f t="shared" si="5"/>
        <v>1</v>
      </c>
      <c r="U37" s="205">
        <f t="shared" si="5"/>
        <v>1</v>
      </c>
      <c r="V37" s="205">
        <f t="shared" si="5"/>
        <v>1</v>
      </c>
      <c r="W37" s="205">
        <f t="shared" si="5"/>
        <v>1</v>
      </c>
      <c r="X37" s="205">
        <f t="shared" si="5"/>
        <v>1</v>
      </c>
      <c r="Y37" s="205">
        <f t="shared" si="5"/>
        <v>1</v>
      </c>
      <c r="Z37" s="205">
        <f t="shared" si="5"/>
        <v>1</v>
      </c>
      <c r="AA37" s="205">
        <f t="shared" si="5"/>
        <v>1</v>
      </c>
      <c r="AB37" s="205">
        <f t="shared" si="5"/>
        <v>1</v>
      </c>
      <c r="AC37" s="205">
        <f t="shared" si="5"/>
        <v>1</v>
      </c>
      <c r="AD37" s="205">
        <f t="shared" si="5"/>
        <v>1</v>
      </c>
      <c r="AE37" s="205">
        <f t="shared" si="5"/>
        <v>1</v>
      </c>
      <c r="AF37" s="205">
        <f t="shared" si="5"/>
        <v>1</v>
      </c>
      <c r="AG37" s="205">
        <f t="shared" si="5"/>
        <v>1</v>
      </c>
      <c r="AH37" s="205">
        <f t="shared" si="5"/>
        <v>1</v>
      </c>
      <c r="AI37" s="205">
        <f t="shared" si="5"/>
        <v>1</v>
      </c>
      <c r="AJ37" s="205">
        <f t="shared" si="5"/>
        <v>1</v>
      </c>
      <c r="AK37" s="205">
        <f t="shared" si="5"/>
        <v>1</v>
      </c>
      <c r="AL37" s="205">
        <f t="shared" si="5"/>
        <v>1</v>
      </c>
      <c r="AM37" s="205">
        <f t="shared" si="5"/>
        <v>1</v>
      </c>
      <c r="AN37" s="205">
        <f t="shared" si="5"/>
        <v>1</v>
      </c>
      <c r="AO37" s="205">
        <f t="shared" si="5"/>
        <v>1</v>
      </c>
      <c r="AP37" s="205">
        <f t="shared" si="5"/>
        <v>1</v>
      </c>
      <c r="AQ37" s="205">
        <f t="shared" si="5"/>
        <v>1</v>
      </c>
      <c r="AR37" s="205">
        <f t="shared" si="5"/>
        <v>1</v>
      </c>
      <c r="AS37" s="205">
        <f t="shared" si="5"/>
        <v>1</v>
      </c>
      <c r="AT37" s="205">
        <f t="shared" si="5"/>
        <v>1</v>
      </c>
      <c r="AU37" s="205">
        <f t="shared" si="5"/>
        <v>1</v>
      </c>
      <c r="AV37" s="205">
        <f t="shared" si="5"/>
        <v>1</v>
      </c>
      <c r="AW37" s="205">
        <f t="shared" si="5"/>
        <v>1</v>
      </c>
      <c r="AX37" s="205">
        <f t="shared" si="5"/>
        <v>1</v>
      </c>
      <c r="AY37" s="205">
        <f t="shared" si="5"/>
        <v>1</v>
      </c>
      <c r="AZ37" s="205">
        <f t="shared" si="5"/>
        <v>1</v>
      </c>
      <c r="BA37" s="205">
        <f t="shared" si="5"/>
        <v>1</v>
      </c>
      <c r="BB37" s="205">
        <f t="shared" si="5"/>
        <v>1</v>
      </c>
      <c r="BC37" s="205">
        <f t="shared" si="5"/>
        <v>1</v>
      </c>
      <c r="BD37" s="205">
        <f t="shared" si="5"/>
        <v>1</v>
      </c>
      <c r="BE37" s="205">
        <f t="shared" si="5"/>
        <v>1</v>
      </c>
      <c r="BF37" s="205">
        <f t="shared" si="5"/>
        <v>1</v>
      </c>
      <c r="BG37" s="205">
        <f t="shared" si="5"/>
        <v>1</v>
      </c>
      <c r="BH37" s="205">
        <f t="shared" si="5"/>
        <v>1</v>
      </c>
      <c r="BI37" s="205">
        <f t="shared" si="5"/>
        <v>1</v>
      </c>
      <c r="BJ37" s="205">
        <f t="shared" si="5"/>
        <v>1</v>
      </c>
      <c r="BK37" s="205">
        <f t="shared" si="5"/>
        <v>1</v>
      </c>
      <c r="BL37" s="205">
        <f t="shared" si="5"/>
        <v>1</v>
      </c>
      <c r="BO37" s="50"/>
    </row>
    <row r="38" spans="2:67" s="128" customFormat="1" ht="24.75" hidden="1" customHeight="1" x14ac:dyDescent="0.45">
      <c r="B38" s="370" t="s">
        <v>475</v>
      </c>
      <c r="C38" s="370"/>
      <c r="D38" s="370"/>
      <c r="E38" s="208">
        <f>IF(E34="適合",0,1)</f>
        <v>0</v>
      </c>
      <c r="F38" s="208">
        <f t="shared" ref="F38:BL39" si="6">IF(F34="適合",0,1)</f>
        <v>0</v>
      </c>
      <c r="G38" s="208">
        <f t="shared" si="6"/>
        <v>1</v>
      </c>
      <c r="H38" s="208">
        <f t="shared" si="6"/>
        <v>0</v>
      </c>
      <c r="I38" s="208">
        <f t="shared" si="6"/>
        <v>1</v>
      </c>
      <c r="J38" s="208">
        <f t="shared" si="6"/>
        <v>1</v>
      </c>
      <c r="K38" s="208">
        <f t="shared" si="6"/>
        <v>1</v>
      </c>
      <c r="L38" s="208">
        <f t="shared" si="6"/>
        <v>1</v>
      </c>
      <c r="M38" s="208">
        <f t="shared" si="6"/>
        <v>1</v>
      </c>
      <c r="N38" s="208">
        <f t="shared" si="6"/>
        <v>1</v>
      </c>
      <c r="O38" s="208">
        <f t="shared" si="6"/>
        <v>1</v>
      </c>
      <c r="P38" s="208">
        <f t="shared" si="6"/>
        <v>1</v>
      </c>
      <c r="Q38" s="208">
        <f t="shared" si="6"/>
        <v>1</v>
      </c>
      <c r="R38" s="208">
        <f t="shared" si="6"/>
        <v>1</v>
      </c>
      <c r="S38" s="208">
        <f t="shared" si="6"/>
        <v>1</v>
      </c>
      <c r="T38" s="208">
        <f t="shared" si="6"/>
        <v>1</v>
      </c>
      <c r="U38" s="208">
        <f t="shared" si="6"/>
        <v>1</v>
      </c>
      <c r="V38" s="208">
        <f t="shared" si="6"/>
        <v>1</v>
      </c>
      <c r="W38" s="208">
        <f t="shared" si="6"/>
        <v>1</v>
      </c>
      <c r="X38" s="208">
        <f t="shared" si="6"/>
        <v>1</v>
      </c>
      <c r="Y38" s="208">
        <f t="shared" si="6"/>
        <v>1</v>
      </c>
      <c r="Z38" s="208">
        <f t="shared" si="6"/>
        <v>1</v>
      </c>
      <c r="AA38" s="208">
        <f t="shared" si="6"/>
        <v>1</v>
      </c>
      <c r="AB38" s="208">
        <f t="shared" si="6"/>
        <v>1</v>
      </c>
      <c r="AC38" s="208">
        <f t="shared" si="6"/>
        <v>1</v>
      </c>
      <c r="AD38" s="208">
        <f t="shared" si="6"/>
        <v>1</v>
      </c>
      <c r="AE38" s="208">
        <f t="shared" si="6"/>
        <v>1</v>
      </c>
      <c r="AF38" s="208">
        <f t="shared" si="6"/>
        <v>1</v>
      </c>
      <c r="AG38" s="208">
        <f t="shared" si="6"/>
        <v>1</v>
      </c>
      <c r="AH38" s="208">
        <f t="shared" si="6"/>
        <v>1</v>
      </c>
      <c r="AI38" s="208">
        <f t="shared" si="6"/>
        <v>1</v>
      </c>
      <c r="AJ38" s="208">
        <f t="shared" si="6"/>
        <v>1</v>
      </c>
      <c r="AK38" s="208">
        <f t="shared" si="6"/>
        <v>1</v>
      </c>
      <c r="AL38" s="208">
        <f t="shared" si="6"/>
        <v>1</v>
      </c>
      <c r="AM38" s="208">
        <f t="shared" si="6"/>
        <v>1</v>
      </c>
      <c r="AN38" s="208">
        <f t="shared" si="6"/>
        <v>1</v>
      </c>
      <c r="AO38" s="208">
        <f t="shared" si="6"/>
        <v>1</v>
      </c>
      <c r="AP38" s="208">
        <f t="shared" si="6"/>
        <v>1</v>
      </c>
      <c r="AQ38" s="208">
        <f t="shared" si="6"/>
        <v>1</v>
      </c>
      <c r="AR38" s="208">
        <f t="shared" si="6"/>
        <v>1</v>
      </c>
      <c r="AS38" s="208">
        <f t="shared" si="6"/>
        <v>1</v>
      </c>
      <c r="AT38" s="208">
        <f t="shared" si="6"/>
        <v>1</v>
      </c>
      <c r="AU38" s="208">
        <f t="shared" si="6"/>
        <v>1</v>
      </c>
      <c r="AV38" s="208">
        <f t="shared" si="6"/>
        <v>1</v>
      </c>
      <c r="AW38" s="208">
        <f t="shared" si="6"/>
        <v>1</v>
      </c>
      <c r="AX38" s="208">
        <f t="shared" si="6"/>
        <v>1</v>
      </c>
      <c r="AY38" s="208">
        <f t="shared" si="6"/>
        <v>1</v>
      </c>
      <c r="AZ38" s="208">
        <f t="shared" si="6"/>
        <v>1</v>
      </c>
      <c r="BA38" s="208">
        <f t="shared" si="6"/>
        <v>1</v>
      </c>
      <c r="BB38" s="208">
        <f t="shared" si="6"/>
        <v>1</v>
      </c>
      <c r="BC38" s="208">
        <f t="shared" si="6"/>
        <v>1</v>
      </c>
      <c r="BD38" s="208">
        <f t="shared" si="6"/>
        <v>1</v>
      </c>
      <c r="BE38" s="208">
        <f t="shared" si="6"/>
        <v>1</v>
      </c>
      <c r="BF38" s="208">
        <f t="shared" si="6"/>
        <v>1</v>
      </c>
      <c r="BG38" s="208">
        <f t="shared" si="6"/>
        <v>1</v>
      </c>
      <c r="BH38" s="208">
        <f t="shared" si="6"/>
        <v>1</v>
      </c>
      <c r="BI38" s="208">
        <f t="shared" si="6"/>
        <v>1</v>
      </c>
      <c r="BJ38" s="208">
        <f t="shared" si="6"/>
        <v>1</v>
      </c>
      <c r="BK38" s="208">
        <f t="shared" si="6"/>
        <v>1</v>
      </c>
      <c r="BL38" s="208">
        <f t="shared" si="6"/>
        <v>1</v>
      </c>
      <c r="BO38" s="158"/>
    </row>
    <row r="39" spans="2:67" ht="24.75" hidden="1" customHeight="1" x14ac:dyDescent="0.45">
      <c r="B39" s="369" t="s">
        <v>474</v>
      </c>
      <c r="C39" s="369"/>
      <c r="D39" s="369"/>
      <c r="E39" s="205">
        <f>IF(E35="適合",0,1)</f>
        <v>0</v>
      </c>
      <c r="F39" s="205">
        <f t="shared" si="6"/>
        <v>0</v>
      </c>
      <c r="G39" s="205">
        <f t="shared" si="6"/>
        <v>1</v>
      </c>
      <c r="H39" s="205">
        <f t="shared" si="6"/>
        <v>0</v>
      </c>
      <c r="I39" s="205">
        <f t="shared" si="6"/>
        <v>1</v>
      </c>
      <c r="J39" s="205">
        <f t="shared" si="6"/>
        <v>1</v>
      </c>
      <c r="K39" s="205">
        <f t="shared" si="6"/>
        <v>1</v>
      </c>
      <c r="L39" s="205">
        <f t="shared" si="6"/>
        <v>1</v>
      </c>
      <c r="M39" s="205">
        <f t="shared" si="6"/>
        <v>1</v>
      </c>
      <c r="N39" s="205">
        <f t="shared" si="6"/>
        <v>1</v>
      </c>
      <c r="O39" s="205">
        <f t="shared" si="6"/>
        <v>1</v>
      </c>
      <c r="P39" s="205">
        <f t="shared" si="6"/>
        <v>1</v>
      </c>
      <c r="Q39" s="205">
        <f t="shared" si="6"/>
        <v>1</v>
      </c>
      <c r="R39" s="205">
        <f t="shared" si="6"/>
        <v>1</v>
      </c>
      <c r="S39" s="205">
        <f t="shared" si="6"/>
        <v>1</v>
      </c>
      <c r="T39" s="205">
        <f t="shared" si="6"/>
        <v>1</v>
      </c>
      <c r="U39" s="205">
        <f t="shared" si="6"/>
        <v>1</v>
      </c>
      <c r="V39" s="205">
        <f t="shared" si="6"/>
        <v>1</v>
      </c>
      <c r="W39" s="205">
        <f t="shared" si="6"/>
        <v>1</v>
      </c>
      <c r="X39" s="205">
        <f t="shared" si="6"/>
        <v>1</v>
      </c>
      <c r="Y39" s="205">
        <f t="shared" si="6"/>
        <v>1</v>
      </c>
      <c r="Z39" s="205">
        <f t="shared" si="6"/>
        <v>1</v>
      </c>
      <c r="AA39" s="205">
        <f t="shared" si="6"/>
        <v>1</v>
      </c>
      <c r="AB39" s="205">
        <f t="shared" si="6"/>
        <v>1</v>
      </c>
      <c r="AC39" s="205">
        <f t="shared" si="6"/>
        <v>1</v>
      </c>
      <c r="AD39" s="205">
        <f t="shared" si="6"/>
        <v>1</v>
      </c>
      <c r="AE39" s="205">
        <f t="shared" si="6"/>
        <v>1</v>
      </c>
      <c r="AF39" s="205">
        <f t="shared" si="6"/>
        <v>1</v>
      </c>
      <c r="AG39" s="205">
        <f t="shared" si="6"/>
        <v>1</v>
      </c>
      <c r="AH39" s="205">
        <f t="shared" si="6"/>
        <v>1</v>
      </c>
      <c r="AI39" s="205">
        <f t="shared" si="6"/>
        <v>1</v>
      </c>
      <c r="AJ39" s="205">
        <f t="shared" si="6"/>
        <v>1</v>
      </c>
      <c r="AK39" s="205">
        <f t="shared" si="6"/>
        <v>1</v>
      </c>
      <c r="AL39" s="205">
        <f t="shared" si="6"/>
        <v>1</v>
      </c>
      <c r="AM39" s="205">
        <f t="shared" si="6"/>
        <v>1</v>
      </c>
      <c r="AN39" s="205">
        <f t="shared" si="6"/>
        <v>1</v>
      </c>
      <c r="AO39" s="205">
        <f t="shared" si="6"/>
        <v>1</v>
      </c>
      <c r="AP39" s="205">
        <f t="shared" si="6"/>
        <v>1</v>
      </c>
      <c r="AQ39" s="205">
        <f t="shared" si="6"/>
        <v>1</v>
      </c>
      <c r="AR39" s="205">
        <f t="shared" si="6"/>
        <v>1</v>
      </c>
      <c r="AS39" s="205">
        <f t="shared" si="6"/>
        <v>1</v>
      </c>
      <c r="AT39" s="205">
        <f t="shared" si="6"/>
        <v>1</v>
      </c>
      <c r="AU39" s="205">
        <f t="shared" si="6"/>
        <v>1</v>
      </c>
      <c r="AV39" s="205">
        <f t="shared" si="6"/>
        <v>1</v>
      </c>
      <c r="AW39" s="205">
        <f t="shared" si="6"/>
        <v>1</v>
      </c>
      <c r="AX39" s="205">
        <f t="shared" si="6"/>
        <v>1</v>
      </c>
      <c r="AY39" s="205">
        <f t="shared" si="6"/>
        <v>1</v>
      </c>
      <c r="AZ39" s="205">
        <f t="shared" si="6"/>
        <v>1</v>
      </c>
      <c r="BA39" s="205">
        <f t="shared" si="6"/>
        <v>1</v>
      </c>
      <c r="BB39" s="205">
        <f t="shared" si="6"/>
        <v>1</v>
      </c>
      <c r="BC39" s="205">
        <f t="shared" si="6"/>
        <v>1</v>
      </c>
      <c r="BD39" s="205">
        <f t="shared" si="6"/>
        <v>1</v>
      </c>
      <c r="BE39" s="205">
        <f t="shared" si="6"/>
        <v>1</v>
      </c>
      <c r="BF39" s="205">
        <f t="shared" si="6"/>
        <v>1</v>
      </c>
      <c r="BG39" s="205">
        <f t="shared" si="6"/>
        <v>1</v>
      </c>
      <c r="BH39" s="205">
        <f t="shared" si="6"/>
        <v>1</v>
      </c>
      <c r="BI39" s="205">
        <f t="shared" si="6"/>
        <v>1</v>
      </c>
      <c r="BJ39" s="205">
        <f t="shared" si="6"/>
        <v>1</v>
      </c>
      <c r="BK39" s="205">
        <f t="shared" si="6"/>
        <v>1</v>
      </c>
      <c r="BL39" s="205">
        <f t="shared" si="6"/>
        <v>1</v>
      </c>
      <c r="BO39" s="50"/>
    </row>
    <row r="40" spans="2:67" ht="24.75" hidden="1" customHeight="1" x14ac:dyDescent="0.45">
      <c r="B40" s="370" t="s">
        <v>477</v>
      </c>
      <c r="C40" s="370"/>
      <c r="D40" s="370"/>
      <c r="E40" s="205">
        <f>IF(AND(E24="",E25="",E26="",E27="",E28="",E29="",E30="",E31=""),2,IF(AND(E24&lt;&gt;"",E25&lt;&gt;"",E26&lt;&gt;"",E27&lt;&gt;"",E28&lt;&gt;"",E29&lt;&gt;"",E30&lt;&gt;"",E31&lt;&gt;"",E37=0),0,1))</f>
        <v>0</v>
      </c>
      <c r="F40" s="205">
        <f t="shared" ref="F40:BL40" si="7">IF(AND(F24="",F25="",F26="",F27="",F28="",F29="",F30="",F31=""),2,IF(AND(F24&lt;&gt;"",F25&lt;&gt;"",F26&lt;&gt;"",F27&lt;&gt;"",F28&lt;&gt;"",F29&lt;&gt;"",F30&lt;&gt;"",F31&lt;&gt;"",F37=0),0,1))</f>
        <v>0</v>
      </c>
      <c r="G40" s="205">
        <f t="shared" si="7"/>
        <v>1</v>
      </c>
      <c r="H40" s="205">
        <f t="shared" si="7"/>
        <v>0</v>
      </c>
      <c r="I40" s="205">
        <f t="shared" si="7"/>
        <v>2</v>
      </c>
      <c r="J40" s="205">
        <f t="shared" si="7"/>
        <v>2</v>
      </c>
      <c r="K40" s="205">
        <f t="shared" si="7"/>
        <v>2</v>
      </c>
      <c r="L40" s="205">
        <f t="shared" si="7"/>
        <v>2</v>
      </c>
      <c r="M40" s="205">
        <f t="shared" si="7"/>
        <v>2</v>
      </c>
      <c r="N40" s="205">
        <f t="shared" si="7"/>
        <v>2</v>
      </c>
      <c r="O40" s="205">
        <f t="shared" si="7"/>
        <v>2</v>
      </c>
      <c r="P40" s="205">
        <f t="shared" si="7"/>
        <v>2</v>
      </c>
      <c r="Q40" s="205">
        <f t="shared" si="7"/>
        <v>2</v>
      </c>
      <c r="R40" s="205">
        <f t="shared" si="7"/>
        <v>2</v>
      </c>
      <c r="S40" s="205">
        <f t="shared" si="7"/>
        <v>2</v>
      </c>
      <c r="T40" s="205">
        <f t="shared" si="7"/>
        <v>2</v>
      </c>
      <c r="U40" s="205">
        <f t="shared" si="7"/>
        <v>2</v>
      </c>
      <c r="V40" s="205">
        <f t="shared" si="7"/>
        <v>2</v>
      </c>
      <c r="W40" s="205">
        <f t="shared" si="7"/>
        <v>2</v>
      </c>
      <c r="X40" s="205">
        <f t="shared" si="7"/>
        <v>2</v>
      </c>
      <c r="Y40" s="205">
        <f t="shared" si="7"/>
        <v>2</v>
      </c>
      <c r="Z40" s="205">
        <f t="shared" si="7"/>
        <v>2</v>
      </c>
      <c r="AA40" s="205">
        <f t="shared" si="7"/>
        <v>2</v>
      </c>
      <c r="AB40" s="205">
        <f t="shared" si="7"/>
        <v>2</v>
      </c>
      <c r="AC40" s="205">
        <f t="shared" si="7"/>
        <v>2</v>
      </c>
      <c r="AD40" s="205">
        <f t="shared" si="7"/>
        <v>2</v>
      </c>
      <c r="AE40" s="205">
        <f t="shared" si="7"/>
        <v>2</v>
      </c>
      <c r="AF40" s="205">
        <f t="shared" si="7"/>
        <v>2</v>
      </c>
      <c r="AG40" s="205">
        <f t="shared" si="7"/>
        <v>2</v>
      </c>
      <c r="AH40" s="205">
        <f t="shared" si="7"/>
        <v>2</v>
      </c>
      <c r="AI40" s="205">
        <f t="shared" si="7"/>
        <v>2</v>
      </c>
      <c r="AJ40" s="205">
        <f t="shared" si="7"/>
        <v>2</v>
      </c>
      <c r="AK40" s="205">
        <f t="shared" si="7"/>
        <v>2</v>
      </c>
      <c r="AL40" s="205">
        <f t="shared" si="7"/>
        <v>2</v>
      </c>
      <c r="AM40" s="205">
        <f t="shared" si="7"/>
        <v>2</v>
      </c>
      <c r="AN40" s="205">
        <f t="shared" si="7"/>
        <v>2</v>
      </c>
      <c r="AO40" s="205">
        <f t="shared" si="7"/>
        <v>2</v>
      </c>
      <c r="AP40" s="205">
        <f t="shared" si="7"/>
        <v>2</v>
      </c>
      <c r="AQ40" s="205">
        <f t="shared" si="7"/>
        <v>2</v>
      </c>
      <c r="AR40" s="205">
        <f t="shared" si="7"/>
        <v>2</v>
      </c>
      <c r="AS40" s="205">
        <f t="shared" si="7"/>
        <v>2</v>
      </c>
      <c r="AT40" s="205">
        <f t="shared" si="7"/>
        <v>2</v>
      </c>
      <c r="AU40" s="205">
        <f t="shared" si="7"/>
        <v>2</v>
      </c>
      <c r="AV40" s="205">
        <f t="shared" si="7"/>
        <v>2</v>
      </c>
      <c r="AW40" s="205">
        <f t="shared" si="7"/>
        <v>2</v>
      </c>
      <c r="AX40" s="205">
        <f t="shared" si="7"/>
        <v>2</v>
      </c>
      <c r="AY40" s="205">
        <f t="shared" si="7"/>
        <v>2</v>
      </c>
      <c r="AZ40" s="205">
        <f t="shared" si="7"/>
        <v>2</v>
      </c>
      <c r="BA40" s="205">
        <f t="shared" si="7"/>
        <v>2</v>
      </c>
      <c r="BB40" s="205">
        <f t="shared" si="7"/>
        <v>2</v>
      </c>
      <c r="BC40" s="205">
        <f t="shared" si="7"/>
        <v>2</v>
      </c>
      <c r="BD40" s="205">
        <f t="shared" si="7"/>
        <v>2</v>
      </c>
      <c r="BE40" s="205">
        <f t="shared" si="7"/>
        <v>2</v>
      </c>
      <c r="BF40" s="205">
        <f t="shared" si="7"/>
        <v>2</v>
      </c>
      <c r="BG40" s="205">
        <f t="shared" si="7"/>
        <v>2</v>
      </c>
      <c r="BH40" s="205">
        <f t="shared" si="7"/>
        <v>2</v>
      </c>
      <c r="BI40" s="205">
        <f t="shared" si="7"/>
        <v>2</v>
      </c>
      <c r="BJ40" s="205">
        <f t="shared" si="7"/>
        <v>2</v>
      </c>
      <c r="BK40" s="205">
        <f t="shared" si="7"/>
        <v>2</v>
      </c>
      <c r="BL40" s="205">
        <f t="shared" si="7"/>
        <v>2</v>
      </c>
    </row>
    <row r="41" spans="2:67" ht="24.75" hidden="1" customHeight="1" x14ac:dyDescent="0.45">
      <c r="B41" s="369" t="s">
        <v>479</v>
      </c>
      <c r="C41" s="369"/>
      <c r="D41" s="369"/>
      <c r="E41" s="205">
        <f>IF(AND(E38=0,E39=0,E40=0),0,IF(E40=2,0,1))</f>
        <v>0</v>
      </c>
      <c r="F41" s="205">
        <f t="shared" ref="F41:BL41" si="8">IF(AND(F38=0,F39=0,F40=0),0,IF(F40=2,0,1))</f>
        <v>0</v>
      </c>
      <c r="G41" s="205">
        <f t="shared" si="8"/>
        <v>1</v>
      </c>
      <c r="H41" s="205">
        <f t="shared" si="8"/>
        <v>0</v>
      </c>
      <c r="I41" s="205">
        <f t="shared" si="8"/>
        <v>0</v>
      </c>
      <c r="J41" s="205">
        <f t="shared" si="8"/>
        <v>0</v>
      </c>
      <c r="K41" s="205">
        <f t="shared" si="8"/>
        <v>0</v>
      </c>
      <c r="L41" s="205">
        <f t="shared" si="8"/>
        <v>0</v>
      </c>
      <c r="M41" s="205">
        <f t="shared" si="8"/>
        <v>0</v>
      </c>
      <c r="N41" s="205">
        <f t="shared" si="8"/>
        <v>0</v>
      </c>
      <c r="O41" s="205">
        <f t="shared" si="8"/>
        <v>0</v>
      </c>
      <c r="P41" s="205">
        <f t="shared" si="8"/>
        <v>0</v>
      </c>
      <c r="Q41" s="205">
        <f t="shared" si="8"/>
        <v>0</v>
      </c>
      <c r="R41" s="205">
        <f t="shared" si="8"/>
        <v>0</v>
      </c>
      <c r="S41" s="205">
        <f t="shared" si="8"/>
        <v>0</v>
      </c>
      <c r="T41" s="205">
        <f t="shared" si="8"/>
        <v>0</v>
      </c>
      <c r="U41" s="205">
        <f t="shared" si="8"/>
        <v>0</v>
      </c>
      <c r="V41" s="205">
        <f t="shared" si="8"/>
        <v>0</v>
      </c>
      <c r="W41" s="205">
        <f t="shared" si="8"/>
        <v>0</v>
      </c>
      <c r="X41" s="205">
        <f t="shared" si="8"/>
        <v>0</v>
      </c>
      <c r="Y41" s="205">
        <f t="shared" si="8"/>
        <v>0</v>
      </c>
      <c r="Z41" s="205">
        <f t="shared" si="8"/>
        <v>0</v>
      </c>
      <c r="AA41" s="205">
        <f t="shared" si="8"/>
        <v>0</v>
      </c>
      <c r="AB41" s="205">
        <f t="shared" si="8"/>
        <v>0</v>
      </c>
      <c r="AC41" s="205">
        <f t="shared" si="8"/>
        <v>0</v>
      </c>
      <c r="AD41" s="205">
        <f t="shared" si="8"/>
        <v>0</v>
      </c>
      <c r="AE41" s="205">
        <f t="shared" si="8"/>
        <v>0</v>
      </c>
      <c r="AF41" s="205">
        <f t="shared" si="8"/>
        <v>0</v>
      </c>
      <c r="AG41" s="205">
        <f t="shared" si="8"/>
        <v>0</v>
      </c>
      <c r="AH41" s="205">
        <f t="shared" si="8"/>
        <v>0</v>
      </c>
      <c r="AI41" s="205">
        <f t="shared" si="8"/>
        <v>0</v>
      </c>
      <c r="AJ41" s="205">
        <f t="shared" si="8"/>
        <v>0</v>
      </c>
      <c r="AK41" s="205">
        <f t="shared" si="8"/>
        <v>0</v>
      </c>
      <c r="AL41" s="205">
        <f t="shared" si="8"/>
        <v>0</v>
      </c>
      <c r="AM41" s="205">
        <f t="shared" si="8"/>
        <v>0</v>
      </c>
      <c r="AN41" s="205">
        <f t="shared" si="8"/>
        <v>0</v>
      </c>
      <c r="AO41" s="205">
        <f t="shared" si="8"/>
        <v>0</v>
      </c>
      <c r="AP41" s="205">
        <f t="shared" si="8"/>
        <v>0</v>
      </c>
      <c r="AQ41" s="205">
        <f t="shared" si="8"/>
        <v>0</v>
      </c>
      <c r="AR41" s="205">
        <f t="shared" si="8"/>
        <v>0</v>
      </c>
      <c r="AS41" s="205">
        <f t="shared" si="8"/>
        <v>0</v>
      </c>
      <c r="AT41" s="205">
        <f t="shared" si="8"/>
        <v>0</v>
      </c>
      <c r="AU41" s="205">
        <f t="shared" si="8"/>
        <v>0</v>
      </c>
      <c r="AV41" s="205">
        <f t="shared" si="8"/>
        <v>0</v>
      </c>
      <c r="AW41" s="205">
        <f t="shared" si="8"/>
        <v>0</v>
      </c>
      <c r="AX41" s="205">
        <f t="shared" si="8"/>
        <v>0</v>
      </c>
      <c r="AY41" s="205">
        <f t="shared" si="8"/>
        <v>0</v>
      </c>
      <c r="AZ41" s="205">
        <f t="shared" si="8"/>
        <v>0</v>
      </c>
      <c r="BA41" s="205">
        <f t="shared" si="8"/>
        <v>0</v>
      </c>
      <c r="BB41" s="205">
        <f t="shared" si="8"/>
        <v>0</v>
      </c>
      <c r="BC41" s="205">
        <f t="shared" si="8"/>
        <v>0</v>
      </c>
      <c r="BD41" s="205">
        <f t="shared" si="8"/>
        <v>0</v>
      </c>
      <c r="BE41" s="205">
        <f t="shared" si="8"/>
        <v>0</v>
      </c>
      <c r="BF41" s="205">
        <f t="shared" si="8"/>
        <v>0</v>
      </c>
      <c r="BG41" s="205">
        <f t="shared" si="8"/>
        <v>0</v>
      </c>
      <c r="BH41" s="205">
        <f t="shared" si="8"/>
        <v>0</v>
      </c>
      <c r="BI41" s="205">
        <f t="shared" si="8"/>
        <v>0</v>
      </c>
      <c r="BJ41" s="205">
        <f t="shared" si="8"/>
        <v>0</v>
      </c>
      <c r="BK41" s="205">
        <f t="shared" si="8"/>
        <v>0</v>
      </c>
      <c r="BL41" s="205">
        <f t="shared" si="8"/>
        <v>0</v>
      </c>
    </row>
    <row r="42" spans="2:67" ht="24.75" hidden="1" customHeight="1" x14ac:dyDescent="0.45">
      <c r="B42" s="372" t="s">
        <v>478</v>
      </c>
      <c r="C42" s="372"/>
      <c r="D42" s="372"/>
      <c r="E42" s="205">
        <f>COUNTIF($E40:$BL40,0)</f>
        <v>3</v>
      </c>
      <c r="F42" s="205">
        <f>COUNTIF($E40:$BL40,1)</f>
        <v>1</v>
      </c>
      <c r="G42" s="205">
        <f>COUNTIF($E40:$BL40,2)</f>
        <v>56</v>
      </c>
      <c r="H42" s="205">
        <f>60-COUNTIF($E$24:$BL$24,"")</f>
        <v>4</v>
      </c>
      <c r="I42" s="206" t="str">
        <f>IF(F42&lt;&gt;0,"入力確認",IF(H42=E42,"入力済","未入力"))</f>
        <v>入力確認</v>
      </c>
      <c r="AK42" s="43"/>
    </row>
    <row r="43" spans="2:67" ht="20.25" thickTop="1" x14ac:dyDescent="0.45"/>
    <row r="44" spans="2:67" ht="19.5" customHeight="1" x14ac:dyDescent="0.45">
      <c r="B44" s="93"/>
      <c r="C44" s="93"/>
      <c r="D44" s="93"/>
      <c r="AK44" s="43"/>
    </row>
    <row r="45" spans="2:67" ht="19.5" customHeight="1" x14ac:dyDescent="0.45">
      <c r="AK45" s="43"/>
    </row>
    <row r="46" spans="2:67" ht="19.5" customHeight="1" x14ac:dyDescent="0.45">
      <c r="AK46" s="43"/>
    </row>
    <row r="47" spans="2:67" ht="19.5" customHeight="1" x14ac:dyDescent="0.45">
      <c r="AK47" s="43"/>
    </row>
    <row r="51" spans="37:37" x14ac:dyDescent="0.45">
      <c r="AK51" s="43"/>
    </row>
    <row r="54" spans="37:37" x14ac:dyDescent="0.45">
      <c r="AK54" s="43"/>
    </row>
  </sheetData>
  <sheetProtection password="DFA8" sheet="1" objects="1" scenarios="1" selectLockedCells="1" selectUnlockedCells="1"/>
  <mergeCells count="25">
    <mergeCell ref="B42:D42"/>
    <mergeCell ref="B32:B33"/>
    <mergeCell ref="C32:D32"/>
    <mergeCell ref="C33:D33"/>
    <mergeCell ref="B34:D34"/>
    <mergeCell ref="B35:D35"/>
    <mergeCell ref="B36:D36"/>
    <mergeCell ref="B37:D37"/>
    <mergeCell ref="B38:D38"/>
    <mergeCell ref="B39:D39"/>
    <mergeCell ref="B40:D40"/>
    <mergeCell ref="B41:D41"/>
    <mergeCell ref="B27:D27"/>
    <mergeCell ref="B28:B29"/>
    <mergeCell ref="C28:D28"/>
    <mergeCell ref="C29:D29"/>
    <mergeCell ref="B30:B31"/>
    <mergeCell ref="C30:D30"/>
    <mergeCell ref="C31:D31"/>
    <mergeCell ref="B26:D26"/>
    <mergeCell ref="G21:H21"/>
    <mergeCell ref="I21:Q21"/>
    <mergeCell ref="B23:D23"/>
    <mergeCell ref="B24:D24"/>
    <mergeCell ref="B25:D25"/>
  </mergeCells>
  <phoneticPr fontId="2"/>
  <conditionalFormatting sqref="E31:BL31 E29:BL29 E35:BL35 E33:BL33">
    <cfRule type="expression" dxfId="268" priority="5">
      <formula>E$35="不適合"</formula>
    </cfRule>
  </conditionalFormatting>
  <conditionalFormatting sqref="E33:BL33">
    <cfRule type="cellIs" dxfId="267" priority="7" operator="lessThan">
      <formula>30</formula>
    </cfRule>
    <cfRule type="expression" dxfId="266" priority="8">
      <formula>E33="入力確認"</formula>
    </cfRule>
  </conditionalFormatting>
  <conditionalFormatting sqref="E31:BL31 E34:BL34">
    <cfRule type="expression" dxfId="265" priority="4">
      <formula>E$31-E$30&lt;0</formula>
    </cfRule>
  </conditionalFormatting>
  <conditionalFormatting sqref="I21">
    <cfRule type="expression" dxfId="264" priority="11">
      <formula>$I$21="必要換気量に係る要件を満たしていないため、申請できません。"</formula>
    </cfRule>
    <cfRule type="expression" dxfId="263" priority="12">
      <formula>$I$21="「換気設備導入前後の比較表」の入力をご確認ください。"</formula>
    </cfRule>
  </conditionalFormatting>
  <conditionalFormatting sqref="E32:BL32">
    <cfRule type="expression" dxfId="262" priority="6">
      <formula>E32="入力確認"</formula>
    </cfRule>
  </conditionalFormatting>
  <conditionalFormatting sqref="E34:BL34">
    <cfRule type="expression" dxfId="261" priority="9">
      <formula>E34="不適合"</formula>
    </cfRule>
  </conditionalFormatting>
  <conditionalFormatting sqref="E29:BL29">
    <cfRule type="expression" dxfId="260" priority="3">
      <formula>AND(E29&lt;=0,E40=0)</formula>
    </cfRule>
  </conditionalFormatting>
  <conditionalFormatting sqref="E27:BL28">
    <cfRule type="expression" dxfId="259" priority="2">
      <formula>AND(E$27="機械換気",E$28=0)</formula>
    </cfRule>
  </conditionalFormatting>
  <conditionalFormatting sqref="E27:BL27 E30:BL30">
    <cfRule type="expression" dxfId="258" priority="1">
      <formula>AND(E$27="自然換気",E$30&gt;0)</formula>
    </cfRule>
  </conditionalFormatting>
  <conditionalFormatting sqref="I21:Q21">
    <cfRule type="expression" dxfId="257" priority="10">
      <formula>$I$21="「換気設備導入前後の比較表」を入力してください"</formula>
    </cfRule>
  </conditionalFormatting>
  <dataValidations count="4">
    <dataValidation type="whole" operator="greaterThanOrEqual" allowBlank="1" showInputMessage="1" showErrorMessage="1" prompt="自然換気は、”0”を入力。_x000a_機械換気は、”0”以上の整数を入力してください。" sqref="E30:BL30">
      <formula1>0</formula1>
    </dataValidation>
    <dataValidation type="whole" operator="greaterThanOrEqual" allowBlank="1" showInputMessage="1" showErrorMessage="1" prompt="”0”以上の整数を入力してください。" sqref="E31:BL31">
      <formula1>0</formula1>
    </dataValidation>
    <dataValidation type="whole" operator="greaterThanOrEqual" allowBlank="1" showInputMessage="1" showErrorMessage="1" prompt="利用人数を整数で入力してください" sqref="E28:BL29">
      <formula1>0</formula1>
    </dataValidation>
    <dataValidation allowBlank="1" sqref="C15:C16"/>
  </dataValidations>
  <pageMargins left="0.43307086614173229" right="0.31496062992125984" top="1.1023622047244095" bottom="0.82677165354330717" header="0.6692913385826772" footer="0.31496062992125984"/>
  <pageSetup paperSize="9" scale="60" fitToWidth="0" orientation="landscape" r:id="rId1"/>
  <headerFooter>
    <oddHeader>&amp;C&amp;20換気量・省エネ計算シート</oddHeader>
    <oddFooter>&amp;C&amp;14&amp;P</oddFooter>
  </headerFooter>
  <colBreaks count="3" manualBreakCount="3">
    <brk id="19" min="19" max="36" man="1"/>
    <brk id="34" min="19" max="36" man="1"/>
    <brk id="49" min="19" max="36"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計算!$Z$4:$Z$14</xm:f>
          </x14:formula1>
          <xm:sqref>E24:BL24</xm:sqref>
        </x14:dataValidation>
        <x14:dataValidation type="list" allowBlank="1" showInputMessage="1" showErrorMessage="1">
          <x14:formula1>
            <xm:f>計算!$T$17:$T$18</xm:f>
          </x14:formula1>
          <xm:sqref>E27:BL27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summaryRight="0"/>
    <pageSetUpPr fitToPage="1"/>
  </sheetPr>
  <dimension ref="B1:BO54"/>
  <sheetViews>
    <sheetView tabSelected="1" zoomScale="70" zoomScaleNormal="70" workbookViewId="0">
      <selection activeCell="B20" sqref="B20"/>
    </sheetView>
  </sheetViews>
  <sheetFormatPr defaultColWidth="7.19921875" defaultRowHeight="19.5" x14ac:dyDescent="0.45"/>
  <cols>
    <col min="1" max="1" width="2.19921875" style="43" customWidth="1"/>
    <col min="2" max="2" width="14.8984375" style="43" customWidth="1"/>
    <col min="3" max="3" width="4.796875" style="43" customWidth="1"/>
    <col min="4" max="4" width="4" style="43" customWidth="1"/>
    <col min="5" max="13" width="9.796875" style="43" customWidth="1"/>
    <col min="14" max="14" width="9.796875" style="43" customWidth="1" collapsed="1"/>
    <col min="15" max="28" width="9.796875" style="43" customWidth="1"/>
    <col min="29" max="29" width="9.796875" style="43" customWidth="1" collapsed="1"/>
    <col min="30" max="36" width="9.796875" style="43" customWidth="1"/>
    <col min="37" max="37" width="9.796875" style="50" customWidth="1"/>
    <col min="38" max="54" width="9.796875" style="43" customWidth="1"/>
    <col min="55" max="65" width="9.8984375" style="43" customWidth="1"/>
    <col min="66" max="16384" width="7.19921875" style="43"/>
  </cols>
  <sheetData>
    <row r="1" spans="2:34" s="64" customFormat="1" ht="18.75" x14ac:dyDescent="0.45"/>
    <row r="2" spans="2:34" s="23" customFormat="1" x14ac:dyDescent="0.45">
      <c r="B2" s="55" t="s">
        <v>213</v>
      </c>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2:34" s="64" customFormat="1" x14ac:dyDescent="0.45">
      <c r="B3" s="79" t="s">
        <v>214</v>
      </c>
      <c r="C3" s="43"/>
      <c r="D3" s="43"/>
      <c r="E3" s="43"/>
      <c r="F3" s="43"/>
      <c r="G3" s="43"/>
      <c r="H3" s="43"/>
      <c r="I3" s="43"/>
      <c r="J3" s="43"/>
      <c r="K3" s="56"/>
      <c r="L3" s="43"/>
      <c r="M3" s="43"/>
      <c r="N3" s="43"/>
      <c r="O3" s="43"/>
      <c r="P3" s="43"/>
      <c r="Q3" s="43"/>
      <c r="R3" s="43"/>
      <c r="S3" s="43"/>
      <c r="T3" s="43"/>
      <c r="U3" s="43"/>
      <c r="V3" s="43"/>
      <c r="W3" s="43"/>
      <c r="X3" s="43"/>
      <c r="Y3" s="43"/>
      <c r="Z3" s="43"/>
      <c r="AA3" s="43"/>
      <c r="AB3" s="43"/>
      <c r="AC3" s="43"/>
      <c r="AD3" s="43"/>
      <c r="AE3" s="43"/>
      <c r="AF3" s="43"/>
      <c r="AG3" s="43"/>
      <c r="AH3" s="43"/>
    </row>
    <row r="4" spans="2:34" s="64" customFormat="1" x14ac:dyDescent="0.45">
      <c r="B4" s="79"/>
      <c r="C4" s="43"/>
      <c r="D4" s="43"/>
      <c r="E4" s="43"/>
      <c r="F4" s="43"/>
      <c r="G4" s="43"/>
      <c r="H4" s="43"/>
      <c r="I4" s="43"/>
      <c r="J4" s="43"/>
      <c r="K4" s="56"/>
      <c r="L4" s="43"/>
      <c r="M4" s="43"/>
      <c r="N4" s="43"/>
      <c r="O4" s="43"/>
      <c r="P4" s="43"/>
      <c r="Q4" s="43"/>
      <c r="R4" s="43"/>
      <c r="S4" s="43"/>
      <c r="T4" s="43"/>
      <c r="U4" s="43"/>
      <c r="V4" s="43"/>
      <c r="W4" s="43"/>
      <c r="X4" s="43"/>
      <c r="Y4" s="43"/>
      <c r="Z4" s="43"/>
      <c r="AA4" s="43"/>
      <c r="AB4" s="43"/>
      <c r="AC4" s="43"/>
      <c r="AD4" s="43"/>
      <c r="AE4" s="43"/>
      <c r="AF4" s="43"/>
      <c r="AG4" s="43"/>
      <c r="AH4" s="43"/>
    </row>
    <row r="5" spans="2:34" s="23" customFormat="1" x14ac:dyDescent="0.45">
      <c r="B5" s="55" t="s">
        <v>166</v>
      </c>
      <c r="C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2:34" s="64" customFormat="1" x14ac:dyDescent="0.45">
      <c r="B6" s="128" t="s">
        <v>628</v>
      </c>
      <c r="C6" s="43"/>
      <c r="D6" s="43"/>
      <c r="E6" s="43"/>
      <c r="F6" s="43"/>
      <c r="G6" s="43"/>
      <c r="H6" s="43"/>
      <c r="I6" s="43"/>
      <c r="J6" s="43"/>
      <c r="K6" s="56"/>
      <c r="L6" s="43"/>
      <c r="M6" s="43"/>
      <c r="N6" s="43"/>
      <c r="O6" s="43"/>
      <c r="P6" s="43"/>
      <c r="Q6" s="43"/>
      <c r="R6" s="43"/>
      <c r="S6" s="43"/>
      <c r="T6" s="43"/>
      <c r="U6" s="43"/>
      <c r="V6" s="43"/>
      <c r="W6" s="43"/>
      <c r="X6" s="43"/>
      <c r="Y6" s="43"/>
      <c r="Z6" s="43"/>
      <c r="AA6" s="43"/>
      <c r="AB6" s="43"/>
      <c r="AC6" s="43"/>
      <c r="AD6" s="43"/>
      <c r="AE6" s="43"/>
      <c r="AF6" s="43"/>
      <c r="AG6" s="43"/>
      <c r="AH6" s="43"/>
    </row>
    <row r="7" spans="2:34" s="64" customFormat="1" x14ac:dyDescent="0.45">
      <c r="B7" s="128" t="s">
        <v>629</v>
      </c>
      <c r="C7" s="43"/>
      <c r="D7" s="43"/>
      <c r="E7" s="43"/>
      <c r="F7" s="43"/>
      <c r="G7" s="43"/>
      <c r="H7" s="43"/>
      <c r="I7" s="43"/>
      <c r="J7" s="43"/>
      <c r="K7" s="56"/>
      <c r="L7" s="43"/>
      <c r="M7" s="43"/>
      <c r="N7" s="43"/>
      <c r="O7" s="43"/>
      <c r="P7" s="43"/>
      <c r="Q7" s="43"/>
      <c r="R7" s="43"/>
      <c r="S7" s="43"/>
      <c r="T7" s="43"/>
      <c r="U7" s="43"/>
      <c r="V7" s="43"/>
      <c r="W7" s="43"/>
      <c r="X7" s="43"/>
      <c r="Y7" s="43"/>
      <c r="Z7" s="43"/>
      <c r="AA7" s="43"/>
      <c r="AB7" s="43"/>
      <c r="AC7" s="43"/>
      <c r="AD7" s="43"/>
      <c r="AE7" s="43"/>
      <c r="AF7" s="43"/>
      <c r="AG7" s="43"/>
      <c r="AH7" s="43"/>
    </row>
    <row r="8" spans="2:34" s="64" customFormat="1" x14ac:dyDescent="0.45">
      <c r="B8" s="128" t="s">
        <v>630</v>
      </c>
      <c r="C8" s="43"/>
      <c r="D8" s="43"/>
      <c r="E8" s="43"/>
      <c r="F8" s="43"/>
      <c r="G8" s="43"/>
      <c r="H8" s="43"/>
      <c r="I8" s="43"/>
      <c r="J8" s="43"/>
      <c r="K8" s="56"/>
      <c r="L8" s="43"/>
      <c r="M8" s="43"/>
      <c r="N8" s="43"/>
      <c r="O8" s="43"/>
      <c r="P8" s="43"/>
      <c r="Q8" s="43"/>
      <c r="R8" s="43"/>
      <c r="S8" s="43"/>
      <c r="T8" s="43"/>
      <c r="U8" s="43"/>
      <c r="V8" s="43"/>
      <c r="W8" s="43"/>
      <c r="X8" s="43"/>
      <c r="Y8" s="43"/>
      <c r="Z8" s="43"/>
      <c r="AA8" s="43"/>
      <c r="AB8" s="43"/>
      <c r="AC8" s="43"/>
      <c r="AD8" s="43"/>
      <c r="AE8" s="43"/>
      <c r="AF8" s="43"/>
      <c r="AG8" s="43"/>
      <c r="AH8" s="43"/>
    </row>
    <row r="9" spans="2:34" s="64" customFormat="1" x14ac:dyDescent="0.45">
      <c r="B9" s="128" t="s">
        <v>472</v>
      </c>
      <c r="C9" s="43"/>
      <c r="D9" s="93"/>
      <c r="E9" s="93"/>
      <c r="F9" s="93"/>
      <c r="G9" s="43"/>
      <c r="H9" s="43"/>
      <c r="I9" s="43"/>
      <c r="J9" s="43"/>
      <c r="K9" s="56"/>
      <c r="L9" s="43"/>
      <c r="M9" s="43"/>
      <c r="N9" s="43"/>
      <c r="O9" s="43"/>
      <c r="P9" s="43"/>
      <c r="Q9" s="43"/>
      <c r="R9" s="43"/>
      <c r="S9" s="43"/>
      <c r="T9" s="43"/>
      <c r="U9" s="43"/>
      <c r="V9" s="43"/>
      <c r="W9" s="43"/>
      <c r="X9" s="43"/>
      <c r="Y9" s="43"/>
      <c r="Z9" s="43"/>
      <c r="AA9" s="43"/>
      <c r="AB9" s="43"/>
      <c r="AC9" s="43"/>
      <c r="AD9" s="43"/>
      <c r="AE9" s="43"/>
      <c r="AF9" s="43"/>
      <c r="AG9" s="43"/>
      <c r="AH9" s="43"/>
    </row>
    <row r="10" spans="2:34" s="64" customFormat="1" x14ac:dyDescent="0.45">
      <c r="B10" s="128" t="s">
        <v>473</v>
      </c>
      <c r="C10" s="43"/>
      <c r="D10" s="43"/>
      <c r="E10" s="43"/>
      <c r="F10" s="43"/>
      <c r="G10" s="43"/>
      <c r="H10" s="43"/>
      <c r="I10" s="43"/>
      <c r="J10" s="43"/>
      <c r="K10" s="56"/>
      <c r="L10" s="43"/>
      <c r="M10" s="43"/>
      <c r="N10" s="43"/>
      <c r="O10" s="43"/>
      <c r="P10" s="43"/>
      <c r="Q10" s="43"/>
      <c r="R10" s="43"/>
      <c r="S10" s="43"/>
      <c r="T10" s="43"/>
      <c r="U10" s="43"/>
      <c r="V10" s="43"/>
      <c r="W10" s="43"/>
      <c r="X10" s="43"/>
      <c r="Y10" s="43"/>
      <c r="Z10" s="43"/>
      <c r="AA10" s="43"/>
      <c r="AB10" s="43"/>
      <c r="AC10" s="43"/>
      <c r="AD10" s="43"/>
      <c r="AE10" s="43"/>
      <c r="AF10" s="43"/>
      <c r="AG10" s="43"/>
      <c r="AH10" s="43"/>
    </row>
    <row r="11" spans="2:34" s="64" customFormat="1" x14ac:dyDescent="0.45">
      <c r="B11" s="128" t="s">
        <v>409</v>
      </c>
      <c r="C11" s="43"/>
      <c r="D11" s="43"/>
      <c r="E11" s="43"/>
      <c r="F11" s="43"/>
      <c r="G11" s="43"/>
      <c r="H11" s="43"/>
      <c r="I11" s="43"/>
      <c r="J11" s="43"/>
      <c r="K11" s="56"/>
      <c r="L11" s="43"/>
      <c r="M11" s="43"/>
      <c r="N11" s="43"/>
      <c r="O11" s="43"/>
      <c r="P11" s="43"/>
      <c r="Q11" s="43"/>
      <c r="R11" s="43"/>
      <c r="S11" s="43"/>
      <c r="T11" s="43"/>
      <c r="U11" s="43"/>
      <c r="V11" s="43"/>
      <c r="W11" s="43"/>
      <c r="X11" s="43"/>
      <c r="Y11" s="43"/>
      <c r="Z11" s="43"/>
      <c r="AA11" s="43"/>
      <c r="AB11" s="43"/>
      <c r="AC11" s="43"/>
      <c r="AD11" s="43"/>
      <c r="AE11" s="43"/>
      <c r="AF11" s="43"/>
      <c r="AG11" s="43"/>
      <c r="AH11" s="43"/>
    </row>
    <row r="12" spans="2:34" s="64" customFormat="1" x14ac:dyDescent="0.45">
      <c r="B12" s="128" t="s">
        <v>408</v>
      </c>
      <c r="C12" s="43"/>
      <c r="D12" s="43"/>
      <c r="E12" s="43"/>
      <c r="F12" s="43"/>
      <c r="G12" s="43"/>
      <c r="H12" s="43"/>
      <c r="I12" s="43"/>
      <c r="J12" s="43"/>
      <c r="K12" s="56"/>
      <c r="L12" s="43"/>
      <c r="M12" s="43"/>
      <c r="N12" s="43"/>
      <c r="O12" s="43"/>
      <c r="P12" s="43"/>
      <c r="Q12" s="43"/>
      <c r="R12" s="43"/>
      <c r="S12" s="43"/>
      <c r="T12" s="43"/>
      <c r="U12" s="43"/>
      <c r="V12" s="43"/>
      <c r="W12" s="43"/>
      <c r="X12" s="43"/>
      <c r="Y12" s="43"/>
      <c r="Z12" s="43"/>
      <c r="AA12" s="43"/>
      <c r="AB12" s="43"/>
      <c r="AC12" s="43"/>
      <c r="AD12" s="43"/>
      <c r="AE12" s="43"/>
      <c r="AF12" s="43"/>
      <c r="AG12" s="43"/>
      <c r="AH12" s="43"/>
    </row>
    <row r="13" spans="2:34" s="64" customFormat="1" x14ac:dyDescent="0.45">
      <c r="B13" s="146" t="s">
        <v>407</v>
      </c>
      <c r="C13" s="43"/>
      <c r="D13" s="43"/>
      <c r="E13" s="43"/>
      <c r="F13" s="43"/>
      <c r="G13" s="43"/>
      <c r="H13" s="43"/>
      <c r="I13" s="43"/>
      <c r="J13" s="43"/>
      <c r="K13" s="56"/>
      <c r="L13" s="43"/>
      <c r="M13" s="43"/>
      <c r="N13" s="43"/>
      <c r="O13" s="43"/>
      <c r="P13" s="43"/>
      <c r="Q13" s="43"/>
      <c r="R13" s="43"/>
      <c r="S13" s="43"/>
      <c r="T13" s="43"/>
      <c r="U13" s="43"/>
      <c r="V13" s="43"/>
      <c r="W13" s="43"/>
      <c r="X13" s="43"/>
      <c r="Y13" s="43"/>
      <c r="Z13" s="43"/>
      <c r="AA13" s="43"/>
      <c r="AB13" s="43"/>
      <c r="AC13" s="43"/>
      <c r="AD13" s="43"/>
      <c r="AE13" s="43"/>
      <c r="AF13" s="43"/>
      <c r="AG13" s="43"/>
      <c r="AH13" s="43"/>
    </row>
    <row r="14" spans="2:34" s="23" customFormat="1" x14ac:dyDescent="0.45">
      <c r="B14" s="55"/>
      <c r="C14" s="55"/>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2:34" s="23" customFormat="1" x14ac:dyDescent="0.45">
      <c r="B15" s="95" t="s">
        <v>167</v>
      </c>
      <c r="C15" s="57"/>
      <c r="D15" s="56" t="s">
        <v>633</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2:34" s="23" customFormat="1" x14ac:dyDescent="0.45">
      <c r="B16" s="58"/>
      <c r="C16" s="59"/>
      <c r="D16" s="56" t="s">
        <v>635</v>
      </c>
      <c r="F16" s="56"/>
      <c r="G16" s="56"/>
      <c r="H16" s="56"/>
      <c r="I16" s="56"/>
      <c r="J16" s="56"/>
      <c r="K16" s="60"/>
      <c r="L16" s="56"/>
      <c r="M16" s="56"/>
      <c r="N16" s="60"/>
      <c r="O16" s="60"/>
      <c r="P16" s="60"/>
      <c r="Q16" s="60"/>
      <c r="R16" s="60"/>
      <c r="S16" s="60"/>
      <c r="T16" s="60"/>
      <c r="U16" s="60"/>
      <c r="V16" s="60"/>
      <c r="W16" s="60"/>
      <c r="X16" s="60"/>
      <c r="Y16" s="60"/>
      <c r="Z16" s="60"/>
      <c r="AA16" s="60"/>
      <c r="AB16" s="60"/>
      <c r="AC16" s="60"/>
      <c r="AD16" s="60"/>
      <c r="AE16" s="60"/>
      <c r="AF16" s="60"/>
      <c r="AG16" s="60"/>
      <c r="AH16" s="60"/>
    </row>
    <row r="17" spans="2:67" s="23" customFormat="1" x14ac:dyDescent="0.45">
      <c r="B17" s="58"/>
      <c r="C17" s="61"/>
      <c r="D17" s="52" t="s">
        <v>634</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2:67" s="23" customFormat="1" x14ac:dyDescent="0.45">
      <c r="B18" s="58"/>
      <c r="C18" s="58"/>
      <c r="D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2:67" s="23" customFormat="1" x14ac:dyDescent="0.45">
      <c r="B19" s="58" t="s">
        <v>641</v>
      </c>
      <c r="C19" s="58"/>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2:67" ht="24.75" customHeight="1" thickBot="1" x14ac:dyDescent="0.5">
      <c r="AI20" s="124"/>
    </row>
    <row r="21" spans="2:67" ht="49.5" customHeight="1" thickTop="1" thickBot="1" x14ac:dyDescent="0.5">
      <c r="B21" s="97" t="s">
        <v>189</v>
      </c>
      <c r="C21" s="97"/>
      <c r="D21" s="97"/>
      <c r="E21" s="97"/>
      <c r="F21" s="97"/>
      <c r="G21" s="361" t="s">
        <v>257</v>
      </c>
      <c r="H21" s="362"/>
      <c r="I21" s="358" t="str">
        <f>IF(SUM($E40:$BL40)=120,"「換気設備導入前後の比較表」を入力してください",IF(I42="入力確認","「換気設備導入前後の比較表」の入力をご確認ください。",IF(SUM(E41:BL41)=0,"必要換気量に係る要件を満たしています。","必要換気量に係る要件を満たしていないため、申請できません。")))</f>
        <v>必要換気量に係る要件を満たしていないため、申請できません。</v>
      </c>
      <c r="J21" s="359"/>
      <c r="K21" s="359"/>
      <c r="L21" s="359"/>
      <c r="M21" s="359"/>
      <c r="N21" s="359"/>
      <c r="O21" s="359"/>
      <c r="P21" s="359"/>
      <c r="Q21" s="360"/>
    </row>
    <row r="22" spans="2:67" ht="24.75" customHeight="1" thickTop="1" x14ac:dyDescent="0.5">
      <c r="B22" s="96"/>
      <c r="C22" s="96"/>
      <c r="D22" s="96"/>
      <c r="E22" s="96"/>
      <c r="F22" s="96"/>
      <c r="G22" s="96"/>
      <c r="H22" s="96"/>
      <c r="I22" s="96"/>
      <c r="J22" s="96"/>
      <c r="K22" s="96"/>
      <c r="L22" s="96"/>
      <c r="M22" s="96"/>
      <c r="N22" s="121"/>
      <c r="O22" s="145"/>
      <c r="P22" s="145"/>
      <c r="Q22" s="145"/>
      <c r="R22" s="145"/>
      <c r="S22" s="145"/>
      <c r="T22" s="145"/>
      <c r="U22" s="145"/>
      <c r="V22" s="145"/>
      <c r="W22" s="145"/>
      <c r="X22" s="145"/>
      <c r="Y22" s="145"/>
      <c r="Z22" s="145"/>
      <c r="AA22" s="145"/>
      <c r="AB22" s="145"/>
      <c r="AC22" s="145"/>
      <c r="AD22" s="145"/>
      <c r="AE22" s="145"/>
      <c r="AF22" s="145"/>
      <c r="AG22" s="145"/>
      <c r="AH22" s="145"/>
    </row>
    <row r="23" spans="2:67" ht="42" customHeight="1" x14ac:dyDescent="0.45">
      <c r="B23" s="367" t="s">
        <v>125</v>
      </c>
      <c r="C23" s="367"/>
      <c r="D23" s="367"/>
      <c r="E23" s="144" t="s">
        <v>315</v>
      </c>
      <c r="F23" s="144" t="s">
        <v>316</v>
      </c>
      <c r="G23" s="144" t="s">
        <v>317</v>
      </c>
      <c r="H23" s="144" t="s">
        <v>318</v>
      </c>
      <c r="I23" s="144" t="s">
        <v>319</v>
      </c>
      <c r="J23" s="144" t="s">
        <v>320</v>
      </c>
      <c r="K23" s="144" t="s">
        <v>321</v>
      </c>
      <c r="L23" s="144" t="s">
        <v>322</v>
      </c>
      <c r="M23" s="144" t="s">
        <v>323</v>
      </c>
      <c r="N23" s="144" t="s">
        <v>324</v>
      </c>
      <c r="O23" s="144" t="s">
        <v>325</v>
      </c>
      <c r="P23" s="144" t="s">
        <v>326</v>
      </c>
      <c r="Q23" s="144" t="s">
        <v>327</v>
      </c>
      <c r="R23" s="144" t="s">
        <v>328</v>
      </c>
      <c r="S23" s="144" t="s">
        <v>329</v>
      </c>
      <c r="T23" s="144" t="s">
        <v>330</v>
      </c>
      <c r="U23" s="144" t="s">
        <v>331</v>
      </c>
      <c r="V23" s="144" t="s">
        <v>332</v>
      </c>
      <c r="W23" s="144" t="s">
        <v>333</v>
      </c>
      <c r="X23" s="144" t="s">
        <v>334</v>
      </c>
      <c r="Y23" s="144" t="s">
        <v>335</v>
      </c>
      <c r="Z23" s="144" t="s">
        <v>336</v>
      </c>
      <c r="AA23" s="144" t="s">
        <v>337</v>
      </c>
      <c r="AB23" s="144" t="s">
        <v>338</v>
      </c>
      <c r="AC23" s="144" t="s">
        <v>339</v>
      </c>
      <c r="AD23" s="144" t="s">
        <v>340</v>
      </c>
      <c r="AE23" s="144" t="s">
        <v>341</v>
      </c>
      <c r="AF23" s="144" t="s">
        <v>342</v>
      </c>
      <c r="AG23" s="144" t="s">
        <v>343</v>
      </c>
      <c r="AH23" s="144" t="s">
        <v>344</v>
      </c>
      <c r="AI23" s="144" t="s">
        <v>387</v>
      </c>
      <c r="AJ23" s="144" t="s">
        <v>388</v>
      </c>
      <c r="AK23" s="144" t="s">
        <v>389</v>
      </c>
      <c r="AL23" s="144" t="s">
        <v>390</v>
      </c>
      <c r="AM23" s="144" t="s">
        <v>391</v>
      </c>
      <c r="AN23" s="144" t="s">
        <v>392</v>
      </c>
      <c r="AO23" s="144" t="s">
        <v>393</v>
      </c>
      <c r="AP23" s="144" t="s">
        <v>394</v>
      </c>
      <c r="AQ23" s="144" t="s">
        <v>395</v>
      </c>
      <c r="AR23" s="144" t="s">
        <v>396</v>
      </c>
      <c r="AS23" s="144" t="s">
        <v>397</v>
      </c>
      <c r="AT23" s="144" t="s">
        <v>398</v>
      </c>
      <c r="AU23" s="144" t="s">
        <v>399</v>
      </c>
      <c r="AV23" s="144" t="s">
        <v>400</v>
      </c>
      <c r="AW23" s="144" t="s">
        <v>401</v>
      </c>
      <c r="AX23" s="144" t="s">
        <v>402</v>
      </c>
      <c r="AY23" s="144" t="s">
        <v>403</v>
      </c>
      <c r="AZ23" s="144" t="s">
        <v>404</v>
      </c>
      <c r="BA23" s="144" t="s">
        <v>405</v>
      </c>
      <c r="BB23" s="144" t="s">
        <v>406</v>
      </c>
      <c r="BC23" s="144" t="s">
        <v>418</v>
      </c>
      <c r="BD23" s="144" t="s">
        <v>419</v>
      </c>
      <c r="BE23" s="144" t="s">
        <v>420</v>
      </c>
      <c r="BF23" s="144" t="s">
        <v>421</v>
      </c>
      <c r="BG23" s="144" t="s">
        <v>422</v>
      </c>
      <c r="BH23" s="144" t="s">
        <v>423</v>
      </c>
      <c r="BI23" s="144" t="s">
        <v>424</v>
      </c>
      <c r="BJ23" s="144" t="s">
        <v>425</v>
      </c>
      <c r="BK23" s="144" t="s">
        <v>426</v>
      </c>
      <c r="BL23" s="144" t="s">
        <v>427</v>
      </c>
      <c r="BO23" s="50"/>
    </row>
    <row r="24" spans="2:67" ht="58.5" customHeight="1" x14ac:dyDescent="0.45">
      <c r="B24" s="367" t="s">
        <v>126</v>
      </c>
      <c r="C24" s="367"/>
      <c r="D24" s="367"/>
      <c r="E24" s="101" t="s">
        <v>90</v>
      </c>
      <c r="F24" s="101" t="s">
        <v>90</v>
      </c>
      <c r="G24" s="101" t="s">
        <v>90</v>
      </c>
      <c r="H24" s="101" t="s">
        <v>100</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N24" s="128"/>
      <c r="BO24" s="50"/>
    </row>
    <row r="25" spans="2:67" ht="49.5" customHeight="1" x14ac:dyDescent="0.45">
      <c r="B25" s="368" t="s">
        <v>130</v>
      </c>
      <c r="C25" s="368"/>
      <c r="D25" s="368"/>
      <c r="E25" s="102">
        <v>50.2</v>
      </c>
      <c r="F25" s="102">
        <v>50.2</v>
      </c>
      <c r="G25" s="102">
        <v>100</v>
      </c>
      <c r="H25" s="102">
        <v>120.5</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O25" s="50"/>
    </row>
    <row r="26" spans="2:67" ht="49.5" customHeight="1" thickBot="1" x14ac:dyDescent="0.5">
      <c r="B26" s="368" t="s">
        <v>133</v>
      </c>
      <c r="C26" s="368"/>
      <c r="D26" s="368"/>
      <c r="E26" s="102">
        <v>2.5</v>
      </c>
      <c r="F26" s="102">
        <v>2.5</v>
      </c>
      <c r="G26" s="246">
        <v>2.5</v>
      </c>
      <c r="H26" s="102">
        <v>3.2</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O26" s="50"/>
    </row>
    <row r="27" spans="2:67" ht="49.5" customHeight="1" thickTop="1" thickBot="1" x14ac:dyDescent="0.5">
      <c r="B27" s="368" t="s">
        <v>173</v>
      </c>
      <c r="C27" s="368"/>
      <c r="D27" s="368"/>
      <c r="E27" s="103" t="s">
        <v>129</v>
      </c>
      <c r="F27" s="242" t="s">
        <v>132</v>
      </c>
      <c r="G27" s="249" t="s">
        <v>129</v>
      </c>
      <c r="H27" s="244" t="s">
        <v>132</v>
      </c>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N27" s="128"/>
      <c r="BO27" s="50"/>
    </row>
    <row r="28" spans="2:67" ht="49.5" customHeight="1" thickTop="1" thickBot="1" x14ac:dyDescent="0.5">
      <c r="B28" s="365" t="s">
        <v>345</v>
      </c>
      <c r="C28" s="368" t="s">
        <v>136</v>
      </c>
      <c r="D28" s="368"/>
      <c r="E28" s="104">
        <v>15</v>
      </c>
      <c r="F28" s="104">
        <v>10</v>
      </c>
      <c r="G28" s="266">
        <v>20</v>
      </c>
      <c r="H28" s="104">
        <v>20</v>
      </c>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O28" s="50"/>
    </row>
    <row r="29" spans="2:67" ht="49.5" customHeight="1" thickTop="1" thickBot="1" x14ac:dyDescent="0.5">
      <c r="B29" s="366"/>
      <c r="C29" s="368" t="s">
        <v>168</v>
      </c>
      <c r="D29" s="368"/>
      <c r="E29" s="104">
        <v>15</v>
      </c>
      <c r="F29" s="243">
        <v>10</v>
      </c>
      <c r="G29" s="250">
        <v>20</v>
      </c>
      <c r="H29" s="245">
        <v>20</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O29" s="50"/>
    </row>
    <row r="30" spans="2:67" ht="49.5" customHeight="1" thickTop="1" thickBot="1" x14ac:dyDescent="0.5">
      <c r="B30" s="365" t="s">
        <v>174</v>
      </c>
      <c r="C30" s="368" t="s">
        <v>136</v>
      </c>
      <c r="D30" s="368"/>
      <c r="E30" s="104">
        <v>500</v>
      </c>
      <c r="F30" s="243">
        <v>0</v>
      </c>
      <c r="G30" s="266">
        <v>1200</v>
      </c>
      <c r="H30" s="245">
        <v>0</v>
      </c>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O30" s="50"/>
    </row>
    <row r="31" spans="2:67" ht="49.5" customHeight="1" thickTop="1" thickBot="1" x14ac:dyDescent="0.5">
      <c r="B31" s="366"/>
      <c r="C31" s="368" t="s">
        <v>168</v>
      </c>
      <c r="D31" s="368"/>
      <c r="E31" s="104">
        <v>1200</v>
      </c>
      <c r="F31" s="243">
        <v>600</v>
      </c>
      <c r="G31" s="250">
        <v>1000</v>
      </c>
      <c r="H31" s="245">
        <v>1000</v>
      </c>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O31" s="50"/>
    </row>
    <row r="32" spans="2:67" ht="49.5" customHeight="1" thickTop="1" thickBot="1" x14ac:dyDescent="0.5">
      <c r="B32" s="365" t="s">
        <v>140</v>
      </c>
      <c r="C32" s="368" t="s">
        <v>136</v>
      </c>
      <c r="D32" s="368"/>
      <c r="E32" s="207">
        <f>IF(E40&lt;&gt;0,"",IF(E27="自然換気",0,IF(ISERROR(E30/E28),"入力確認",E30/E28)))</f>
        <v>33.333333333333336</v>
      </c>
      <c r="F32" s="207">
        <f t="shared" ref="F32:BL32" si="0">IF(F40&lt;&gt;0,"",IF(F27="自然換気",0,IF(ISERROR(F30/F28),"入力確認",F30/F28)))</f>
        <v>0</v>
      </c>
      <c r="G32" s="270">
        <f t="shared" si="0"/>
        <v>60</v>
      </c>
      <c r="H32" s="207">
        <f t="shared" si="0"/>
        <v>0</v>
      </c>
      <c r="I32" s="207" t="str">
        <f t="shared" si="0"/>
        <v/>
      </c>
      <c r="J32" s="207" t="str">
        <f t="shared" si="0"/>
        <v/>
      </c>
      <c r="K32" s="207" t="str">
        <f t="shared" si="0"/>
        <v/>
      </c>
      <c r="L32" s="207" t="str">
        <f t="shared" si="0"/>
        <v/>
      </c>
      <c r="M32" s="207" t="str">
        <f t="shared" si="0"/>
        <v/>
      </c>
      <c r="N32" s="207" t="str">
        <f t="shared" si="0"/>
        <v/>
      </c>
      <c r="O32" s="207" t="str">
        <f t="shared" si="0"/>
        <v/>
      </c>
      <c r="P32" s="207" t="str">
        <f t="shared" si="0"/>
        <v/>
      </c>
      <c r="Q32" s="207" t="str">
        <f t="shared" si="0"/>
        <v/>
      </c>
      <c r="R32" s="207" t="str">
        <f t="shared" si="0"/>
        <v/>
      </c>
      <c r="S32" s="207" t="str">
        <f t="shared" si="0"/>
        <v/>
      </c>
      <c r="T32" s="207" t="str">
        <f t="shared" si="0"/>
        <v/>
      </c>
      <c r="U32" s="207" t="str">
        <f t="shared" si="0"/>
        <v/>
      </c>
      <c r="V32" s="207" t="str">
        <f t="shared" si="0"/>
        <v/>
      </c>
      <c r="W32" s="207" t="str">
        <f t="shared" si="0"/>
        <v/>
      </c>
      <c r="X32" s="207" t="str">
        <f t="shared" si="0"/>
        <v/>
      </c>
      <c r="Y32" s="207" t="str">
        <f t="shared" si="0"/>
        <v/>
      </c>
      <c r="Z32" s="207" t="str">
        <f t="shared" si="0"/>
        <v/>
      </c>
      <c r="AA32" s="207" t="str">
        <f t="shared" si="0"/>
        <v/>
      </c>
      <c r="AB32" s="207" t="str">
        <f t="shared" si="0"/>
        <v/>
      </c>
      <c r="AC32" s="207" t="str">
        <f t="shared" si="0"/>
        <v/>
      </c>
      <c r="AD32" s="207" t="str">
        <f t="shared" si="0"/>
        <v/>
      </c>
      <c r="AE32" s="207" t="str">
        <f t="shared" si="0"/>
        <v/>
      </c>
      <c r="AF32" s="207" t="str">
        <f t="shared" si="0"/>
        <v/>
      </c>
      <c r="AG32" s="207" t="str">
        <f t="shared" si="0"/>
        <v/>
      </c>
      <c r="AH32" s="207" t="str">
        <f t="shared" si="0"/>
        <v/>
      </c>
      <c r="AI32" s="207" t="str">
        <f t="shared" si="0"/>
        <v/>
      </c>
      <c r="AJ32" s="207" t="str">
        <f t="shared" si="0"/>
        <v/>
      </c>
      <c r="AK32" s="207" t="str">
        <f t="shared" si="0"/>
        <v/>
      </c>
      <c r="AL32" s="207" t="str">
        <f t="shared" si="0"/>
        <v/>
      </c>
      <c r="AM32" s="207" t="str">
        <f t="shared" si="0"/>
        <v/>
      </c>
      <c r="AN32" s="207" t="str">
        <f t="shared" si="0"/>
        <v/>
      </c>
      <c r="AO32" s="207" t="str">
        <f t="shared" si="0"/>
        <v/>
      </c>
      <c r="AP32" s="207" t="str">
        <f t="shared" si="0"/>
        <v/>
      </c>
      <c r="AQ32" s="207" t="str">
        <f t="shared" si="0"/>
        <v/>
      </c>
      <c r="AR32" s="207" t="str">
        <f t="shared" si="0"/>
        <v/>
      </c>
      <c r="AS32" s="207" t="str">
        <f t="shared" si="0"/>
        <v/>
      </c>
      <c r="AT32" s="207" t="str">
        <f t="shared" si="0"/>
        <v/>
      </c>
      <c r="AU32" s="207" t="str">
        <f t="shared" si="0"/>
        <v/>
      </c>
      <c r="AV32" s="207" t="str">
        <f t="shared" si="0"/>
        <v/>
      </c>
      <c r="AW32" s="207" t="str">
        <f t="shared" si="0"/>
        <v/>
      </c>
      <c r="AX32" s="207" t="str">
        <f t="shared" si="0"/>
        <v/>
      </c>
      <c r="AY32" s="207" t="str">
        <f t="shared" si="0"/>
        <v/>
      </c>
      <c r="AZ32" s="207" t="str">
        <f t="shared" si="0"/>
        <v/>
      </c>
      <c r="BA32" s="207" t="str">
        <f t="shared" si="0"/>
        <v/>
      </c>
      <c r="BB32" s="207" t="str">
        <f t="shared" si="0"/>
        <v/>
      </c>
      <c r="BC32" s="207" t="str">
        <f t="shared" si="0"/>
        <v/>
      </c>
      <c r="BD32" s="207" t="str">
        <f t="shared" si="0"/>
        <v/>
      </c>
      <c r="BE32" s="207" t="str">
        <f t="shared" si="0"/>
        <v/>
      </c>
      <c r="BF32" s="207" t="str">
        <f t="shared" si="0"/>
        <v/>
      </c>
      <c r="BG32" s="207" t="str">
        <f t="shared" si="0"/>
        <v/>
      </c>
      <c r="BH32" s="207" t="str">
        <f t="shared" si="0"/>
        <v/>
      </c>
      <c r="BI32" s="207" t="str">
        <f t="shared" si="0"/>
        <v/>
      </c>
      <c r="BJ32" s="207" t="str">
        <f t="shared" si="0"/>
        <v/>
      </c>
      <c r="BK32" s="207" t="str">
        <f t="shared" si="0"/>
        <v/>
      </c>
      <c r="BL32" s="207" t="str">
        <f t="shared" si="0"/>
        <v/>
      </c>
      <c r="BO32" s="50"/>
    </row>
    <row r="33" spans="2:67" ht="49.5" customHeight="1" thickTop="1" x14ac:dyDescent="0.45">
      <c r="B33" s="366"/>
      <c r="C33" s="368" t="s">
        <v>168</v>
      </c>
      <c r="D33" s="368"/>
      <c r="E33" s="259">
        <f>IF(E40&lt;&gt;0,"",IF(ISERROR(E31/E29),"入力確認",E31/E29))</f>
        <v>80</v>
      </c>
      <c r="F33" s="267">
        <f t="shared" ref="F33:BL33" si="1">IF(F40&lt;&gt;0,"",IF(ISERROR(F31/F29),"入力確認",F31/F29))</f>
        <v>60</v>
      </c>
      <c r="G33" s="271">
        <f t="shared" si="1"/>
        <v>50</v>
      </c>
      <c r="H33" s="269">
        <f t="shared" si="1"/>
        <v>50</v>
      </c>
      <c r="I33" s="207" t="str">
        <f t="shared" si="1"/>
        <v/>
      </c>
      <c r="J33" s="207" t="str">
        <f t="shared" si="1"/>
        <v/>
      </c>
      <c r="K33" s="207" t="str">
        <f t="shared" si="1"/>
        <v/>
      </c>
      <c r="L33" s="207" t="str">
        <f t="shared" si="1"/>
        <v/>
      </c>
      <c r="M33" s="207" t="str">
        <f>IF(M40&lt;&gt;0,"",IF(ISERROR(M31/M29),"入力確認",M31/M29))</f>
        <v/>
      </c>
      <c r="N33" s="207" t="str">
        <f t="shared" si="1"/>
        <v/>
      </c>
      <c r="O33" s="207" t="str">
        <f t="shared" si="1"/>
        <v/>
      </c>
      <c r="P33" s="207" t="str">
        <f t="shared" si="1"/>
        <v/>
      </c>
      <c r="Q33" s="207" t="str">
        <f t="shared" si="1"/>
        <v/>
      </c>
      <c r="R33" s="207" t="str">
        <f t="shared" si="1"/>
        <v/>
      </c>
      <c r="S33" s="207" t="str">
        <f t="shared" si="1"/>
        <v/>
      </c>
      <c r="T33" s="207" t="str">
        <f t="shared" si="1"/>
        <v/>
      </c>
      <c r="U33" s="207" t="str">
        <f t="shared" si="1"/>
        <v/>
      </c>
      <c r="V33" s="207" t="str">
        <f t="shared" si="1"/>
        <v/>
      </c>
      <c r="W33" s="207" t="str">
        <f t="shared" si="1"/>
        <v/>
      </c>
      <c r="X33" s="207" t="str">
        <f t="shared" si="1"/>
        <v/>
      </c>
      <c r="Y33" s="207" t="str">
        <f t="shared" si="1"/>
        <v/>
      </c>
      <c r="Z33" s="207" t="str">
        <f t="shared" si="1"/>
        <v/>
      </c>
      <c r="AA33" s="207" t="str">
        <f t="shared" si="1"/>
        <v/>
      </c>
      <c r="AB33" s="207" t="str">
        <f t="shared" si="1"/>
        <v/>
      </c>
      <c r="AC33" s="207" t="str">
        <f t="shared" si="1"/>
        <v/>
      </c>
      <c r="AD33" s="207" t="str">
        <f t="shared" si="1"/>
        <v/>
      </c>
      <c r="AE33" s="207" t="str">
        <f t="shared" si="1"/>
        <v/>
      </c>
      <c r="AF33" s="207" t="str">
        <f t="shared" si="1"/>
        <v/>
      </c>
      <c r="AG33" s="207" t="str">
        <f t="shared" si="1"/>
        <v/>
      </c>
      <c r="AH33" s="207" t="str">
        <f t="shared" si="1"/>
        <v/>
      </c>
      <c r="AI33" s="207" t="str">
        <f t="shared" si="1"/>
        <v/>
      </c>
      <c r="AJ33" s="207" t="str">
        <f t="shared" si="1"/>
        <v/>
      </c>
      <c r="AK33" s="207" t="str">
        <f t="shared" si="1"/>
        <v/>
      </c>
      <c r="AL33" s="207" t="str">
        <f t="shared" si="1"/>
        <v/>
      </c>
      <c r="AM33" s="207" t="str">
        <f t="shared" si="1"/>
        <v/>
      </c>
      <c r="AN33" s="207" t="str">
        <f t="shared" si="1"/>
        <v/>
      </c>
      <c r="AO33" s="207" t="str">
        <f t="shared" si="1"/>
        <v/>
      </c>
      <c r="AP33" s="207" t="str">
        <f t="shared" si="1"/>
        <v/>
      </c>
      <c r="AQ33" s="207" t="str">
        <f t="shared" si="1"/>
        <v/>
      </c>
      <c r="AR33" s="207" t="str">
        <f t="shared" si="1"/>
        <v/>
      </c>
      <c r="AS33" s="207" t="str">
        <f t="shared" si="1"/>
        <v/>
      </c>
      <c r="AT33" s="207" t="str">
        <f t="shared" si="1"/>
        <v/>
      </c>
      <c r="AU33" s="207" t="str">
        <f t="shared" si="1"/>
        <v/>
      </c>
      <c r="AV33" s="207" t="str">
        <f t="shared" si="1"/>
        <v/>
      </c>
      <c r="AW33" s="207" t="str">
        <f t="shared" si="1"/>
        <v/>
      </c>
      <c r="AX33" s="207" t="str">
        <f t="shared" si="1"/>
        <v/>
      </c>
      <c r="AY33" s="207" t="str">
        <f t="shared" si="1"/>
        <v/>
      </c>
      <c r="AZ33" s="207" t="str">
        <f t="shared" si="1"/>
        <v/>
      </c>
      <c r="BA33" s="207" t="str">
        <f t="shared" si="1"/>
        <v/>
      </c>
      <c r="BB33" s="207" t="str">
        <f t="shared" si="1"/>
        <v/>
      </c>
      <c r="BC33" s="207" t="str">
        <f t="shared" si="1"/>
        <v/>
      </c>
      <c r="BD33" s="207" t="str">
        <f t="shared" si="1"/>
        <v/>
      </c>
      <c r="BE33" s="207" t="str">
        <f t="shared" si="1"/>
        <v/>
      </c>
      <c r="BF33" s="207" t="str">
        <f t="shared" si="1"/>
        <v/>
      </c>
      <c r="BG33" s="207" t="str">
        <f t="shared" si="1"/>
        <v/>
      </c>
      <c r="BH33" s="207" t="str">
        <f t="shared" si="1"/>
        <v/>
      </c>
      <c r="BI33" s="207" t="str">
        <f t="shared" si="1"/>
        <v/>
      </c>
      <c r="BJ33" s="207" t="str">
        <f t="shared" si="1"/>
        <v/>
      </c>
      <c r="BK33" s="207" t="str">
        <f t="shared" si="1"/>
        <v/>
      </c>
      <c r="BL33" s="207" t="str">
        <f t="shared" si="1"/>
        <v/>
      </c>
      <c r="BO33" s="50"/>
    </row>
    <row r="34" spans="2:67" ht="49.5" customHeight="1" x14ac:dyDescent="0.45">
      <c r="B34" s="363" t="s">
        <v>206</v>
      </c>
      <c r="C34" s="364"/>
      <c r="D34" s="364"/>
      <c r="E34" s="98" t="str">
        <f>IF(E40&lt;&gt;0,"",IF((E31-E30)&lt;0,"不適合","適合"))</f>
        <v>適合</v>
      </c>
      <c r="F34" s="268" t="str">
        <f t="shared" ref="F34:BL34" si="2">IF(F40&lt;&gt;0,"",IF((F31-F30)&lt;0,"不適合","適合"))</f>
        <v>適合</v>
      </c>
      <c r="G34" s="272" t="str">
        <f t="shared" si="2"/>
        <v>不適合</v>
      </c>
      <c r="H34" s="258" t="str">
        <f t="shared" si="2"/>
        <v>適合</v>
      </c>
      <c r="I34" s="258" t="str">
        <f t="shared" si="2"/>
        <v/>
      </c>
      <c r="J34" s="98" t="str">
        <f t="shared" si="2"/>
        <v/>
      </c>
      <c r="K34" s="98" t="str">
        <f t="shared" si="2"/>
        <v/>
      </c>
      <c r="L34" s="98" t="str">
        <f t="shared" si="2"/>
        <v/>
      </c>
      <c r="M34" s="98" t="str">
        <f t="shared" si="2"/>
        <v/>
      </c>
      <c r="N34" s="98" t="str">
        <f t="shared" si="2"/>
        <v/>
      </c>
      <c r="O34" s="98" t="str">
        <f t="shared" si="2"/>
        <v/>
      </c>
      <c r="P34" s="98" t="str">
        <f t="shared" si="2"/>
        <v/>
      </c>
      <c r="Q34" s="98" t="str">
        <f t="shared" si="2"/>
        <v/>
      </c>
      <c r="R34" s="98" t="str">
        <f t="shared" si="2"/>
        <v/>
      </c>
      <c r="S34" s="98" t="str">
        <f t="shared" si="2"/>
        <v/>
      </c>
      <c r="T34" s="98" t="str">
        <f t="shared" si="2"/>
        <v/>
      </c>
      <c r="U34" s="98" t="str">
        <f t="shared" si="2"/>
        <v/>
      </c>
      <c r="V34" s="98" t="str">
        <f t="shared" si="2"/>
        <v/>
      </c>
      <c r="W34" s="98" t="str">
        <f t="shared" si="2"/>
        <v/>
      </c>
      <c r="X34" s="98" t="str">
        <f t="shared" si="2"/>
        <v/>
      </c>
      <c r="Y34" s="98" t="str">
        <f t="shared" si="2"/>
        <v/>
      </c>
      <c r="Z34" s="98" t="str">
        <f t="shared" si="2"/>
        <v/>
      </c>
      <c r="AA34" s="98" t="str">
        <f t="shared" si="2"/>
        <v/>
      </c>
      <c r="AB34" s="98" t="str">
        <f t="shared" si="2"/>
        <v/>
      </c>
      <c r="AC34" s="98" t="str">
        <f t="shared" si="2"/>
        <v/>
      </c>
      <c r="AD34" s="98" t="str">
        <f t="shared" si="2"/>
        <v/>
      </c>
      <c r="AE34" s="98" t="str">
        <f t="shared" si="2"/>
        <v/>
      </c>
      <c r="AF34" s="98" t="str">
        <f t="shared" si="2"/>
        <v/>
      </c>
      <c r="AG34" s="98" t="str">
        <f t="shared" si="2"/>
        <v/>
      </c>
      <c r="AH34" s="98" t="str">
        <f t="shared" si="2"/>
        <v/>
      </c>
      <c r="AI34" s="98" t="str">
        <f t="shared" si="2"/>
        <v/>
      </c>
      <c r="AJ34" s="98" t="str">
        <f t="shared" si="2"/>
        <v/>
      </c>
      <c r="AK34" s="98" t="str">
        <f t="shared" si="2"/>
        <v/>
      </c>
      <c r="AL34" s="98" t="str">
        <f t="shared" si="2"/>
        <v/>
      </c>
      <c r="AM34" s="98" t="str">
        <f t="shared" si="2"/>
        <v/>
      </c>
      <c r="AN34" s="98" t="str">
        <f t="shared" si="2"/>
        <v/>
      </c>
      <c r="AO34" s="98" t="str">
        <f t="shared" si="2"/>
        <v/>
      </c>
      <c r="AP34" s="98" t="str">
        <f t="shared" si="2"/>
        <v/>
      </c>
      <c r="AQ34" s="98" t="str">
        <f t="shared" si="2"/>
        <v/>
      </c>
      <c r="AR34" s="98" t="str">
        <f t="shared" si="2"/>
        <v/>
      </c>
      <c r="AS34" s="98" t="str">
        <f t="shared" si="2"/>
        <v/>
      </c>
      <c r="AT34" s="98" t="str">
        <f t="shared" si="2"/>
        <v/>
      </c>
      <c r="AU34" s="98" t="str">
        <f t="shared" si="2"/>
        <v/>
      </c>
      <c r="AV34" s="98" t="str">
        <f t="shared" si="2"/>
        <v/>
      </c>
      <c r="AW34" s="98" t="str">
        <f t="shared" si="2"/>
        <v/>
      </c>
      <c r="AX34" s="98" t="str">
        <f t="shared" si="2"/>
        <v/>
      </c>
      <c r="AY34" s="98" t="str">
        <f t="shared" si="2"/>
        <v/>
      </c>
      <c r="AZ34" s="98" t="str">
        <f t="shared" si="2"/>
        <v/>
      </c>
      <c r="BA34" s="98" t="str">
        <f t="shared" si="2"/>
        <v/>
      </c>
      <c r="BB34" s="98" t="str">
        <f t="shared" si="2"/>
        <v/>
      </c>
      <c r="BC34" s="98" t="str">
        <f t="shared" si="2"/>
        <v/>
      </c>
      <c r="BD34" s="98" t="str">
        <f t="shared" si="2"/>
        <v/>
      </c>
      <c r="BE34" s="98" t="str">
        <f t="shared" si="2"/>
        <v/>
      </c>
      <c r="BF34" s="98" t="str">
        <f t="shared" si="2"/>
        <v/>
      </c>
      <c r="BG34" s="98" t="str">
        <f t="shared" si="2"/>
        <v/>
      </c>
      <c r="BH34" s="98" t="str">
        <f t="shared" si="2"/>
        <v/>
      </c>
      <c r="BI34" s="98" t="str">
        <f t="shared" si="2"/>
        <v/>
      </c>
      <c r="BJ34" s="98" t="str">
        <f t="shared" si="2"/>
        <v/>
      </c>
      <c r="BK34" s="98" t="str">
        <f t="shared" si="2"/>
        <v/>
      </c>
      <c r="BL34" s="98" t="str">
        <f t="shared" si="2"/>
        <v/>
      </c>
      <c r="BO34" s="50"/>
    </row>
    <row r="35" spans="2:67" ht="49.5" customHeight="1" thickBot="1" x14ac:dyDescent="0.5">
      <c r="B35" s="363" t="s">
        <v>207</v>
      </c>
      <c r="C35" s="364"/>
      <c r="D35" s="364"/>
      <c r="E35" s="98" t="str">
        <f>IF(E40&lt;&gt;0,"",IF(ISERROR(AND((E33-E32)&gt;=0,E33&gt;=30)),"不適合",IF(AND((E33-E32)&gt;=0,E33&gt;=30),"適合","不適合")))</f>
        <v>適合</v>
      </c>
      <c r="F35" s="268" t="str">
        <f t="shared" ref="F35:BL35" si="3">IF(F40&lt;&gt;0,"",IF(ISERROR(AND((F33-F32)&gt;=0,F33&gt;=30)),"不適合",IF(AND((F33-F32)&gt;=0,F33&gt;=30),"適合","不適合")))</f>
        <v>適合</v>
      </c>
      <c r="G35" s="273" t="str">
        <f t="shared" si="3"/>
        <v>不適合</v>
      </c>
      <c r="H35" s="258" t="str">
        <f t="shared" si="3"/>
        <v>適合</v>
      </c>
      <c r="I35" s="258" t="str">
        <f t="shared" si="3"/>
        <v/>
      </c>
      <c r="J35" s="98" t="str">
        <f t="shared" si="3"/>
        <v/>
      </c>
      <c r="K35" s="98" t="str">
        <f t="shared" si="3"/>
        <v/>
      </c>
      <c r="L35" s="98" t="str">
        <f t="shared" si="3"/>
        <v/>
      </c>
      <c r="M35" s="98" t="str">
        <f>IF(M40&lt;&gt;0,"",IF(ISERROR(AND((M33-M32)&gt;=0,M33&gt;=30)),"不適合",IF(AND((M33-M32)&gt;=0,M33&gt;=30),"適合","不適合")))</f>
        <v/>
      </c>
      <c r="N35" s="98" t="str">
        <f t="shared" si="3"/>
        <v/>
      </c>
      <c r="O35" s="98" t="str">
        <f t="shared" si="3"/>
        <v/>
      </c>
      <c r="P35" s="98" t="str">
        <f t="shared" si="3"/>
        <v/>
      </c>
      <c r="Q35" s="98" t="str">
        <f t="shared" si="3"/>
        <v/>
      </c>
      <c r="R35" s="98" t="str">
        <f t="shared" si="3"/>
        <v/>
      </c>
      <c r="S35" s="98" t="str">
        <f t="shared" si="3"/>
        <v/>
      </c>
      <c r="T35" s="98" t="str">
        <f t="shared" si="3"/>
        <v/>
      </c>
      <c r="U35" s="98" t="str">
        <f t="shared" si="3"/>
        <v/>
      </c>
      <c r="V35" s="98" t="str">
        <f t="shared" si="3"/>
        <v/>
      </c>
      <c r="W35" s="98" t="str">
        <f t="shared" si="3"/>
        <v/>
      </c>
      <c r="X35" s="98" t="str">
        <f t="shared" si="3"/>
        <v/>
      </c>
      <c r="Y35" s="98" t="str">
        <f t="shared" si="3"/>
        <v/>
      </c>
      <c r="Z35" s="98" t="str">
        <f t="shared" si="3"/>
        <v/>
      </c>
      <c r="AA35" s="98" t="str">
        <f t="shared" si="3"/>
        <v/>
      </c>
      <c r="AB35" s="98" t="str">
        <f t="shared" si="3"/>
        <v/>
      </c>
      <c r="AC35" s="98" t="str">
        <f t="shared" si="3"/>
        <v/>
      </c>
      <c r="AD35" s="98" t="str">
        <f t="shared" si="3"/>
        <v/>
      </c>
      <c r="AE35" s="98" t="str">
        <f t="shared" si="3"/>
        <v/>
      </c>
      <c r="AF35" s="98" t="str">
        <f t="shared" si="3"/>
        <v/>
      </c>
      <c r="AG35" s="98" t="str">
        <f t="shared" si="3"/>
        <v/>
      </c>
      <c r="AH35" s="98" t="str">
        <f t="shared" si="3"/>
        <v/>
      </c>
      <c r="AI35" s="98" t="str">
        <f t="shared" si="3"/>
        <v/>
      </c>
      <c r="AJ35" s="98" t="str">
        <f t="shared" si="3"/>
        <v/>
      </c>
      <c r="AK35" s="98" t="str">
        <f t="shared" si="3"/>
        <v/>
      </c>
      <c r="AL35" s="98" t="str">
        <f t="shared" si="3"/>
        <v/>
      </c>
      <c r="AM35" s="98" t="str">
        <f t="shared" si="3"/>
        <v/>
      </c>
      <c r="AN35" s="98" t="str">
        <f t="shared" si="3"/>
        <v/>
      </c>
      <c r="AO35" s="98" t="str">
        <f t="shared" si="3"/>
        <v/>
      </c>
      <c r="AP35" s="98" t="str">
        <f t="shared" si="3"/>
        <v/>
      </c>
      <c r="AQ35" s="98" t="str">
        <f t="shared" si="3"/>
        <v/>
      </c>
      <c r="AR35" s="98" t="str">
        <f t="shared" si="3"/>
        <v/>
      </c>
      <c r="AS35" s="98" t="str">
        <f t="shared" si="3"/>
        <v/>
      </c>
      <c r="AT35" s="98" t="str">
        <f t="shared" si="3"/>
        <v/>
      </c>
      <c r="AU35" s="98" t="str">
        <f t="shared" si="3"/>
        <v/>
      </c>
      <c r="AV35" s="98" t="str">
        <f t="shared" si="3"/>
        <v/>
      </c>
      <c r="AW35" s="98" t="str">
        <f t="shared" si="3"/>
        <v/>
      </c>
      <c r="AX35" s="98" t="str">
        <f t="shared" si="3"/>
        <v/>
      </c>
      <c r="AY35" s="98" t="str">
        <f t="shared" si="3"/>
        <v/>
      </c>
      <c r="AZ35" s="98" t="str">
        <f t="shared" si="3"/>
        <v/>
      </c>
      <c r="BA35" s="98" t="str">
        <f t="shared" si="3"/>
        <v/>
      </c>
      <c r="BB35" s="98" t="str">
        <f t="shared" si="3"/>
        <v/>
      </c>
      <c r="BC35" s="98" t="str">
        <f t="shared" si="3"/>
        <v/>
      </c>
      <c r="BD35" s="98" t="str">
        <f t="shared" si="3"/>
        <v/>
      </c>
      <c r="BE35" s="98" t="str">
        <f t="shared" si="3"/>
        <v/>
      </c>
      <c r="BF35" s="98" t="str">
        <f t="shared" si="3"/>
        <v/>
      </c>
      <c r="BG35" s="98" t="str">
        <f t="shared" si="3"/>
        <v/>
      </c>
      <c r="BH35" s="98" t="str">
        <f t="shared" si="3"/>
        <v/>
      </c>
      <c r="BI35" s="98" t="str">
        <f t="shared" si="3"/>
        <v/>
      </c>
      <c r="BJ35" s="98" t="str">
        <f t="shared" si="3"/>
        <v/>
      </c>
      <c r="BK35" s="98" t="str">
        <f t="shared" si="3"/>
        <v/>
      </c>
      <c r="BL35" s="98" t="str">
        <f t="shared" si="3"/>
        <v/>
      </c>
      <c r="BO35" s="50"/>
    </row>
    <row r="36" spans="2:67" ht="24.75" hidden="1" customHeight="1" x14ac:dyDescent="0.45">
      <c r="B36" s="371" t="s">
        <v>476</v>
      </c>
      <c r="C36" s="371"/>
      <c r="D36" s="371"/>
      <c r="E36" s="205">
        <f t="shared" ref="E36:BL36" si="4">IF(E24="",0,1)</f>
        <v>1</v>
      </c>
      <c r="F36" s="205">
        <f t="shared" si="4"/>
        <v>1</v>
      </c>
      <c r="G36" s="205">
        <f t="shared" si="4"/>
        <v>1</v>
      </c>
      <c r="H36" s="205">
        <f t="shared" si="4"/>
        <v>1</v>
      </c>
      <c r="I36" s="205">
        <f t="shared" si="4"/>
        <v>0</v>
      </c>
      <c r="J36" s="205">
        <f t="shared" si="4"/>
        <v>0</v>
      </c>
      <c r="K36" s="205">
        <f t="shared" si="4"/>
        <v>0</v>
      </c>
      <c r="L36" s="205">
        <f t="shared" si="4"/>
        <v>0</v>
      </c>
      <c r="M36" s="205">
        <f t="shared" si="4"/>
        <v>0</v>
      </c>
      <c r="N36" s="205">
        <f t="shared" si="4"/>
        <v>0</v>
      </c>
      <c r="O36" s="205">
        <f t="shared" si="4"/>
        <v>0</v>
      </c>
      <c r="P36" s="205">
        <f t="shared" si="4"/>
        <v>0</v>
      </c>
      <c r="Q36" s="205">
        <f t="shared" si="4"/>
        <v>0</v>
      </c>
      <c r="R36" s="205">
        <f t="shared" si="4"/>
        <v>0</v>
      </c>
      <c r="S36" s="205">
        <f t="shared" si="4"/>
        <v>0</v>
      </c>
      <c r="T36" s="205">
        <f t="shared" si="4"/>
        <v>0</v>
      </c>
      <c r="U36" s="205">
        <f t="shared" si="4"/>
        <v>0</v>
      </c>
      <c r="V36" s="205">
        <f t="shared" si="4"/>
        <v>0</v>
      </c>
      <c r="W36" s="205">
        <f t="shared" si="4"/>
        <v>0</v>
      </c>
      <c r="X36" s="205">
        <f t="shared" si="4"/>
        <v>0</v>
      </c>
      <c r="Y36" s="205">
        <f t="shared" si="4"/>
        <v>0</v>
      </c>
      <c r="Z36" s="205">
        <f t="shared" si="4"/>
        <v>0</v>
      </c>
      <c r="AA36" s="205">
        <f t="shared" si="4"/>
        <v>0</v>
      </c>
      <c r="AB36" s="205">
        <f t="shared" si="4"/>
        <v>0</v>
      </c>
      <c r="AC36" s="205">
        <f t="shared" si="4"/>
        <v>0</v>
      </c>
      <c r="AD36" s="205">
        <f t="shared" si="4"/>
        <v>0</v>
      </c>
      <c r="AE36" s="205">
        <f t="shared" si="4"/>
        <v>0</v>
      </c>
      <c r="AF36" s="205">
        <f t="shared" si="4"/>
        <v>0</v>
      </c>
      <c r="AG36" s="205">
        <f t="shared" si="4"/>
        <v>0</v>
      </c>
      <c r="AH36" s="205">
        <f t="shared" si="4"/>
        <v>0</v>
      </c>
      <c r="AI36" s="205">
        <f t="shared" si="4"/>
        <v>0</v>
      </c>
      <c r="AJ36" s="205">
        <f t="shared" si="4"/>
        <v>0</v>
      </c>
      <c r="AK36" s="205">
        <f t="shared" si="4"/>
        <v>0</v>
      </c>
      <c r="AL36" s="205">
        <f t="shared" si="4"/>
        <v>0</v>
      </c>
      <c r="AM36" s="205">
        <f t="shared" si="4"/>
        <v>0</v>
      </c>
      <c r="AN36" s="205">
        <f t="shared" si="4"/>
        <v>0</v>
      </c>
      <c r="AO36" s="205">
        <f t="shared" si="4"/>
        <v>0</v>
      </c>
      <c r="AP36" s="205">
        <f t="shared" si="4"/>
        <v>0</v>
      </c>
      <c r="AQ36" s="205">
        <f t="shared" si="4"/>
        <v>0</v>
      </c>
      <c r="AR36" s="205">
        <f t="shared" si="4"/>
        <v>0</v>
      </c>
      <c r="AS36" s="205">
        <f t="shared" si="4"/>
        <v>0</v>
      </c>
      <c r="AT36" s="205">
        <f t="shared" si="4"/>
        <v>0</v>
      </c>
      <c r="AU36" s="205">
        <f t="shared" si="4"/>
        <v>0</v>
      </c>
      <c r="AV36" s="205">
        <f t="shared" si="4"/>
        <v>0</v>
      </c>
      <c r="AW36" s="205">
        <f t="shared" si="4"/>
        <v>0</v>
      </c>
      <c r="AX36" s="205">
        <f t="shared" si="4"/>
        <v>0</v>
      </c>
      <c r="AY36" s="205">
        <f t="shared" si="4"/>
        <v>0</v>
      </c>
      <c r="AZ36" s="205">
        <f t="shared" si="4"/>
        <v>0</v>
      </c>
      <c r="BA36" s="205">
        <f t="shared" si="4"/>
        <v>0</v>
      </c>
      <c r="BB36" s="205">
        <f t="shared" si="4"/>
        <v>0</v>
      </c>
      <c r="BC36" s="205">
        <f t="shared" si="4"/>
        <v>0</v>
      </c>
      <c r="BD36" s="205">
        <f t="shared" si="4"/>
        <v>0</v>
      </c>
      <c r="BE36" s="205">
        <f t="shared" si="4"/>
        <v>0</v>
      </c>
      <c r="BF36" s="205">
        <f t="shared" si="4"/>
        <v>0</v>
      </c>
      <c r="BG36" s="205">
        <f t="shared" si="4"/>
        <v>0</v>
      </c>
      <c r="BH36" s="205">
        <f t="shared" si="4"/>
        <v>0</v>
      </c>
      <c r="BI36" s="205">
        <f t="shared" si="4"/>
        <v>0</v>
      </c>
      <c r="BJ36" s="205">
        <f t="shared" si="4"/>
        <v>0</v>
      </c>
      <c r="BK36" s="205">
        <f t="shared" si="4"/>
        <v>0</v>
      </c>
      <c r="BL36" s="205">
        <f t="shared" si="4"/>
        <v>0</v>
      </c>
      <c r="BO36" s="50"/>
    </row>
    <row r="37" spans="2:67" ht="24.75" hidden="1" customHeight="1" x14ac:dyDescent="0.45">
      <c r="B37" s="369" t="s">
        <v>481</v>
      </c>
      <c r="C37" s="369"/>
      <c r="D37" s="369"/>
      <c r="E37" s="205">
        <f>IF(OR(AND(E27="機械換気",E30&gt;0),AND(E27="自然換気",E30=0)),0,1)</f>
        <v>0</v>
      </c>
      <c r="F37" s="205">
        <f t="shared" ref="F37:BL37" si="5">IF(OR(AND(F27="機械換気",F30&gt;0),AND(F27="自然換気",F30=0)),0,1)</f>
        <v>0</v>
      </c>
      <c r="G37" s="205">
        <f t="shared" si="5"/>
        <v>0</v>
      </c>
      <c r="H37" s="205">
        <f t="shared" si="5"/>
        <v>0</v>
      </c>
      <c r="I37" s="205">
        <f t="shared" si="5"/>
        <v>1</v>
      </c>
      <c r="J37" s="205">
        <f t="shared" si="5"/>
        <v>1</v>
      </c>
      <c r="K37" s="205">
        <f t="shared" si="5"/>
        <v>1</v>
      </c>
      <c r="L37" s="205">
        <f t="shared" si="5"/>
        <v>1</v>
      </c>
      <c r="M37" s="205">
        <f t="shared" si="5"/>
        <v>1</v>
      </c>
      <c r="N37" s="205">
        <f t="shared" si="5"/>
        <v>1</v>
      </c>
      <c r="O37" s="205">
        <f t="shared" si="5"/>
        <v>1</v>
      </c>
      <c r="P37" s="205">
        <f t="shared" si="5"/>
        <v>1</v>
      </c>
      <c r="Q37" s="205">
        <f t="shared" si="5"/>
        <v>1</v>
      </c>
      <c r="R37" s="205">
        <f t="shared" si="5"/>
        <v>1</v>
      </c>
      <c r="S37" s="205">
        <f t="shared" si="5"/>
        <v>1</v>
      </c>
      <c r="T37" s="205">
        <f t="shared" si="5"/>
        <v>1</v>
      </c>
      <c r="U37" s="205">
        <f t="shared" si="5"/>
        <v>1</v>
      </c>
      <c r="V37" s="205">
        <f t="shared" si="5"/>
        <v>1</v>
      </c>
      <c r="W37" s="205">
        <f t="shared" si="5"/>
        <v>1</v>
      </c>
      <c r="X37" s="205">
        <f t="shared" si="5"/>
        <v>1</v>
      </c>
      <c r="Y37" s="205">
        <f t="shared" si="5"/>
        <v>1</v>
      </c>
      <c r="Z37" s="205">
        <f t="shared" si="5"/>
        <v>1</v>
      </c>
      <c r="AA37" s="205">
        <f t="shared" si="5"/>
        <v>1</v>
      </c>
      <c r="AB37" s="205">
        <f t="shared" si="5"/>
        <v>1</v>
      </c>
      <c r="AC37" s="205">
        <f t="shared" si="5"/>
        <v>1</v>
      </c>
      <c r="AD37" s="205">
        <f t="shared" si="5"/>
        <v>1</v>
      </c>
      <c r="AE37" s="205">
        <f t="shared" si="5"/>
        <v>1</v>
      </c>
      <c r="AF37" s="205">
        <f t="shared" si="5"/>
        <v>1</v>
      </c>
      <c r="AG37" s="205">
        <f t="shared" si="5"/>
        <v>1</v>
      </c>
      <c r="AH37" s="205">
        <f t="shared" si="5"/>
        <v>1</v>
      </c>
      <c r="AI37" s="205">
        <f t="shared" si="5"/>
        <v>1</v>
      </c>
      <c r="AJ37" s="205">
        <f t="shared" si="5"/>
        <v>1</v>
      </c>
      <c r="AK37" s="205">
        <f t="shared" si="5"/>
        <v>1</v>
      </c>
      <c r="AL37" s="205">
        <f t="shared" si="5"/>
        <v>1</v>
      </c>
      <c r="AM37" s="205">
        <f t="shared" si="5"/>
        <v>1</v>
      </c>
      <c r="AN37" s="205">
        <f t="shared" si="5"/>
        <v>1</v>
      </c>
      <c r="AO37" s="205">
        <f t="shared" si="5"/>
        <v>1</v>
      </c>
      <c r="AP37" s="205">
        <f t="shared" si="5"/>
        <v>1</v>
      </c>
      <c r="AQ37" s="205">
        <f t="shared" si="5"/>
        <v>1</v>
      </c>
      <c r="AR37" s="205">
        <f t="shared" si="5"/>
        <v>1</v>
      </c>
      <c r="AS37" s="205">
        <f t="shared" si="5"/>
        <v>1</v>
      </c>
      <c r="AT37" s="205">
        <f t="shared" si="5"/>
        <v>1</v>
      </c>
      <c r="AU37" s="205">
        <f t="shared" si="5"/>
        <v>1</v>
      </c>
      <c r="AV37" s="205">
        <f t="shared" si="5"/>
        <v>1</v>
      </c>
      <c r="AW37" s="205">
        <f t="shared" si="5"/>
        <v>1</v>
      </c>
      <c r="AX37" s="205">
        <f t="shared" si="5"/>
        <v>1</v>
      </c>
      <c r="AY37" s="205">
        <f t="shared" si="5"/>
        <v>1</v>
      </c>
      <c r="AZ37" s="205">
        <f t="shared" si="5"/>
        <v>1</v>
      </c>
      <c r="BA37" s="205">
        <f t="shared" si="5"/>
        <v>1</v>
      </c>
      <c r="BB37" s="205">
        <f t="shared" si="5"/>
        <v>1</v>
      </c>
      <c r="BC37" s="205">
        <f t="shared" si="5"/>
        <v>1</v>
      </c>
      <c r="BD37" s="205">
        <f t="shared" si="5"/>
        <v>1</v>
      </c>
      <c r="BE37" s="205">
        <f t="shared" si="5"/>
        <v>1</v>
      </c>
      <c r="BF37" s="205">
        <f t="shared" si="5"/>
        <v>1</v>
      </c>
      <c r="BG37" s="205">
        <f t="shared" si="5"/>
        <v>1</v>
      </c>
      <c r="BH37" s="205">
        <f t="shared" si="5"/>
        <v>1</v>
      </c>
      <c r="BI37" s="205">
        <f t="shared" si="5"/>
        <v>1</v>
      </c>
      <c r="BJ37" s="205">
        <f t="shared" si="5"/>
        <v>1</v>
      </c>
      <c r="BK37" s="205">
        <f t="shared" si="5"/>
        <v>1</v>
      </c>
      <c r="BL37" s="205">
        <f t="shared" si="5"/>
        <v>1</v>
      </c>
      <c r="BO37" s="50"/>
    </row>
    <row r="38" spans="2:67" s="128" customFormat="1" ht="24.75" hidden="1" customHeight="1" x14ac:dyDescent="0.45">
      <c r="B38" s="370" t="s">
        <v>475</v>
      </c>
      <c r="C38" s="370"/>
      <c r="D38" s="370"/>
      <c r="E38" s="208">
        <f>IF(E34="適合",0,1)</f>
        <v>0</v>
      </c>
      <c r="F38" s="208">
        <f t="shared" ref="F38:BL39" si="6">IF(F34="適合",0,1)</f>
        <v>0</v>
      </c>
      <c r="G38" s="208">
        <f t="shared" si="6"/>
        <v>1</v>
      </c>
      <c r="H38" s="208">
        <f t="shared" si="6"/>
        <v>0</v>
      </c>
      <c r="I38" s="208">
        <f t="shared" si="6"/>
        <v>1</v>
      </c>
      <c r="J38" s="208">
        <f t="shared" si="6"/>
        <v>1</v>
      </c>
      <c r="K38" s="208">
        <f t="shared" si="6"/>
        <v>1</v>
      </c>
      <c r="L38" s="208">
        <f t="shared" si="6"/>
        <v>1</v>
      </c>
      <c r="M38" s="208">
        <f t="shared" si="6"/>
        <v>1</v>
      </c>
      <c r="N38" s="208">
        <f t="shared" si="6"/>
        <v>1</v>
      </c>
      <c r="O38" s="208">
        <f t="shared" si="6"/>
        <v>1</v>
      </c>
      <c r="P38" s="208">
        <f t="shared" si="6"/>
        <v>1</v>
      </c>
      <c r="Q38" s="208">
        <f t="shared" si="6"/>
        <v>1</v>
      </c>
      <c r="R38" s="208">
        <f t="shared" si="6"/>
        <v>1</v>
      </c>
      <c r="S38" s="208">
        <f t="shared" si="6"/>
        <v>1</v>
      </c>
      <c r="T38" s="208">
        <f t="shared" si="6"/>
        <v>1</v>
      </c>
      <c r="U38" s="208">
        <f t="shared" si="6"/>
        <v>1</v>
      </c>
      <c r="V38" s="208">
        <f t="shared" si="6"/>
        <v>1</v>
      </c>
      <c r="W38" s="208">
        <f t="shared" si="6"/>
        <v>1</v>
      </c>
      <c r="X38" s="208">
        <f t="shared" si="6"/>
        <v>1</v>
      </c>
      <c r="Y38" s="208">
        <f t="shared" si="6"/>
        <v>1</v>
      </c>
      <c r="Z38" s="208">
        <f t="shared" si="6"/>
        <v>1</v>
      </c>
      <c r="AA38" s="208">
        <f t="shared" si="6"/>
        <v>1</v>
      </c>
      <c r="AB38" s="208">
        <f t="shared" si="6"/>
        <v>1</v>
      </c>
      <c r="AC38" s="208">
        <f t="shared" si="6"/>
        <v>1</v>
      </c>
      <c r="AD38" s="208">
        <f t="shared" si="6"/>
        <v>1</v>
      </c>
      <c r="AE38" s="208">
        <f t="shared" si="6"/>
        <v>1</v>
      </c>
      <c r="AF38" s="208">
        <f t="shared" si="6"/>
        <v>1</v>
      </c>
      <c r="AG38" s="208">
        <f t="shared" si="6"/>
        <v>1</v>
      </c>
      <c r="AH38" s="208">
        <f t="shared" si="6"/>
        <v>1</v>
      </c>
      <c r="AI38" s="208">
        <f t="shared" si="6"/>
        <v>1</v>
      </c>
      <c r="AJ38" s="208">
        <f t="shared" si="6"/>
        <v>1</v>
      </c>
      <c r="AK38" s="208">
        <f t="shared" si="6"/>
        <v>1</v>
      </c>
      <c r="AL38" s="208">
        <f t="shared" si="6"/>
        <v>1</v>
      </c>
      <c r="AM38" s="208">
        <f t="shared" si="6"/>
        <v>1</v>
      </c>
      <c r="AN38" s="208">
        <f t="shared" si="6"/>
        <v>1</v>
      </c>
      <c r="AO38" s="208">
        <f t="shared" si="6"/>
        <v>1</v>
      </c>
      <c r="AP38" s="208">
        <f t="shared" si="6"/>
        <v>1</v>
      </c>
      <c r="AQ38" s="208">
        <f t="shared" si="6"/>
        <v>1</v>
      </c>
      <c r="AR38" s="208">
        <f t="shared" si="6"/>
        <v>1</v>
      </c>
      <c r="AS38" s="208">
        <f t="shared" si="6"/>
        <v>1</v>
      </c>
      <c r="AT38" s="208">
        <f t="shared" si="6"/>
        <v>1</v>
      </c>
      <c r="AU38" s="208">
        <f t="shared" si="6"/>
        <v>1</v>
      </c>
      <c r="AV38" s="208">
        <f t="shared" si="6"/>
        <v>1</v>
      </c>
      <c r="AW38" s="208">
        <f t="shared" si="6"/>
        <v>1</v>
      </c>
      <c r="AX38" s="208">
        <f t="shared" si="6"/>
        <v>1</v>
      </c>
      <c r="AY38" s="208">
        <f t="shared" si="6"/>
        <v>1</v>
      </c>
      <c r="AZ38" s="208">
        <f t="shared" si="6"/>
        <v>1</v>
      </c>
      <c r="BA38" s="208">
        <f t="shared" si="6"/>
        <v>1</v>
      </c>
      <c r="BB38" s="208">
        <f t="shared" si="6"/>
        <v>1</v>
      </c>
      <c r="BC38" s="208">
        <f t="shared" si="6"/>
        <v>1</v>
      </c>
      <c r="BD38" s="208">
        <f t="shared" si="6"/>
        <v>1</v>
      </c>
      <c r="BE38" s="208">
        <f t="shared" si="6"/>
        <v>1</v>
      </c>
      <c r="BF38" s="208">
        <f t="shared" si="6"/>
        <v>1</v>
      </c>
      <c r="BG38" s="208">
        <f t="shared" si="6"/>
        <v>1</v>
      </c>
      <c r="BH38" s="208">
        <f t="shared" si="6"/>
        <v>1</v>
      </c>
      <c r="BI38" s="208">
        <f t="shared" si="6"/>
        <v>1</v>
      </c>
      <c r="BJ38" s="208">
        <f t="shared" si="6"/>
        <v>1</v>
      </c>
      <c r="BK38" s="208">
        <f t="shared" si="6"/>
        <v>1</v>
      </c>
      <c r="BL38" s="208">
        <f t="shared" si="6"/>
        <v>1</v>
      </c>
      <c r="BO38" s="158"/>
    </row>
    <row r="39" spans="2:67" ht="24.75" hidden="1" customHeight="1" x14ac:dyDescent="0.45">
      <c r="B39" s="369" t="s">
        <v>474</v>
      </c>
      <c r="C39" s="369"/>
      <c r="D39" s="369"/>
      <c r="E39" s="205">
        <f>IF(E35="適合",0,1)</f>
        <v>0</v>
      </c>
      <c r="F39" s="205">
        <f t="shared" si="6"/>
        <v>0</v>
      </c>
      <c r="G39" s="205">
        <f t="shared" si="6"/>
        <v>1</v>
      </c>
      <c r="H39" s="205">
        <f t="shared" si="6"/>
        <v>0</v>
      </c>
      <c r="I39" s="205">
        <f t="shared" si="6"/>
        <v>1</v>
      </c>
      <c r="J39" s="205">
        <f t="shared" si="6"/>
        <v>1</v>
      </c>
      <c r="K39" s="205">
        <f t="shared" si="6"/>
        <v>1</v>
      </c>
      <c r="L39" s="205">
        <f t="shared" si="6"/>
        <v>1</v>
      </c>
      <c r="M39" s="205">
        <f t="shared" si="6"/>
        <v>1</v>
      </c>
      <c r="N39" s="205">
        <f t="shared" si="6"/>
        <v>1</v>
      </c>
      <c r="O39" s="205">
        <f t="shared" si="6"/>
        <v>1</v>
      </c>
      <c r="P39" s="205">
        <f t="shared" si="6"/>
        <v>1</v>
      </c>
      <c r="Q39" s="205">
        <f t="shared" si="6"/>
        <v>1</v>
      </c>
      <c r="R39" s="205">
        <f t="shared" si="6"/>
        <v>1</v>
      </c>
      <c r="S39" s="205">
        <f t="shared" si="6"/>
        <v>1</v>
      </c>
      <c r="T39" s="205">
        <f t="shared" si="6"/>
        <v>1</v>
      </c>
      <c r="U39" s="205">
        <f t="shared" si="6"/>
        <v>1</v>
      </c>
      <c r="V39" s="205">
        <f t="shared" si="6"/>
        <v>1</v>
      </c>
      <c r="W39" s="205">
        <f t="shared" si="6"/>
        <v>1</v>
      </c>
      <c r="X39" s="205">
        <f t="shared" si="6"/>
        <v>1</v>
      </c>
      <c r="Y39" s="205">
        <f t="shared" si="6"/>
        <v>1</v>
      </c>
      <c r="Z39" s="205">
        <f t="shared" si="6"/>
        <v>1</v>
      </c>
      <c r="AA39" s="205">
        <f t="shared" si="6"/>
        <v>1</v>
      </c>
      <c r="AB39" s="205">
        <f t="shared" si="6"/>
        <v>1</v>
      </c>
      <c r="AC39" s="205">
        <f t="shared" si="6"/>
        <v>1</v>
      </c>
      <c r="AD39" s="205">
        <f t="shared" si="6"/>
        <v>1</v>
      </c>
      <c r="AE39" s="205">
        <f t="shared" si="6"/>
        <v>1</v>
      </c>
      <c r="AF39" s="205">
        <f t="shared" si="6"/>
        <v>1</v>
      </c>
      <c r="AG39" s="205">
        <f t="shared" si="6"/>
        <v>1</v>
      </c>
      <c r="AH39" s="205">
        <f t="shared" si="6"/>
        <v>1</v>
      </c>
      <c r="AI39" s="205">
        <f t="shared" si="6"/>
        <v>1</v>
      </c>
      <c r="AJ39" s="205">
        <f t="shared" si="6"/>
        <v>1</v>
      </c>
      <c r="AK39" s="205">
        <f t="shared" si="6"/>
        <v>1</v>
      </c>
      <c r="AL39" s="205">
        <f t="shared" si="6"/>
        <v>1</v>
      </c>
      <c r="AM39" s="205">
        <f t="shared" si="6"/>
        <v>1</v>
      </c>
      <c r="AN39" s="205">
        <f t="shared" si="6"/>
        <v>1</v>
      </c>
      <c r="AO39" s="205">
        <f t="shared" si="6"/>
        <v>1</v>
      </c>
      <c r="AP39" s="205">
        <f t="shared" si="6"/>
        <v>1</v>
      </c>
      <c r="AQ39" s="205">
        <f t="shared" si="6"/>
        <v>1</v>
      </c>
      <c r="AR39" s="205">
        <f t="shared" si="6"/>
        <v>1</v>
      </c>
      <c r="AS39" s="205">
        <f t="shared" si="6"/>
        <v>1</v>
      </c>
      <c r="AT39" s="205">
        <f t="shared" si="6"/>
        <v>1</v>
      </c>
      <c r="AU39" s="205">
        <f t="shared" si="6"/>
        <v>1</v>
      </c>
      <c r="AV39" s="205">
        <f t="shared" si="6"/>
        <v>1</v>
      </c>
      <c r="AW39" s="205">
        <f t="shared" si="6"/>
        <v>1</v>
      </c>
      <c r="AX39" s="205">
        <f t="shared" si="6"/>
        <v>1</v>
      </c>
      <c r="AY39" s="205">
        <f t="shared" si="6"/>
        <v>1</v>
      </c>
      <c r="AZ39" s="205">
        <f t="shared" si="6"/>
        <v>1</v>
      </c>
      <c r="BA39" s="205">
        <f t="shared" si="6"/>
        <v>1</v>
      </c>
      <c r="BB39" s="205">
        <f t="shared" si="6"/>
        <v>1</v>
      </c>
      <c r="BC39" s="205">
        <f t="shared" si="6"/>
        <v>1</v>
      </c>
      <c r="BD39" s="205">
        <f t="shared" si="6"/>
        <v>1</v>
      </c>
      <c r="BE39" s="205">
        <f t="shared" si="6"/>
        <v>1</v>
      </c>
      <c r="BF39" s="205">
        <f t="shared" si="6"/>
        <v>1</v>
      </c>
      <c r="BG39" s="205">
        <f t="shared" si="6"/>
        <v>1</v>
      </c>
      <c r="BH39" s="205">
        <f t="shared" si="6"/>
        <v>1</v>
      </c>
      <c r="BI39" s="205">
        <f t="shared" si="6"/>
        <v>1</v>
      </c>
      <c r="BJ39" s="205">
        <f t="shared" si="6"/>
        <v>1</v>
      </c>
      <c r="BK39" s="205">
        <f t="shared" si="6"/>
        <v>1</v>
      </c>
      <c r="BL39" s="205">
        <f t="shared" si="6"/>
        <v>1</v>
      </c>
      <c r="BO39" s="50"/>
    </row>
    <row r="40" spans="2:67" ht="24.75" hidden="1" customHeight="1" x14ac:dyDescent="0.45">
      <c r="B40" s="370" t="s">
        <v>477</v>
      </c>
      <c r="C40" s="370"/>
      <c r="D40" s="370"/>
      <c r="E40" s="205">
        <f>IF(AND(E24="",E25="",E26="",E27="",E28="",E29="",E30="",E31=""),2,IF(AND(E24&lt;&gt;"",E25&lt;&gt;"",E26&lt;&gt;"",E27&lt;&gt;"",E28&lt;&gt;"",E29&lt;&gt;"",E30&lt;&gt;"",E31&lt;&gt;"",E37=0),0,1))</f>
        <v>0</v>
      </c>
      <c r="F40" s="205">
        <f t="shared" ref="F40:BL40" si="7">IF(AND(F24="",F25="",F26="",F27="",F28="",F29="",F30="",F31=""),2,IF(AND(F24&lt;&gt;"",F25&lt;&gt;"",F26&lt;&gt;"",F27&lt;&gt;"",F28&lt;&gt;"",F29&lt;&gt;"",F30&lt;&gt;"",F31&lt;&gt;"",F37=0),0,1))</f>
        <v>0</v>
      </c>
      <c r="G40" s="205">
        <f t="shared" si="7"/>
        <v>0</v>
      </c>
      <c r="H40" s="205">
        <f t="shared" si="7"/>
        <v>0</v>
      </c>
      <c r="I40" s="205">
        <f t="shared" si="7"/>
        <v>2</v>
      </c>
      <c r="J40" s="205">
        <f t="shared" si="7"/>
        <v>2</v>
      </c>
      <c r="K40" s="205">
        <f t="shared" si="7"/>
        <v>2</v>
      </c>
      <c r="L40" s="205">
        <f t="shared" si="7"/>
        <v>2</v>
      </c>
      <c r="M40" s="205">
        <f t="shared" si="7"/>
        <v>2</v>
      </c>
      <c r="N40" s="205">
        <f t="shared" si="7"/>
        <v>2</v>
      </c>
      <c r="O40" s="205">
        <f t="shared" si="7"/>
        <v>2</v>
      </c>
      <c r="P40" s="205">
        <f t="shared" si="7"/>
        <v>2</v>
      </c>
      <c r="Q40" s="205">
        <f t="shared" si="7"/>
        <v>2</v>
      </c>
      <c r="R40" s="205">
        <f t="shared" si="7"/>
        <v>2</v>
      </c>
      <c r="S40" s="205">
        <f t="shared" si="7"/>
        <v>2</v>
      </c>
      <c r="T40" s="205">
        <f t="shared" si="7"/>
        <v>2</v>
      </c>
      <c r="U40" s="205">
        <f t="shared" si="7"/>
        <v>2</v>
      </c>
      <c r="V40" s="205">
        <f t="shared" si="7"/>
        <v>2</v>
      </c>
      <c r="W40" s="205">
        <f t="shared" si="7"/>
        <v>2</v>
      </c>
      <c r="X40" s="205">
        <f t="shared" si="7"/>
        <v>2</v>
      </c>
      <c r="Y40" s="205">
        <f t="shared" si="7"/>
        <v>2</v>
      </c>
      <c r="Z40" s="205">
        <f t="shared" si="7"/>
        <v>2</v>
      </c>
      <c r="AA40" s="205">
        <f t="shared" si="7"/>
        <v>2</v>
      </c>
      <c r="AB40" s="205">
        <f t="shared" si="7"/>
        <v>2</v>
      </c>
      <c r="AC40" s="205">
        <f t="shared" si="7"/>
        <v>2</v>
      </c>
      <c r="AD40" s="205">
        <f t="shared" si="7"/>
        <v>2</v>
      </c>
      <c r="AE40" s="205">
        <f t="shared" si="7"/>
        <v>2</v>
      </c>
      <c r="AF40" s="205">
        <f t="shared" si="7"/>
        <v>2</v>
      </c>
      <c r="AG40" s="205">
        <f t="shared" si="7"/>
        <v>2</v>
      </c>
      <c r="AH40" s="205">
        <f t="shared" si="7"/>
        <v>2</v>
      </c>
      <c r="AI40" s="205">
        <f t="shared" si="7"/>
        <v>2</v>
      </c>
      <c r="AJ40" s="205">
        <f t="shared" si="7"/>
        <v>2</v>
      </c>
      <c r="AK40" s="205">
        <f t="shared" si="7"/>
        <v>2</v>
      </c>
      <c r="AL40" s="205">
        <f t="shared" si="7"/>
        <v>2</v>
      </c>
      <c r="AM40" s="205">
        <f t="shared" si="7"/>
        <v>2</v>
      </c>
      <c r="AN40" s="205">
        <f t="shared" si="7"/>
        <v>2</v>
      </c>
      <c r="AO40" s="205">
        <f t="shared" si="7"/>
        <v>2</v>
      </c>
      <c r="AP40" s="205">
        <f t="shared" si="7"/>
        <v>2</v>
      </c>
      <c r="AQ40" s="205">
        <f t="shared" si="7"/>
        <v>2</v>
      </c>
      <c r="AR40" s="205">
        <f t="shared" si="7"/>
        <v>2</v>
      </c>
      <c r="AS40" s="205">
        <f t="shared" si="7"/>
        <v>2</v>
      </c>
      <c r="AT40" s="205">
        <f t="shared" si="7"/>
        <v>2</v>
      </c>
      <c r="AU40" s="205">
        <f t="shared" si="7"/>
        <v>2</v>
      </c>
      <c r="AV40" s="205">
        <f t="shared" si="7"/>
        <v>2</v>
      </c>
      <c r="AW40" s="205">
        <f t="shared" si="7"/>
        <v>2</v>
      </c>
      <c r="AX40" s="205">
        <f t="shared" si="7"/>
        <v>2</v>
      </c>
      <c r="AY40" s="205">
        <f t="shared" si="7"/>
        <v>2</v>
      </c>
      <c r="AZ40" s="205">
        <f t="shared" si="7"/>
        <v>2</v>
      </c>
      <c r="BA40" s="205">
        <f t="shared" si="7"/>
        <v>2</v>
      </c>
      <c r="BB40" s="205">
        <f t="shared" si="7"/>
        <v>2</v>
      </c>
      <c r="BC40" s="205">
        <f t="shared" si="7"/>
        <v>2</v>
      </c>
      <c r="BD40" s="205">
        <f t="shared" si="7"/>
        <v>2</v>
      </c>
      <c r="BE40" s="205">
        <f t="shared" si="7"/>
        <v>2</v>
      </c>
      <c r="BF40" s="205">
        <f t="shared" si="7"/>
        <v>2</v>
      </c>
      <c r="BG40" s="205">
        <f t="shared" si="7"/>
        <v>2</v>
      </c>
      <c r="BH40" s="205">
        <f t="shared" si="7"/>
        <v>2</v>
      </c>
      <c r="BI40" s="205">
        <f t="shared" si="7"/>
        <v>2</v>
      </c>
      <c r="BJ40" s="205">
        <f t="shared" si="7"/>
        <v>2</v>
      </c>
      <c r="BK40" s="205">
        <f t="shared" si="7"/>
        <v>2</v>
      </c>
      <c r="BL40" s="205">
        <f t="shared" si="7"/>
        <v>2</v>
      </c>
    </row>
    <row r="41" spans="2:67" ht="24.75" hidden="1" customHeight="1" x14ac:dyDescent="0.45">
      <c r="B41" s="369" t="s">
        <v>479</v>
      </c>
      <c r="C41" s="369"/>
      <c r="D41" s="369"/>
      <c r="E41" s="205">
        <f>IF(AND(E38=0,E39=0,E40=0),0,IF(E40=2,0,1))</f>
        <v>0</v>
      </c>
      <c r="F41" s="205">
        <f t="shared" ref="F41:BL41" si="8">IF(AND(F38=0,F39=0,F40=0),0,IF(F40=2,0,1))</f>
        <v>0</v>
      </c>
      <c r="G41" s="205">
        <f t="shared" si="8"/>
        <v>1</v>
      </c>
      <c r="H41" s="205">
        <f t="shared" si="8"/>
        <v>0</v>
      </c>
      <c r="I41" s="205">
        <f t="shared" si="8"/>
        <v>0</v>
      </c>
      <c r="J41" s="205">
        <f t="shared" si="8"/>
        <v>0</v>
      </c>
      <c r="K41" s="205">
        <f t="shared" si="8"/>
        <v>0</v>
      </c>
      <c r="L41" s="205">
        <f t="shared" si="8"/>
        <v>0</v>
      </c>
      <c r="M41" s="205">
        <f t="shared" si="8"/>
        <v>0</v>
      </c>
      <c r="N41" s="205">
        <f t="shared" si="8"/>
        <v>0</v>
      </c>
      <c r="O41" s="205">
        <f t="shared" si="8"/>
        <v>0</v>
      </c>
      <c r="P41" s="205">
        <f t="shared" si="8"/>
        <v>0</v>
      </c>
      <c r="Q41" s="205">
        <f t="shared" si="8"/>
        <v>0</v>
      </c>
      <c r="R41" s="205">
        <f t="shared" si="8"/>
        <v>0</v>
      </c>
      <c r="S41" s="205">
        <f t="shared" si="8"/>
        <v>0</v>
      </c>
      <c r="T41" s="205">
        <f t="shared" si="8"/>
        <v>0</v>
      </c>
      <c r="U41" s="205">
        <f t="shared" si="8"/>
        <v>0</v>
      </c>
      <c r="V41" s="205">
        <f t="shared" si="8"/>
        <v>0</v>
      </c>
      <c r="W41" s="205">
        <f t="shared" si="8"/>
        <v>0</v>
      </c>
      <c r="X41" s="205">
        <f t="shared" si="8"/>
        <v>0</v>
      </c>
      <c r="Y41" s="205">
        <f t="shared" si="8"/>
        <v>0</v>
      </c>
      <c r="Z41" s="205">
        <f t="shared" si="8"/>
        <v>0</v>
      </c>
      <c r="AA41" s="205">
        <f t="shared" si="8"/>
        <v>0</v>
      </c>
      <c r="AB41" s="205">
        <f t="shared" si="8"/>
        <v>0</v>
      </c>
      <c r="AC41" s="205">
        <f t="shared" si="8"/>
        <v>0</v>
      </c>
      <c r="AD41" s="205">
        <f t="shared" si="8"/>
        <v>0</v>
      </c>
      <c r="AE41" s="205">
        <f t="shared" si="8"/>
        <v>0</v>
      </c>
      <c r="AF41" s="205">
        <f t="shared" si="8"/>
        <v>0</v>
      </c>
      <c r="AG41" s="205">
        <f t="shared" si="8"/>
        <v>0</v>
      </c>
      <c r="AH41" s="205">
        <f t="shared" si="8"/>
        <v>0</v>
      </c>
      <c r="AI41" s="205">
        <f t="shared" si="8"/>
        <v>0</v>
      </c>
      <c r="AJ41" s="205">
        <f t="shared" si="8"/>
        <v>0</v>
      </c>
      <c r="AK41" s="205">
        <f t="shared" si="8"/>
        <v>0</v>
      </c>
      <c r="AL41" s="205">
        <f t="shared" si="8"/>
        <v>0</v>
      </c>
      <c r="AM41" s="205">
        <f t="shared" si="8"/>
        <v>0</v>
      </c>
      <c r="AN41" s="205">
        <f t="shared" si="8"/>
        <v>0</v>
      </c>
      <c r="AO41" s="205">
        <f t="shared" si="8"/>
        <v>0</v>
      </c>
      <c r="AP41" s="205">
        <f t="shared" si="8"/>
        <v>0</v>
      </c>
      <c r="AQ41" s="205">
        <f t="shared" si="8"/>
        <v>0</v>
      </c>
      <c r="AR41" s="205">
        <f t="shared" si="8"/>
        <v>0</v>
      </c>
      <c r="AS41" s="205">
        <f t="shared" si="8"/>
        <v>0</v>
      </c>
      <c r="AT41" s="205">
        <f t="shared" si="8"/>
        <v>0</v>
      </c>
      <c r="AU41" s="205">
        <f t="shared" si="8"/>
        <v>0</v>
      </c>
      <c r="AV41" s="205">
        <f t="shared" si="8"/>
        <v>0</v>
      </c>
      <c r="AW41" s="205">
        <f t="shared" si="8"/>
        <v>0</v>
      </c>
      <c r="AX41" s="205">
        <f t="shared" si="8"/>
        <v>0</v>
      </c>
      <c r="AY41" s="205">
        <f t="shared" si="8"/>
        <v>0</v>
      </c>
      <c r="AZ41" s="205">
        <f t="shared" si="8"/>
        <v>0</v>
      </c>
      <c r="BA41" s="205">
        <f t="shared" si="8"/>
        <v>0</v>
      </c>
      <c r="BB41" s="205">
        <f t="shared" si="8"/>
        <v>0</v>
      </c>
      <c r="BC41" s="205">
        <f t="shared" si="8"/>
        <v>0</v>
      </c>
      <c r="BD41" s="205">
        <f t="shared" si="8"/>
        <v>0</v>
      </c>
      <c r="BE41" s="205">
        <f t="shared" si="8"/>
        <v>0</v>
      </c>
      <c r="BF41" s="205">
        <f t="shared" si="8"/>
        <v>0</v>
      </c>
      <c r="BG41" s="205">
        <f t="shared" si="8"/>
        <v>0</v>
      </c>
      <c r="BH41" s="205">
        <f t="shared" si="8"/>
        <v>0</v>
      </c>
      <c r="BI41" s="205">
        <f t="shared" si="8"/>
        <v>0</v>
      </c>
      <c r="BJ41" s="205">
        <f t="shared" si="8"/>
        <v>0</v>
      </c>
      <c r="BK41" s="205">
        <f t="shared" si="8"/>
        <v>0</v>
      </c>
      <c r="BL41" s="205">
        <f t="shared" si="8"/>
        <v>0</v>
      </c>
    </row>
    <row r="42" spans="2:67" ht="24.75" hidden="1" customHeight="1" x14ac:dyDescent="0.45">
      <c r="B42" s="372" t="s">
        <v>478</v>
      </c>
      <c r="C42" s="372"/>
      <c r="D42" s="372"/>
      <c r="E42" s="205">
        <f>COUNTIF($E40:$BL40,0)</f>
        <v>4</v>
      </c>
      <c r="F42" s="205">
        <f>COUNTIF($E40:$BL40,1)</f>
        <v>0</v>
      </c>
      <c r="G42" s="205">
        <f>COUNTIF($E40:$BL40,2)</f>
        <v>56</v>
      </c>
      <c r="H42" s="205">
        <f>60-COUNTIF($E$24:$BL$24,"")</f>
        <v>4</v>
      </c>
      <c r="I42" s="206" t="str">
        <f>IF(F42&lt;&gt;0,"入力確認",IF(H42=E42,"入力済","未入力"))</f>
        <v>入力済</v>
      </c>
      <c r="AK42" s="43"/>
    </row>
    <row r="43" spans="2:67" ht="20.25" thickTop="1" x14ac:dyDescent="0.45"/>
    <row r="44" spans="2:67" ht="19.5" customHeight="1" x14ac:dyDescent="0.45">
      <c r="B44" s="93"/>
      <c r="C44" s="93"/>
      <c r="D44" s="93"/>
      <c r="AK44" s="43"/>
    </row>
    <row r="45" spans="2:67" ht="19.5" customHeight="1" x14ac:dyDescent="0.45">
      <c r="AK45" s="43"/>
    </row>
    <row r="46" spans="2:67" ht="19.5" customHeight="1" x14ac:dyDescent="0.45">
      <c r="AK46" s="43"/>
    </row>
    <row r="47" spans="2:67" ht="19.5" customHeight="1" x14ac:dyDescent="0.45">
      <c r="AK47" s="43"/>
    </row>
    <row r="51" spans="37:37" x14ac:dyDescent="0.45">
      <c r="AK51" s="43"/>
    </row>
    <row r="54" spans="37:37" x14ac:dyDescent="0.45">
      <c r="AK54" s="43"/>
    </row>
  </sheetData>
  <sheetProtection password="DFA8" sheet="1" objects="1" scenarios="1" selectLockedCells="1" selectUnlockedCells="1"/>
  <mergeCells count="25">
    <mergeCell ref="B42:D42"/>
    <mergeCell ref="B32:B33"/>
    <mergeCell ref="C32:D32"/>
    <mergeCell ref="C33:D33"/>
    <mergeCell ref="B34:D34"/>
    <mergeCell ref="B35:D35"/>
    <mergeCell ref="B36:D36"/>
    <mergeCell ref="B37:D37"/>
    <mergeCell ref="B38:D38"/>
    <mergeCell ref="B39:D39"/>
    <mergeCell ref="B40:D40"/>
    <mergeCell ref="B41:D41"/>
    <mergeCell ref="B27:D27"/>
    <mergeCell ref="B28:B29"/>
    <mergeCell ref="C28:D28"/>
    <mergeCell ref="C29:D29"/>
    <mergeCell ref="B30:B31"/>
    <mergeCell ref="C30:D30"/>
    <mergeCell ref="C31:D31"/>
    <mergeCell ref="B26:D26"/>
    <mergeCell ref="G21:H21"/>
    <mergeCell ref="I21:Q21"/>
    <mergeCell ref="B23:D23"/>
    <mergeCell ref="B24:D24"/>
    <mergeCell ref="B25:D25"/>
  </mergeCells>
  <phoneticPr fontId="2"/>
  <conditionalFormatting sqref="E31:BL31 E29:BL29 E35:BL35 E33:BL33">
    <cfRule type="expression" dxfId="256" priority="5">
      <formula>E$35="不適合"</formula>
    </cfRule>
  </conditionalFormatting>
  <conditionalFormatting sqref="E33:BL33">
    <cfRule type="cellIs" dxfId="255" priority="7" operator="lessThan">
      <formula>30</formula>
    </cfRule>
    <cfRule type="expression" dxfId="254" priority="8">
      <formula>E33="入力確認"</formula>
    </cfRule>
  </conditionalFormatting>
  <conditionalFormatting sqref="E31:BL31 E34:BL34">
    <cfRule type="expression" dxfId="253" priority="4">
      <formula>E$31-E$30&lt;0</formula>
    </cfRule>
  </conditionalFormatting>
  <conditionalFormatting sqref="I21">
    <cfRule type="expression" dxfId="252" priority="11">
      <formula>$I$21="必要換気量に係る要件を満たしていないため、申請できません。"</formula>
    </cfRule>
    <cfRule type="expression" dxfId="251" priority="12">
      <formula>$I$21="「換気設備導入前後の比較表」の入力をご確認ください。"</formula>
    </cfRule>
  </conditionalFormatting>
  <conditionalFormatting sqref="E32:BL32">
    <cfRule type="expression" dxfId="250" priority="6">
      <formula>E32="入力確認"</formula>
    </cfRule>
  </conditionalFormatting>
  <conditionalFormatting sqref="E34:BL34">
    <cfRule type="expression" dxfId="249" priority="9">
      <formula>E34="不適合"</formula>
    </cfRule>
  </conditionalFormatting>
  <conditionalFormatting sqref="E29:BL29">
    <cfRule type="expression" dxfId="248" priority="3">
      <formula>AND(E29&lt;=0,E40=0)</formula>
    </cfRule>
  </conditionalFormatting>
  <conditionalFormatting sqref="E27:BL28">
    <cfRule type="expression" dxfId="247" priority="2">
      <formula>AND(E$27="機械換気",E$28=0)</formula>
    </cfRule>
  </conditionalFormatting>
  <conditionalFormatting sqref="E27:BL27 E30:BL30">
    <cfRule type="expression" dxfId="246" priority="1">
      <formula>AND(E$27="自然換気",E$30&gt;0)</formula>
    </cfRule>
  </conditionalFormatting>
  <conditionalFormatting sqref="I21:Q21">
    <cfRule type="expression" dxfId="245" priority="10">
      <formula>$I$21="「換気設備導入前後の比較表」を入力してください"</formula>
    </cfRule>
  </conditionalFormatting>
  <dataValidations count="4">
    <dataValidation allowBlank="1" sqref="C15:C16"/>
    <dataValidation type="whole" operator="greaterThanOrEqual" allowBlank="1" showInputMessage="1" showErrorMessage="1" prompt="利用人数を整数で入力してください" sqref="E28:BL29">
      <formula1>0</formula1>
    </dataValidation>
    <dataValidation type="whole" operator="greaterThanOrEqual" allowBlank="1" showInputMessage="1" showErrorMessage="1" prompt="”0”以上の整数を入力してください。" sqref="E31:BL31">
      <formula1>0</formula1>
    </dataValidation>
    <dataValidation type="whole" operator="greaterThanOrEqual" allowBlank="1" showInputMessage="1" showErrorMessage="1" prompt="自然換気は、”0”を入力。_x000a_機械換気は、”0”以上の整数を入力してください。" sqref="E30:BL30">
      <formula1>0</formula1>
    </dataValidation>
  </dataValidations>
  <pageMargins left="0.43307086614173229" right="0.31496062992125984" top="1.1023622047244095" bottom="0.82677165354330717" header="0.6692913385826772" footer="0.31496062992125984"/>
  <pageSetup paperSize="9" scale="60" fitToWidth="0" orientation="landscape" r:id="rId1"/>
  <headerFooter>
    <oddHeader>&amp;C&amp;20換気量・省エネ計算シート</oddHeader>
    <oddFooter>&amp;C&amp;14&amp;P</oddFooter>
  </headerFooter>
  <colBreaks count="3" manualBreakCount="3">
    <brk id="19" min="19" max="36" man="1"/>
    <brk id="34" min="19" max="36" man="1"/>
    <brk id="49" min="19" max="36"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計算!$T$17:$T$18</xm:f>
          </x14:formula1>
          <xm:sqref>E27:BL27</xm:sqref>
        </x14:dataValidation>
        <x14:dataValidation type="list" allowBlank="1" showInputMessage="1" showErrorMessage="1">
          <x14:formula1>
            <xm:f>計算!$Z$4:$Z$14</xm:f>
          </x14:formula1>
          <xm:sqref>E24:BL24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pageSetUpPr fitToPage="1"/>
  </sheetPr>
  <dimension ref="B1:AK207"/>
  <sheetViews>
    <sheetView zoomScale="70" zoomScaleNormal="70" zoomScaleSheetLayoutView="80" workbookViewId="0">
      <selection activeCell="B17" sqref="B17"/>
    </sheetView>
  </sheetViews>
  <sheetFormatPr defaultColWidth="8.796875" defaultRowHeight="19.5" x14ac:dyDescent="0.45"/>
  <cols>
    <col min="1" max="1" width="10.69921875" style="23" customWidth="1"/>
    <col min="2" max="2" width="11.3984375" style="24" customWidth="1"/>
    <col min="3" max="3" width="4.69921875" style="24" customWidth="1"/>
    <col min="4" max="4" width="8.796875" style="23" customWidth="1"/>
    <col min="5" max="15" width="8.796875" style="23"/>
    <col min="16" max="25" width="8.796875" style="23" customWidth="1"/>
    <col min="26" max="26" width="3.8984375" style="191" customWidth="1"/>
    <col min="27" max="28" width="5" style="191" customWidth="1"/>
    <col min="29" max="39" width="5" style="23" customWidth="1"/>
    <col min="40" max="69" width="3.8984375" style="23" customWidth="1"/>
    <col min="70" max="16384" width="8.796875" style="23"/>
  </cols>
  <sheetData>
    <row r="1" spans="2:28" s="135" customFormat="1" ht="19.5" customHeight="1" x14ac:dyDescent="0.45">
      <c r="B1" s="136"/>
      <c r="C1" s="136"/>
      <c r="D1" s="136"/>
      <c r="E1" s="136"/>
      <c r="F1" s="136"/>
      <c r="G1" s="136"/>
      <c r="H1" s="136"/>
      <c r="I1" s="136"/>
      <c r="J1" s="136"/>
      <c r="K1" s="136"/>
      <c r="L1" s="136"/>
      <c r="M1" s="136"/>
      <c r="N1" s="136"/>
      <c r="O1" s="136"/>
      <c r="P1" s="136"/>
      <c r="Q1" s="136"/>
      <c r="R1" s="136"/>
      <c r="S1" s="136"/>
      <c r="T1" s="136"/>
      <c r="U1" s="136"/>
      <c r="V1" s="136"/>
      <c r="W1" s="136"/>
      <c r="X1" s="136"/>
      <c r="Y1" s="137"/>
      <c r="Z1" s="189"/>
      <c r="AA1" s="190"/>
      <c r="AB1" s="190"/>
    </row>
    <row r="2" spans="2:28" x14ac:dyDescent="0.45">
      <c r="B2" s="53" t="s">
        <v>166</v>
      </c>
      <c r="C2" s="23"/>
    </row>
    <row r="3" spans="2:28" s="64" customFormat="1" x14ac:dyDescent="0.45">
      <c r="B3" s="128" t="s">
        <v>480</v>
      </c>
      <c r="K3" s="23"/>
      <c r="Z3" s="66"/>
      <c r="AA3" s="66"/>
      <c r="AB3" s="66"/>
    </row>
    <row r="4" spans="2:28" s="64" customFormat="1" x14ac:dyDescent="0.45">
      <c r="B4" s="128" t="s">
        <v>511</v>
      </c>
      <c r="K4" s="23"/>
      <c r="Z4" s="66"/>
      <c r="AA4" s="66"/>
      <c r="AB4" s="66"/>
    </row>
    <row r="5" spans="2:28" s="64" customFormat="1" x14ac:dyDescent="0.45">
      <c r="B5" s="128" t="s">
        <v>631</v>
      </c>
      <c r="K5" s="23"/>
      <c r="Z5" s="66"/>
      <c r="AA5" s="66"/>
      <c r="AB5" s="66"/>
    </row>
    <row r="6" spans="2:28" s="64" customFormat="1" x14ac:dyDescent="0.45">
      <c r="B6" s="128" t="s">
        <v>531</v>
      </c>
      <c r="K6" s="23"/>
      <c r="Z6" s="66"/>
      <c r="AA6" s="66"/>
      <c r="AB6" s="66"/>
    </row>
    <row r="7" spans="2:28" s="64" customFormat="1" x14ac:dyDescent="0.45">
      <c r="B7" s="128" t="s">
        <v>525</v>
      </c>
      <c r="K7" s="23"/>
      <c r="Z7" s="66"/>
      <c r="AA7" s="66"/>
      <c r="AB7" s="66"/>
    </row>
    <row r="8" spans="2:28" s="64" customFormat="1" x14ac:dyDescent="0.45">
      <c r="B8" s="128" t="s">
        <v>508</v>
      </c>
      <c r="K8" s="23"/>
      <c r="Z8" s="66"/>
      <c r="AA8" s="66"/>
      <c r="AB8" s="66"/>
    </row>
    <row r="9" spans="2:28" s="64" customFormat="1" x14ac:dyDescent="0.45">
      <c r="B9" s="128" t="s">
        <v>526</v>
      </c>
      <c r="K9" s="23"/>
      <c r="Z9" s="66"/>
      <c r="AA9" s="66"/>
      <c r="AB9" s="66"/>
    </row>
    <row r="10" spans="2:28" s="64" customFormat="1" x14ac:dyDescent="0.45">
      <c r="B10" s="128" t="s">
        <v>527</v>
      </c>
      <c r="K10" s="23"/>
      <c r="Z10" s="66"/>
      <c r="AA10" s="66"/>
      <c r="AB10" s="66"/>
    </row>
    <row r="11" spans="2:28" s="64" customFormat="1" x14ac:dyDescent="0.45">
      <c r="B11" s="128" t="s">
        <v>528</v>
      </c>
      <c r="G11" s="111"/>
      <c r="H11" s="111"/>
      <c r="K11" s="23"/>
      <c r="Z11" s="66"/>
      <c r="AA11" s="66"/>
      <c r="AB11" s="66"/>
    </row>
    <row r="12" spans="2:28" s="64" customFormat="1" hidden="1" x14ac:dyDescent="0.45">
      <c r="B12" s="179" t="s">
        <v>507</v>
      </c>
      <c r="C12" s="111"/>
      <c r="D12" s="111"/>
      <c r="E12" s="111"/>
      <c r="F12" s="111"/>
      <c r="G12" s="111"/>
      <c r="H12" s="111"/>
      <c r="I12" s="126"/>
      <c r="J12" s="126"/>
      <c r="K12" s="127"/>
      <c r="L12" s="126"/>
      <c r="Z12" s="66"/>
      <c r="AA12" s="66"/>
      <c r="AB12" s="66"/>
    </row>
    <row r="13" spans="2:28" s="64" customFormat="1" hidden="1" x14ac:dyDescent="0.45">
      <c r="B13" s="159" t="s">
        <v>268</v>
      </c>
      <c r="C13" s="126"/>
      <c r="D13" s="126"/>
      <c r="E13" s="126"/>
      <c r="F13" s="126"/>
      <c r="G13" s="126"/>
      <c r="H13" s="126"/>
      <c r="I13" s="126"/>
      <c r="J13" s="126"/>
      <c r="K13" s="127"/>
      <c r="L13" s="126"/>
      <c r="Z13" s="66"/>
      <c r="AA13" s="66"/>
      <c r="AB13" s="66"/>
    </row>
    <row r="14" spans="2:28" s="64" customFormat="1" x14ac:dyDescent="0.45">
      <c r="B14" s="128" t="s">
        <v>529</v>
      </c>
      <c r="K14" s="23"/>
      <c r="Z14" s="66"/>
      <c r="AA14" s="66"/>
      <c r="AB14" s="66"/>
    </row>
    <row r="15" spans="2:28" s="64" customFormat="1" x14ac:dyDescent="0.45">
      <c r="B15" s="128" t="s">
        <v>410</v>
      </c>
      <c r="K15" s="23"/>
      <c r="Z15" s="66"/>
      <c r="AA15" s="66"/>
      <c r="AB15" s="66"/>
    </row>
    <row r="16" spans="2:28" s="64" customFormat="1" x14ac:dyDescent="0.45">
      <c r="B16" s="128" t="s">
        <v>209</v>
      </c>
      <c r="K16" s="23"/>
      <c r="Z16" s="66"/>
      <c r="AA16" s="66"/>
      <c r="AB16" s="66"/>
    </row>
    <row r="17" spans="2:28" s="64" customFormat="1" x14ac:dyDescent="0.45">
      <c r="B17" s="128" t="s">
        <v>640</v>
      </c>
      <c r="K17" s="23"/>
      <c r="Z17" s="66"/>
      <c r="AA17" s="66"/>
      <c r="AB17" s="66"/>
    </row>
    <row r="18" spans="2:28" s="64" customFormat="1" x14ac:dyDescent="0.45">
      <c r="B18" s="128" t="s">
        <v>210</v>
      </c>
      <c r="K18" s="23"/>
      <c r="Z18" s="66"/>
      <c r="AA18" s="66"/>
      <c r="AB18" s="66"/>
    </row>
    <row r="19" spans="2:28" s="64" customFormat="1" x14ac:dyDescent="0.45">
      <c r="B19" s="128" t="s">
        <v>530</v>
      </c>
      <c r="K19" s="23"/>
      <c r="Z19" s="66"/>
      <c r="AA19" s="66"/>
      <c r="AB19" s="66"/>
    </row>
    <row r="20" spans="2:28" s="64" customFormat="1" x14ac:dyDescent="0.45">
      <c r="B20" s="79"/>
      <c r="K20" s="23"/>
      <c r="Z20" s="66"/>
      <c r="AA20" s="66"/>
      <c r="AB20" s="66"/>
    </row>
    <row r="21" spans="2:28" ht="19.5" customHeight="1" x14ac:dyDescent="0.45">
      <c r="B21" s="94" t="s">
        <v>167</v>
      </c>
      <c r="C21" s="25"/>
      <c r="D21" s="56" t="s">
        <v>633</v>
      </c>
    </row>
    <row r="22" spans="2:28" ht="19.5" customHeight="1" x14ac:dyDescent="0.45">
      <c r="C22" s="26"/>
      <c r="D22" s="56" t="s">
        <v>637</v>
      </c>
    </row>
    <row r="23" spans="2:28" ht="19.5" customHeight="1" x14ac:dyDescent="0.45">
      <c r="C23" s="27"/>
      <c r="D23" s="52" t="s">
        <v>634</v>
      </c>
    </row>
    <row r="24" spans="2:28" ht="19.5" customHeight="1" x14ac:dyDescent="0.45">
      <c r="D24" s="24"/>
    </row>
    <row r="25" spans="2:28" x14ac:dyDescent="0.45">
      <c r="B25" s="24" t="str">
        <f>'1.換気～比較表（適合）'!B19</f>
        <v>R4_Ver8.2</v>
      </c>
    </row>
    <row r="26" spans="2:28" ht="20.25" thickBot="1" x14ac:dyDescent="0.5"/>
    <row r="27" spans="2:28" ht="42.75" customHeight="1" thickTop="1" thickBot="1" x14ac:dyDescent="0.5">
      <c r="B27" s="28" t="s">
        <v>190</v>
      </c>
      <c r="C27" s="29"/>
      <c r="F27" s="373" t="s">
        <v>417</v>
      </c>
      <c r="G27" s="374"/>
      <c r="H27" s="440" t="str">
        <f>IF(X38="入力確認","旧設備の入力をご確認ください。",IF(X64="入力確認","新設備の入力をご確認ください。",IF(AND(AC54=0,AC56=0,AC57=0,AC60=0,AC62=0),"換気設備の導入は必須です。換気設備について入力してください。",IF(X55="非適合","新設備の導入がない計画は申請できません。",IF(AND(X54="適合",X55="適合",X56="適合",X57="適合",X59="適合",X61="適合",X63="適合",X65="適合"),"換気設備導入の要件を満たしています。","換気設備導入の要件を満たしていないため、申請できません。")))))</f>
        <v>換気設備導入の要件を満たしています。</v>
      </c>
      <c r="I27" s="441"/>
      <c r="J27" s="441"/>
      <c r="K27" s="441"/>
      <c r="L27" s="441"/>
      <c r="M27" s="441"/>
      <c r="N27" s="441"/>
      <c r="O27" s="442"/>
      <c r="X27" s="122"/>
    </row>
    <row r="28" spans="2:28" ht="18.75" customHeight="1" thickTop="1" x14ac:dyDescent="0.45">
      <c r="B28" s="28"/>
      <c r="C28" s="29"/>
    </row>
    <row r="29" spans="2:28" ht="42" customHeight="1" thickBot="1" x14ac:dyDescent="0.5">
      <c r="B29" s="188" t="s">
        <v>431</v>
      </c>
      <c r="C29" s="30"/>
    </row>
    <row r="30" spans="2:28" ht="21" thickTop="1" thickBot="1" x14ac:dyDescent="0.5">
      <c r="B30" s="401" t="s">
        <v>122</v>
      </c>
      <c r="C30" s="402"/>
      <c r="D30" s="276" t="s">
        <v>142</v>
      </c>
      <c r="E30" s="327" t="s">
        <v>143</v>
      </c>
      <c r="F30" s="328" t="s">
        <v>144</v>
      </c>
      <c r="G30" s="277" t="s">
        <v>145</v>
      </c>
      <c r="H30" s="31" t="s">
        <v>146</v>
      </c>
      <c r="I30" s="31" t="s">
        <v>147</v>
      </c>
      <c r="J30" s="31" t="s">
        <v>148</v>
      </c>
      <c r="K30" s="31" t="s">
        <v>149</v>
      </c>
      <c r="L30" s="31" t="s">
        <v>150</v>
      </c>
      <c r="M30" s="31" t="s">
        <v>151</v>
      </c>
      <c r="N30" s="31" t="s">
        <v>346</v>
      </c>
      <c r="O30" s="31" t="s">
        <v>152</v>
      </c>
      <c r="P30" s="31" t="s">
        <v>153</v>
      </c>
      <c r="Q30" s="31" t="s">
        <v>154</v>
      </c>
      <c r="R30" s="31" t="s">
        <v>155</v>
      </c>
      <c r="S30" s="31" t="s">
        <v>156</v>
      </c>
      <c r="T30" s="31" t="s">
        <v>157</v>
      </c>
      <c r="U30" s="31" t="s">
        <v>158</v>
      </c>
      <c r="V30" s="31" t="s">
        <v>159</v>
      </c>
      <c r="W30" s="212" t="s">
        <v>160</v>
      </c>
      <c r="X30" s="218" t="s">
        <v>484</v>
      </c>
      <c r="Y30" s="219" t="s">
        <v>485</v>
      </c>
      <c r="AA30" s="79" t="s">
        <v>433</v>
      </c>
    </row>
    <row r="31" spans="2:28" ht="63" customHeight="1" thickTop="1" x14ac:dyDescent="0.45">
      <c r="B31" s="394" t="s">
        <v>1</v>
      </c>
      <c r="C31" s="394"/>
      <c r="D31" s="275" t="s">
        <v>536</v>
      </c>
      <c r="E31" s="275" t="s">
        <v>536</v>
      </c>
      <c r="F31" s="275" t="s">
        <v>194</v>
      </c>
      <c r="G31" s="275" t="s">
        <v>536</v>
      </c>
      <c r="H31" s="89"/>
      <c r="I31" s="89"/>
      <c r="J31" s="89"/>
      <c r="K31" s="89"/>
      <c r="L31" s="89"/>
      <c r="M31" s="89"/>
      <c r="N31" s="89"/>
      <c r="O31" s="89"/>
      <c r="P31" s="89"/>
      <c r="Q31" s="89"/>
      <c r="R31" s="89"/>
      <c r="S31" s="89"/>
      <c r="T31" s="89"/>
      <c r="U31" s="89"/>
      <c r="V31" s="89"/>
      <c r="W31" s="213"/>
      <c r="X31" s="220" t="s">
        <v>10</v>
      </c>
      <c r="Y31" s="221" t="s">
        <v>10</v>
      </c>
      <c r="AA31" s="23"/>
      <c r="AB31" s="225" t="s">
        <v>490</v>
      </c>
    </row>
    <row r="32" spans="2:28" ht="26.25" customHeight="1" thickBot="1" x14ac:dyDescent="0.5">
      <c r="B32" s="397" t="s">
        <v>488</v>
      </c>
      <c r="C32" s="397"/>
      <c r="D32" s="224" t="s">
        <v>482</v>
      </c>
      <c r="E32" s="224" t="s">
        <v>483</v>
      </c>
      <c r="F32" s="224" t="s">
        <v>524</v>
      </c>
      <c r="G32" s="224" t="s">
        <v>505</v>
      </c>
      <c r="H32" s="224"/>
      <c r="I32" s="224"/>
      <c r="J32" s="224"/>
      <c r="K32" s="224"/>
      <c r="L32" s="224"/>
      <c r="M32" s="224"/>
      <c r="N32" s="224"/>
      <c r="O32" s="224"/>
      <c r="P32" s="224"/>
      <c r="Q32" s="224"/>
      <c r="R32" s="224"/>
      <c r="S32" s="224"/>
      <c r="T32" s="224"/>
      <c r="U32" s="224"/>
      <c r="V32" s="224"/>
      <c r="W32" s="224"/>
      <c r="X32" s="216" t="s">
        <v>10</v>
      </c>
      <c r="Y32" s="217" t="s">
        <v>10</v>
      </c>
    </row>
    <row r="33" spans="2:37" ht="27" customHeight="1" thickBot="1" x14ac:dyDescent="0.5">
      <c r="B33" s="397" t="s">
        <v>3</v>
      </c>
      <c r="C33" s="397"/>
      <c r="D33" s="301">
        <v>3</v>
      </c>
      <c r="E33" s="301">
        <v>1</v>
      </c>
      <c r="F33" s="301">
        <v>2</v>
      </c>
      <c r="G33" s="301">
        <v>2</v>
      </c>
      <c r="H33" s="204"/>
      <c r="I33" s="204"/>
      <c r="J33" s="204"/>
      <c r="K33" s="204"/>
      <c r="L33" s="204"/>
      <c r="M33" s="204"/>
      <c r="N33" s="204"/>
      <c r="O33" s="204"/>
      <c r="P33" s="204"/>
      <c r="Q33" s="204"/>
      <c r="R33" s="204"/>
      <c r="S33" s="204"/>
      <c r="T33" s="204"/>
      <c r="U33" s="204"/>
      <c r="V33" s="204"/>
      <c r="W33" s="214"/>
      <c r="X33" s="209">
        <f>IF(AND(AC38=0,AD38=0,AE38=0),"",AB36+AD36)</f>
        <v>5</v>
      </c>
      <c r="Y33" s="210">
        <f>IF(AND(AC38=0,AD38=0,AE38=0),"",AC36)</f>
        <v>1</v>
      </c>
      <c r="AB33" s="225" t="s">
        <v>548</v>
      </c>
    </row>
    <row r="34" spans="2:37" ht="27" customHeight="1" thickTop="1" x14ac:dyDescent="0.45">
      <c r="B34" s="398" t="s">
        <v>4</v>
      </c>
      <c r="C34" s="399"/>
      <c r="D34" s="303">
        <v>500</v>
      </c>
      <c r="E34" s="319">
        <v>850</v>
      </c>
      <c r="F34" s="319">
        <v>200</v>
      </c>
      <c r="G34" s="304">
        <v>200</v>
      </c>
      <c r="H34" s="169"/>
      <c r="I34" s="169"/>
      <c r="J34" s="169"/>
      <c r="K34" s="169"/>
      <c r="L34" s="169"/>
      <c r="M34" s="169"/>
      <c r="N34" s="169"/>
      <c r="O34" s="169"/>
      <c r="P34" s="169"/>
      <c r="Q34" s="169"/>
      <c r="R34" s="169"/>
      <c r="S34" s="169"/>
      <c r="T34" s="169"/>
      <c r="U34" s="169"/>
      <c r="V34" s="169"/>
      <c r="W34" s="211"/>
      <c r="X34" s="235">
        <f>IF(AND(AC38=0,AE38=0),"",X36+AA36)</f>
        <v>1900</v>
      </c>
      <c r="Y34" s="236">
        <f>IF(AND(AD38=0,AE38=0),"",Y36+AA36)</f>
        <v>1250</v>
      </c>
      <c r="AB34" s="225" t="s">
        <v>532</v>
      </c>
    </row>
    <row r="35" spans="2:37" ht="27" customHeight="1" thickBot="1" x14ac:dyDescent="0.5">
      <c r="B35" s="397" t="s">
        <v>5</v>
      </c>
      <c r="C35" s="395"/>
      <c r="D35" s="305">
        <v>25</v>
      </c>
      <c r="E35" s="308">
        <v>40</v>
      </c>
      <c r="F35" s="308">
        <v>10</v>
      </c>
      <c r="G35" s="306">
        <v>50</v>
      </c>
      <c r="H35" s="170"/>
      <c r="I35" s="171"/>
      <c r="J35" s="170"/>
      <c r="K35" s="171"/>
      <c r="L35" s="170"/>
      <c r="M35" s="171"/>
      <c r="N35" s="171"/>
      <c r="O35" s="171"/>
      <c r="P35" s="171"/>
      <c r="Q35" s="171"/>
      <c r="R35" s="171"/>
      <c r="S35" s="171"/>
      <c r="T35" s="171"/>
      <c r="U35" s="171"/>
      <c r="V35" s="171"/>
      <c r="W35" s="215"/>
      <c r="X35" s="237">
        <f>IF(AND(AC38=0,AE38=0),"",X37+AA37)</f>
        <v>95</v>
      </c>
      <c r="Y35" s="238">
        <f>IF(AND(AD38=0,AE38=0),"",Y37+AA37)</f>
        <v>60</v>
      </c>
    </row>
    <row r="36" spans="2:37" ht="27" hidden="1" customHeight="1" thickTop="1" x14ac:dyDescent="0.45">
      <c r="B36" s="398" t="s">
        <v>486</v>
      </c>
      <c r="C36" s="398"/>
      <c r="D36" s="302">
        <f>D33*D34</f>
        <v>1500</v>
      </c>
      <c r="E36" s="302">
        <f t="shared" ref="E36:W36" si="0">E33*E34</f>
        <v>850</v>
      </c>
      <c r="F36" s="302">
        <f t="shared" si="0"/>
        <v>400</v>
      </c>
      <c r="G36" s="302">
        <f t="shared" si="0"/>
        <v>400</v>
      </c>
      <c r="H36" s="169">
        <f t="shared" si="0"/>
        <v>0</v>
      </c>
      <c r="I36" s="169">
        <f t="shared" si="0"/>
        <v>0</v>
      </c>
      <c r="J36" s="169">
        <f t="shared" si="0"/>
        <v>0</v>
      </c>
      <c r="K36" s="169">
        <f t="shared" si="0"/>
        <v>0</v>
      </c>
      <c r="L36" s="169">
        <f t="shared" si="0"/>
        <v>0</v>
      </c>
      <c r="M36" s="169">
        <f t="shared" si="0"/>
        <v>0</v>
      </c>
      <c r="N36" s="169">
        <f t="shared" si="0"/>
        <v>0</v>
      </c>
      <c r="O36" s="169">
        <f t="shared" si="0"/>
        <v>0</v>
      </c>
      <c r="P36" s="169">
        <f t="shared" si="0"/>
        <v>0</v>
      </c>
      <c r="Q36" s="169">
        <f t="shared" si="0"/>
        <v>0</v>
      </c>
      <c r="R36" s="169">
        <f t="shared" si="0"/>
        <v>0</v>
      </c>
      <c r="S36" s="169">
        <f t="shared" si="0"/>
        <v>0</v>
      </c>
      <c r="T36" s="169">
        <f t="shared" si="0"/>
        <v>0</v>
      </c>
      <c r="U36" s="169">
        <f t="shared" si="0"/>
        <v>0</v>
      </c>
      <c r="V36" s="169">
        <f t="shared" si="0"/>
        <v>0</v>
      </c>
      <c r="W36" s="211">
        <f t="shared" si="0"/>
        <v>0</v>
      </c>
      <c r="X36" s="228">
        <f>IF(SUMIF($D$32:$W$32,"排気",$D$36:$W$36)=0,0,SUMIF($D$32:$W$32,"排気",$D$36:$W$36))</f>
        <v>1500</v>
      </c>
      <c r="Y36" s="229">
        <f>IF(SUMIF($D$32:$W$32,"給気",$D$36:$W$36)=0,0,SUMIF($D$32:$W$32,"給気",$D$36:$W$36))</f>
        <v>850</v>
      </c>
      <c r="AA36" s="191">
        <f>IF(SUMIF($D$32:$W$32,"給気・排気",$D$36:$W$36)=0,0,SUMIF($D$32:$W$32,"給気・排気",$D$36:$W$36))</f>
        <v>400</v>
      </c>
      <c r="AB36" s="317">
        <f>IF(SUMIF($D$32:$W$32,"排気",$D$33:$W$33)=0,0,SUMIF($D$32:$W$32,"排気",$D$33:$W$33))</f>
        <v>3</v>
      </c>
      <c r="AC36" s="317">
        <f>IF(SUMIF($D$32:$W$32,"給気",$D$33:$W$33)=0,0,SUMIF($D$32:$W$32,"給気",$D$33:$W$33))</f>
        <v>1</v>
      </c>
      <c r="AD36" s="317">
        <f>IF(SUMIF($D$32:$W$32,"給気・排気",$D$33:$W$33)=0,0,SUMIF($D$32:$W$32,"給気・排気",$D$33:$W$33))</f>
        <v>2</v>
      </c>
      <c r="AE36" s="317"/>
      <c r="AF36" s="317" t="s">
        <v>549</v>
      </c>
      <c r="AG36" s="318"/>
      <c r="AH36" s="318"/>
      <c r="AI36" s="318"/>
      <c r="AJ36" s="318"/>
      <c r="AK36" s="318"/>
    </row>
    <row r="37" spans="2:37" ht="27" hidden="1" customHeight="1" thickBot="1" x14ac:dyDescent="0.5">
      <c r="B37" s="397" t="s">
        <v>487</v>
      </c>
      <c r="C37" s="397"/>
      <c r="D37" s="169">
        <f t="shared" ref="D37:W37" si="1">D33*D35</f>
        <v>75</v>
      </c>
      <c r="E37" s="169">
        <f t="shared" si="1"/>
        <v>40</v>
      </c>
      <c r="F37" s="169">
        <f t="shared" si="1"/>
        <v>20</v>
      </c>
      <c r="G37" s="169">
        <f t="shared" si="1"/>
        <v>100</v>
      </c>
      <c r="H37" s="169">
        <f t="shared" si="1"/>
        <v>0</v>
      </c>
      <c r="I37" s="169">
        <f t="shared" si="1"/>
        <v>0</v>
      </c>
      <c r="J37" s="169">
        <f t="shared" si="1"/>
        <v>0</v>
      </c>
      <c r="K37" s="169">
        <f t="shared" si="1"/>
        <v>0</v>
      </c>
      <c r="L37" s="169">
        <f t="shared" si="1"/>
        <v>0</v>
      </c>
      <c r="M37" s="169">
        <f t="shared" si="1"/>
        <v>0</v>
      </c>
      <c r="N37" s="169">
        <f t="shared" si="1"/>
        <v>0</v>
      </c>
      <c r="O37" s="169">
        <f t="shared" si="1"/>
        <v>0</v>
      </c>
      <c r="P37" s="169">
        <f t="shared" si="1"/>
        <v>0</v>
      </c>
      <c r="Q37" s="169">
        <f t="shared" si="1"/>
        <v>0</v>
      </c>
      <c r="R37" s="169">
        <f t="shared" si="1"/>
        <v>0</v>
      </c>
      <c r="S37" s="169">
        <f t="shared" si="1"/>
        <v>0</v>
      </c>
      <c r="T37" s="169">
        <f t="shared" si="1"/>
        <v>0</v>
      </c>
      <c r="U37" s="169">
        <f t="shared" si="1"/>
        <v>0</v>
      </c>
      <c r="V37" s="169">
        <f t="shared" si="1"/>
        <v>0</v>
      </c>
      <c r="W37" s="211">
        <f t="shared" si="1"/>
        <v>0</v>
      </c>
      <c r="X37" s="230">
        <f>IF(SUMIF($D$32:$W$32,"排気",$D$37:$W$37)=0,0,SUMIF($D$32:$W$32,"排気",$D$37:$W$37))</f>
        <v>75</v>
      </c>
      <c r="Y37" s="231">
        <f>IF(SUMIF($D$32:$W$32,"給気",$D$37:$W$37)=0,0,SUMIF($D$32:$W$32,"給気",$D$37:$W$37))</f>
        <v>40</v>
      </c>
      <c r="AA37" s="191">
        <f>IF(SUMIF($D$32:$W$32,"給気・排気",$D$37:$W$37)=0,0,SUMIF($D$32:$W$32,"給気・排気",$D$37:$W$37))</f>
        <v>20</v>
      </c>
    </row>
    <row r="38" spans="2:37" hidden="1" x14ac:dyDescent="0.45">
      <c r="B38" s="110" t="s">
        <v>443</v>
      </c>
      <c r="C38" s="108"/>
      <c r="D38" s="108">
        <f t="shared" ref="D38:W38" si="2">IF(AND(D31="",D32="",D33="",D34="",D35=""),2,IF(AND(D31&lt;&gt;"",D32&lt;&gt;"",D33&lt;&gt;"",D34&lt;&gt;"",D35&lt;&gt;""),0,1))</f>
        <v>0</v>
      </c>
      <c r="E38" s="108">
        <f t="shared" si="2"/>
        <v>0</v>
      </c>
      <c r="F38" s="108">
        <f t="shared" si="2"/>
        <v>0</v>
      </c>
      <c r="G38" s="108">
        <f t="shared" si="2"/>
        <v>0</v>
      </c>
      <c r="H38" s="108">
        <f t="shared" si="2"/>
        <v>2</v>
      </c>
      <c r="I38" s="108">
        <f t="shared" si="2"/>
        <v>2</v>
      </c>
      <c r="J38" s="108">
        <f t="shared" si="2"/>
        <v>2</v>
      </c>
      <c r="K38" s="108">
        <f t="shared" si="2"/>
        <v>2</v>
      </c>
      <c r="L38" s="108">
        <f t="shared" si="2"/>
        <v>2</v>
      </c>
      <c r="M38" s="108">
        <f t="shared" si="2"/>
        <v>2</v>
      </c>
      <c r="N38" s="108">
        <f t="shared" si="2"/>
        <v>2</v>
      </c>
      <c r="O38" s="108">
        <f t="shared" si="2"/>
        <v>2</v>
      </c>
      <c r="P38" s="108">
        <f t="shared" si="2"/>
        <v>2</v>
      </c>
      <c r="Q38" s="108">
        <f t="shared" si="2"/>
        <v>2</v>
      </c>
      <c r="R38" s="108">
        <f t="shared" si="2"/>
        <v>2</v>
      </c>
      <c r="S38" s="108">
        <f t="shared" si="2"/>
        <v>2</v>
      </c>
      <c r="T38" s="108">
        <f t="shared" si="2"/>
        <v>2</v>
      </c>
      <c r="U38" s="108">
        <f t="shared" si="2"/>
        <v>2</v>
      </c>
      <c r="V38" s="108">
        <f t="shared" si="2"/>
        <v>2</v>
      </c>
      <c r="W38" s="108">
        <f t="shared" si="2"/>
        <v>2</v>
      </c>
      <c r="X38" s="108" t="str">
        <f>IF(Z38&gt;0,"入力確認",IF(AB38=Y38,"適合","不適合"))</f>
        <v>適合</v>
      </c>
      <c r="Y38" s="23">
        <f>COUNTIF($D38:$W38,0)</f>
        <v>4</v>
      </c>
      <c r="Z38" s="191">
        <f>COUNTIF($D38:$W38,1)</f>
        <v>0</v>
      </c>
      <c r="AA38" s="191">
        <f>COUNTIF($D38:$W38,2)</f>
        <v>16</v>
      </c>
      <c r="AB38" s="23">
        <f>20-COUNTIF($D$31:$W$31,"")</f>
        <v>4</v>
      </c>
      <c r="AC38" s="23">
        <f>COUNTIF($D$32:$W$32,"排気")</f>
        <v>1</v>
      </c>
      <c r="AD38" s="23">
        <f>COUNTIF($D$32:$W$32,"給気")</f>
        <v>1</v>
      </c>
      <c r="AE38" s="23">
        <f>COUNTIF($D$32:$W$32,"給気・排気")</f>
        <v>1</v>
      </c>
      <c r="AF38" s="118">
        <v>34</v>
      </c>
    </row>
    <row r="39" spans="2:37" ht="20.25" thickTop="1" x14ac:dyDescent="0.45"/>
    <row r="40" spans="2:37" ht="42" customHeight="1" thickBot="1" x14ac:dyDescent="0.5">
      <c r="B40" s="188" t="s">
        <v>432</v>
      </c>
      <c r="C40" s="30"/>
    </row>
    <row r="41" spans="2:37" ht="21" thickTop="1" thickBot="1" x14ac:dyDescent="0.5">
      <c r="B41" s="391" t="s">
        <v>121</v>
      </c>
      <c r="C41" s="392"/>
      <c r="D41" s="282" t="s">
        <v>283</v>
      </c>
      <c r="E41" s="282" t="s">
        <v>284</v>
      </c>
      <c r="F41" s="282" t="s">
        <v>285</v>
      </c>
      <c r="G41" s="282" t="s">
        <v>286</v>
      </c>
      <c r="H41" s="325" t="s">
        <v>287</v>
      </c>
      <c r="I41" s="326" t="s">
        <v>288</v>
      </c>
      <c r="J41" s="31" t="s">
        <v>289</v>
      </c>
      <c r="K41" s="31" t="s">
        <v>290</v>
      </c>
      <c r="L41" s="31" t="s">
        <v>291</v>
      </c>
      <c r="M41" s="31" t="s">
        <v>292</v>
      </c>
      <c r="N41" s="31" t="s">
        <v>347</v>
      </c>
      <c r="O41" s="31" t="s">
        <v>348</v>
      </c>
      <c r="P41" s="31" t="s">
        <v>349</v>
      </c>
      <c r="Q41" s="31" t="s">
        <v>350</v>
      </c>
      <c r="R41" s="31" t="s">
        <v>351</v>
      </c>
      <c r="S41" s="31" t="s">
        <v>352</v>
      </c>
      <c r="T41" s="31" t="s">
        <v>353</v>
      </c>
      <c r="U41" s="31" t="s">
        <v>354</v>
      </c>
      <c r="V41" s="31" t="s">
        <v>355</v>
      </c>
      <c r="W41" s="31" t="s">
        <v>356</v>
      </c>
      <c r="X41" s="218" t="s">
        <v>484</v>
      </c>
      <c r="Y41" s="219" t="s">
        <v>485</v>
      </c>
      <c r="Z41" s="23"/>
      <c r="AA41" s="79" t="s">
        <v>434</v>
      </c>
    </row>
    <row r="42" spans="2:37" ht="63" customHeight="1" thickTop="1" x14ac:dyDescent="0.45">
      <c r="B42" s="394" t="s">
        <v>1</v>
      </c>
      <c r="C42" s="394"/>
      <c r="D42" s="275" t="s">
        <v>193</v>
      </c>
      <c r="E42" s="275" t="s">
        <v>193</v>
      </c>
      <c r="F42" s="275" t="s">
        <v>193</v>
      </c>
      <c r="G42" s="275" t="s">
        <v>193</v>
      </c>
      <c r="H42" s="275" t="s">
        <v>194</v>
      </c>
      <c r="I42" s="275" t="s">
        <v>536</v>
      </c>
      <c r="J42" s="89"/>
      <c r="K42" s="89"/>
      <c r="L42" s="89"/>
      <c r="M42" s="89"/>
      <c r="N42" s="89"/>
      <c r="O42" s="89"/>
      <c r="P42" s="89"/>
      <c r="Q42" s="89"/>
      <c r="R42" s="89"/>
      <c r="S42" s="89"/>
      <c r="T42" s="89"/>
      <c r="U42" s="89"/>
      <c r="V42" s="89"/>
      <c r="W42" s="89"/>
      <c r="X42" s="220" t="s">
        <v>10</v>
      </c>
      <c r="Y42" s="221" t="s">
        <v>10</v>
      </c>
      <c r="Z42" s="23"/>
    </row>
    <row r="43" spans="2:37" ht="26.25" customHeight="1" x14ac:dyDescent="0.45">
      <c r="B43" s="397" t="s">
        <v>488</v>
      </c>
      <c r="C43" s="397"/>
      <c r="D43" s="224" t="s">
        <v>482</v>
      </c>
      <c r="E43" s="224" t="s">
        <v>482</v>
      </c>
      <c r="F43" s="224" t="s">
        <v>482</v>
      </c>
      <c r="G43" s="224" t="s">
        <v>483</v>
      </c>
      <c r="H43" s="224" t="s">
        <v>524</v>
      </c>
      <c r="I43" s="224" t="s">
        <v>505</v>
      </c>
      <c r="J43" s="224"/>
      <c r="K43" s="224"/>
      <c r="L43" s="224"/>
      <c r="M43" s="224"/>
      <c r="N43" s="224"/>
      <c r="O43" s="224"/>
      <c r="P43" s="224"/>
      <c r="Q43" s="224"/>
      <c r="R43" s="224"/>
      <c r="S43" s="224"/>
      <c r="T43" s="224"/>
      <c r="U43" s="224"/>
      <c r="V43" s="224"/>
      <c r="W43" s="224"/>
      <c r="X43" s="220" t="s">
        <v>10</v>
      </c>
      <c r="Y43" s="221" t="s">
        <v>10</v>
      </c>
      <c r="AA43" s="79"/>
      <c r="AB43" s="225" t="s">
        <v>490</v>
      </c>
    </row>
    <row r="44" spans="2:37" ht="27" customHeight="1" x14ac:dyDescent="0.45">
      <c r="B44" s="395" t="s">
        <v>9</v>
      </c>
      <c r="C44" s="396"/>
      <c r="D44" s="1" t="s">
        <v>85</v>
      </c>
      <c r="E44" s="1" t="s">
        <v>84</v>
      </c>
      <c r="F44" s="1" t="s">
        <v>83</v>
      </c>
      <c r="G44" s="1" t="s">
        <v>85</v>
      </c>
      <c r="H44" s="1" t="s">
        <v>85</v>
      </c>
      <c r="I44" s="1" t="s">
        <v>86</v>
      </c>
      <c r="J44" s="1"/>
      <c r="K44" s="1"/>
      <c r="L44" s="1"/>
      <c r="M44" s="1"/>
      <c r="N44" s="1"/>
      <c r="O44" s="1"/>
      <c r="P44" s="1"/>
      <c r="Q44" s="1"/>
      <c r="R44" s="1"/>
      <c r="S44" s="1"/>
      <c r="T44" s="1"/>
      <c r="U44" s="1"/>
      <c r="V44" s="1"/>
      <c r="W44" s="1"/>
      <c r="X44" s="220" t="s">
        <v>10</v>
      </c>
      <c r="Y44" s="221" t="s">
        <v>10</v>
      </c>
      <c r="Z44" s="23"/>
      <c r="AA44" s="79"/>
    </row>
    <row r="45" spans="2:37" ht="27" customHeight="1" thickBot="1" x14ac:dyDescent="0.5">
      <c r="B45" s="403" t="s">
        <v>108</v>
      </c>
      <c r="C45" s="404"/>
      <c r="D45" s="224" t="s">
        <v>90</v>
      </c>
      <c r="E45" s="224" t="s">
        <v>90</v>
      </c>
      <c r="F45" s="224" t="s">
        <v>90</v>
      </c>
      <c r="G45" s="224" t="s">
        <v>90</v>
      </c>
      <c r="H45" s="224" t="s">
        <v>100</v>
      </c>
      <c r="I45" s="224" t="s">
        <v>90</v>
      </c>
      <c r="J45" s="224"/>
      <c r="K45" s="224"/>
      <c r="L45" s="224"/>
      <c r="M45" s="224"/>
      <c r="N45" s="224"/>
      <c r="O45" s="224"/>
      <c r="P45" s="224"/>
      <c r="Q45" s="224"/>
      <c r="R45" s="224"/>
      <c r="S45" s="224"/>
      <c r="T45" s="224"/>
      <c r="U45" s="224"/>
      <c r="V45" s="224"/>
      <c r="W45" s="224"/>
      <c r="X45" s="216" t="s">
        <v>10</v>
      </c>
      <c r="Y45" s="217" t="s">
        <v>10</v>
      </c>
      <c r="Z45" s="23"/>
      <c r="AA45" s="79"/>
    </row>
    <row r="46" spans="2:37" ht="27" customHeight="1" thickBot="1" x14ac:dyDescent="0.5">
      <c r="B46" s="397" t="s">
        <v>3</v>
      </c>
      <c r="C46" s="397"/>
      <c r="D46" s="301">
        <v>1</v>
      </c>
      <c r="E46" s="301">
        <v>1</v>
      </c>
      <c r="F46" s="301">
        <v>1</v>
      </c>
      <c r="G46" s="301">
        <v>1</v>
      </c>
      <c r="H46" s="301">
        <v>2</v>
      </c>
      <c r="I46" s="301">
        <v>2</v>
      </c>
      <c r="J46" s="204"/>
      <c r="K46" s="204"/>
      <c r="L46" s="204"/>
      <c r="M46" s="204"/>
      <c r="N46" s="204"/>
      <c r="O46" s="204"/>
      <c r="P46" s="204"/>
      <c r="Q46" s="204"/>
      <c r="R46" s="204"/>
      <c r="S46" s="204"/>
      <c r="T46" s="204"/>
      <c r="U46" s="204"/>
      <c r="V46" s="204"/>
      <c r="W46" s="204"/>
      <c r="X46" s="209">
        <f>IF(AND(AC65=0,AD65=0,AE65=0),"",AB52+AD52)</f>
        <v>5</v>
      </c>
      <c r="Y46" s="210">
        <f>IF(AND(AC65=0,AD65=0,AE65=0),"",AC52)</f>
        <v>1</v>
      </c>
      <c r="Z46" s="23"/>
      <c r="AB46" s="225" t="s">
        <v>548</v>
      </c>
    </row>
    <row r="47" spans="2:37" ht="27" customHeight="1" thickTop="1" x14ac:dyDescent="0.45">
      <c r="B47" s="398" t="s">
        <v>4</v>
      </c>
      <c r="C47" s="399"/>
      <c r="D47" s="303">
        <v>600</v>
      </c>
      <c r="E47" s="307">
        <v>520</v>
      </c>
      <c r="F47" s="307">
        <v>550</v>
      </c>
      <c r="G47" s="307">
        <v>1000</v>
      </c>
      <c r="H47" s="320">
        <v>350</v>
      </c>
      <c r="I47" s="322">
        <v>200</v>
      </c>
      <c r="J47" s="169"/>
      <c r="K47" s="169"/>
      <c r="L47" s="169"/>
      <c r="M47" s="169"/>
      <c r="N47" s="169"/>
      <c r="O47" s="169"/>
      <c r="P47" s="169"/>
      <c r="Q47" s="169"/>
      <c r="R47" s="169"/>
      <c r="S47" s="169"/>
      <c r="T47" s="169"/>
      <c r="U47" s="169"/>
      <c r="V47" s="169"/>
      <c r="W47" s="169"/>
      <c r="X47" s="235">
        <f>IF(AND(AC65=0,AE65=0),"",X52+AA52)</f>
        <v>2370</v>
      </c>
      <c r="Y47" s="236">
        <f>IF(AND(AD65=0,AE65=0),"",Y52+AA52)</f>
        <v>1700</v>
      </c>
      <c r="Z47" s="23"/>
      <c r="AB47" s="225" t="s">
        <v>532</v>
      </c>
    </row>
    <row r="48" spans="2:37" ht="27" customHeight="1" thickBot="1" x14ac:dyDescent="0.5">
      <c r="B48" s="397" t="s">
        <v>5</v>
      </c>
      <c r="C48" s="395"/>
      <c r="D48" s="305">
        <v>50</v>
      </c>
      <c r="E48" s="308">
        <v>32</v>
      </c>
      <c r="F48" s="308">
        <v>40</v>
      </c>
      <c r="G48" s="308">
        <v>120</v>
      </c>
      <c r="H48" s="321">
        <v>250</v>
      </c>
      <c r="I48" s="306">
        <v>50</v>
      </c>
      <c r="J48" s="170"/>
      <c r="K48" s="171"/>
      <c r="L48" s="171"/>
      <c r="M48" s="171"/>
      <c r="N48" s="171"/>
      <c r="O48" s="171"/>
      <c r="P48" s="171"/>
      <c r="Q48" s="171"/>
      <c r="R48" s="171"/>
      <c r="S48" s="171"/>
      <c r="T48" s="171"/>
      <c r="U48" s="171"/>
      <c r="V48" s="171"/>
      <c r="W48" s="171"/>
      <c r="X48" s="237">
        <f>IF(AND(AC65=0,AE65=0),"",X53+AA53)</f>
        <v>622</v>
      </c>
      <c r="Y48" s="238">
        <f>IF(AND(AD65=0,AE65=0),"",Y53+AA53)</f>
        <v>620</v>
      </c>
      <c r="Z48" s="23"/>
      <c r="AB48" s="79" t="s">
        <v>533</v>
      </c>
    </row>
    <row r="49" spans="2:37" ht="27" customHeight="1" thickTop="1" thickBot="1" x14ac:dyDescent="0.5">
      <c r="B49" s="400" t="s">
        <v>13</v>
      </c>
      <c r="C49" s="400"/>
      <c r="D49" s="309">
        <f t="shared" ref="D49:W49" si="3">IF(D42="高効率換気設備",IF(ISERROR(D48/D47),"",D48/D47),"---")</f>
        <v>8.3333333333333329E-2</v>
      </c>
      <c r="E49" s="310">
        <f t="shared" si="3"/>
        <v>6.1538461538461542E-2</v>
      </c>
      <c r="F49" s="310">
        <f t="shared" si="3"/>
        <v>7.2727272727272724E-2</v>
      </c>
      <c r="G49" s="310">
        <f t="shared" si="3"/>
        <v>0.12</v>
      </c>
      <c r="H49" s="310" t="str">
        <f t="shared" si="3"/>
        <v>---</v>
      </c>
      <c r="I49" s="310" t="str">
        <f t="shared" si="3"/>
        <v>---</v>
      </c>
      <c r="J49" s="33" t="str">
        <f t="shared" si="3"/>
        <v>---</v>
      </c>
      <c r="K49" s="33" t="str">
        <f t="shared" si="3"/>
        <v>---</v>
      </c>
      <c r="L49" s="33" t="str">
        <f t="shared" si="3"/>
        <v>---</v>
      </c>
      <c r="M49" s="33" t="str">
        <f t="shared" si="3"/>
        <v>---</v>
      </c>
      <c r="N49" s="33" t="str">
        <f t="shared" si="3"/>
        <v>---</v>
      </c>
      <c r="O49" s="33" t="str">
        <f t="shared" si="3"/>
        <v>---</v>
      </c>
      <c r="P49" s="33" t="str">
        <f t="shared" si="3"/>
        <v>---</v>
      </c>
      <c r="Q49" s="33" t="str">
        <f t="shared" si="3"/>
        <v>---</v>
      </c>
      <c r="R49" s="33" t="str">
        <f t="shared" si="3"/>
        <v>---</v>
      </c>
      <c r="S49" s="33" t="str">
        <f t="shared" si="3"/>
        <v>---</v>
      </c>
      <c r="T49" s="33" t="str">
        <f t="shared" si="3"/>
        <v>---</v>
      </c>
      <c r="U49" s="33" t="str">
        <f t="shared" si="3"/>
        <v>---</v>
      </c>
      <c r="V49" s="33" t="str">
        <f t="shared" si="3"/>
        <v>---</v>
      </c>
      <c r="W49" s="33" t="str">
        <f t="shared" si="3"/>
        <v>---</v>
      </c>
      <c r="X49" s="222" t="s">
        <v>10</v>
      </c>
      <c r="Y49" s="223" t="s">
        <v>10</v>
      </c>
      <c r="Z49" s="23"/>
    </row>
    <row r="50" spans="2:37" ht="27" customHeight="1" thickTop="1" x14ac:dyDescent="0.45">
      <c r="B50" s="46" t="s">
        <v>87</v>
      </c>
      <c r="C50" s="297" t="s">
        <v>7</v>
      </c>
      <c r="D50" s="311"/>
      <c r="E50" s="312"/>
      <c r="F50" s="312"/>
      <c r="G50" s="312"/>
      <c r="H50" s="323">
        <v>65</v>
      </c>
      <c r="I50" s="313"/>
      <c r="J50" s="116"/>
      <c r="K50" s="117"/>
      <c r="L50" s="117"/>
      <c r="M50" s="117"/>
      <c r="N50" s="117"/>
      <c r="O50" s="117"/>
      <c r="P50" s="117"/>
      <c r="Q50" s="117"/>
      <c r="R50" s="117"/>
      <c r="S50" s="117"/>
      <c r="T50" s="117"/>
      <c r="U50" s="117"/>
      <c r="V50" s="117"/>
      <c r="W50" s="117"/>
      <c r="X50" s="220" t="s">
        <v>10</v>
      </c>
      <c r="Y50" s="221" t="s">
        <v>10</v>
      </c>
      <c r="Z50" s="23"/>
      <c r="AB50" s="79" t="s">
        <v>440</v>
      </c>
    </row>
    <row r="51" spans="2:37" ht="27" customHeight="1" thickBot="1" x14ac:dyDescent="0.5">
      <c r="B51" s="47" t="s">
        <v>12</v>
      </c>
      <c r="C51" s="297" t="s">
        <v>8</v>
      </c>
      <c r="D51" s="314"/>
      <c r="E51" s="315"/>
      <c r="F51" s="315"/>
      <c r="G51" s="315"/>
      <c r="H51" s="324">
        <v>68</v>
      </c>
      <c r="I51" s="316"/>
      <c r="J51" s="116"/>
      <c r="K51" s="117"/>
      <c r="L51" s="117"/>
      <c r="M51" s="117"/>
      <c r="N51" s="117"/>
      <c r="O51" s="117"/>
      <c r="P51" s="117"/>
      <c r="Q51" s="117"/>
      <c r="R51" s="117"/>
      <c r="S51" s="117"/>
      <c r="T51" s="117"/>
      <c r="U51" s="117"/>
      <c r="V51" s="117"/>
      <c r="W51" s="117"/>
      <c r="X51" s="220" t="s">
        <v>10</v>
      </c>
      <c r="Y51" s="221" t="s">
        <v>10</v>
      </c>
      <c r="Z51" s="23"/>
    </row>
    <row r="52" spans="2:37" ht="27" hidden="1" customHeight="1" thickTop="1" x14ac:dyDescent="0.45">
      <c r="B52" s="398" t="s">
        <v>486</v>
      </c>
      <c r="C52" s="398"/>
      <c r="D52" s="302">
        <f>D46*D47</f>
        <v>600</v>
      </c>
      <c r="E52" s="302">
        <f t="shared" ref="E52:W52" si="4">E46*E47</f>
        <v>520</v>
      </c>
      <c r="F52" s="302">
        <f t="shared" si="4"/>
        <v>550</v>
      </c>
      <c r="G52" s="302">
        <f t="shared" si="4"/>
        <v>1000</v>
      </c>
      <c r="H52" s="302">
        <f t="shared" si="4"/>
        <v>700</v>
      </c>
      <c r="I52" s="302">
        <f t="shared" si="4"/>
        <v>400</v>
      </c>
      <c r="J52" s="169">
        <f t="shared" si="4"/>
        <v>0</v>
      </c>
      <c r="K52" s="169">
        <f t="shared" si="4"/>
        <v>0</v>
      </c>
      <c r="L52" s="169">
        <f t="shared" si="4"/>
        <v>0</v>
      </c>
      <c r="M52" s="169">
        <f t="shared" si="4"/>
        <v>0</v>
      </c>
      <c r="N52" s="169">
        <f t="shared" si="4"/>
        <v>0</v>
      </c>
      <c r="O52" s="169">
        <f t="shared" si="4"/>
        <v>0</v>
      </c>
      <c r="P52" s="169">
        <f t="shared" si="4"/>
        <v>0</v>
      </c>
      <c r="Q52" s="169">
        <f t="shared" si="4"/>
        <v>0</v>
      </c>
      <c r="R52" s="169">
        <f t="shared" si="4"/>
        <v>0</v>
      </c>
      <c r="S52" s="169">
        <f t="shared" si="4"/>
        <v>0</v>
      </c>
      <c r="T52" s="169">
        <f t="shared" si="4"/>
        <v>0</v>
      </c>
      <c r="U52" s="169">
        <f t="shared" si="4"/>
        <v>0</v>
      </c>
      <c r="V52" s="169">
        <f t="shared" si="4"/>
        <v>0</v>
      </c>
      <c r="W52" s="169">
        <f t="shared" si="4"/>
        <v>0</v>
      </c>
      <c r="X52" s="220">
        <f>IF(SUMIF($D$43:$W$43,"排気",$D$52:$W$52)=0,0,SUMIF($D$43:$W$43,"排気",$D$52:$W$52))</f>
        <v>1670</v>
      </c>
      <c r="Y52" s="221">
        <f>IF(SUMIF($D$43:$W$43,"給気",$D$52:$W$52)=0,0,SUMIF($D$43:$W$43,"給気",$D$52:$W$52))</f>
        <v>1000</v>
      </c>
      <c r="AA52" s="191">
        <f>IF(SUMIF($D$43:$W$43,"給気・排気",$D$52:$W$52)=0,0,SUMIF($D$43:$W$43,"給気・排気",$D$52:$W$52))</f>
        <v>700</v>
      </c>
      <c r="AB52" s="317">
        <f>IF(SUMIF($D$43:$W$43,"排気",$D$46:$W$46)=0,0,SUMIF($D$43:$W$43,"排気",$D$46:$W$46))</f>
        <v>3</v>
      </c>
      <c r="AC52" s="317">
        <f>IF(SUMIF($D$43:$W$43,"給気",$D$46:$W$46)=0,0,SUMIF($D$43:$W$43,"給気",$D$46:$W$46))</f>
        <v>1</v>
      </c>
      <c r="AD52" s="317">
        <f>IF(SUMIF($D$43:$W$43,"給気・排気",$D$46:$W$46)=0,0,SUMIF($D$43:$W$43,"給気・排気",$D$46:$W$46))</f>
        <v>2</v>
      </c>
      <c r="AE52" s="317"/>
      <c r="AF52" s="317" t="s">
        <v>549</v>
      </c>
      <c r="AG52" s="318"/>
      <c r="AH52" s="318"/>
      <c r="AI52" s="318"/>
      <c r="AJ52" s="318"/>
      <c r="AK52" s="318"/>
    </row>
    <row r="53" spans="2:37" ht="27" hidden="1" customHeight="1" thickBot="1" x14ac:dyDescent="0.5">
      <c r="B53" s="397" t="s">
        <v>487</v>
      </c>
      <c r="C53" s="397"/>
      <c r="D53" s="169">
        <f>D46*D48</f>
        <v>50</v>
      </c>
      <c r="E53" s="169">
        <f t="shared" ref="E53:W53" si="5">E46*E48</f>
        <v>32</v>
      </c>
      <c r="F53" s="169">
        <f t="shared" si="5"/>
        <v>40</v>
      </c>
      <c r="G53" s="169">
        <f t="shared" si="5"/>
        <v>120</v>
      </c>
      <c r="H53" s="169">
        <f t="shared" si="5"/>
        <v>500</v>
      </c>
      <c r="I53" s="169">
        <f t="shared" si="5"/>
        <v>100</v>
      </c>
      <c r="J53" s="169">
        <f t="shared" si="5"/>
        <v>0</v>
      </c>
      <c r="K53" s="169">
        <f t="shared" si="5"/>
        <v>0</v>
      </c>
      <c r="L53" s="169">
        <f t="shared" si="5"/>
        <v>0</v>
      </c>
      <c r="M53" s="169">
        <f t="shared" si="5"/>
        <v>0</v>
      </c>
      <c r="N53" s="169">
        <f t="shared" si="5"/>
        <v>0</v>
      </c>
      <c r="O53" s="169">
        <f t="shared" si="5"/>
        <v>0</v>
      </c>
      <c r="P53" s="169">
        <f t="shared" si="5"/>
        <v>0</v>
      </c>
      <c r="Q53" s="169">
        <f t="shared" si="5"/>
        <v>0</v>
      </c>
      <c r="R53" s="169">
        <f t="shared" si="5"/>
        <v>0</v>
      </c>
      <c r="S53" s="169">
        <f t="shared" si="5"/>
        <v>0</v>
      </c>
      <c r="T53" s="169">
        <f t="shared" si="5"/>
        <v>0</v>
      </c>
      <c r="U53" s="169">
        <f t="shared" si="5"/>
        <v>0</v>
      </c>
      <c r="V53" s="169">
        <f t="shared" si="5"/>
        <v>0</v>
      </c>
      <c r="W53" s="169">
        <f t="shared" si="5"/>
        <v>0</v>
      </c>
      <c r="X53" s="216">
        <f>IF(SUMIF($D$43:$W$43,"排気",$D$53:$W$53)=0,0,SUMIF($D$43:$W$43,"排気",$D$53:$W$53))</f>
        <v>122</v>
      </c>
      <c r="Y53" s="217">
        <f>IF(SUMIF($D$43:$W$43,"給気",$D$53:$W$53)=0,0,SUMIF($D$43:$W$43,"給気",$D$53:$W$53))</f>
        <v>120</v>
      </c>
      <c r="AA53" s="191">
        <f>IF(SUMIF($D$43:$W$43,"給気・排気",$D$53:$W$53)=0,0,SUMIF($D$43:$W$43,"給気・排気",$D$53:$W$53))</f>
        <v>500</v>
      </c>
    </row>
    <row r="54" spans="2:37" hidden="1" x14ac:dyDescent="0.45">
      <c r="B54" s="129" t="s">
        <v>274</v>
      </c>
      <c r="C54" s="129"/>
      <c r="D54" s="129">
        <f>IF(D$42&lt;&gt;"機械換気（換気扇等）",2,IF(AND(D$42="機械換気（換気扇等）",D$44="継続"),0,1))</f>
        <v>2</v>
      </c>
      <c r="E54" s="129">
        <f t="shared" ref="E54:W54" si="6">IF(E$42&lt;&gt;"機械換気（換気扇等）",2,IF(AND(E$42="機械換気（換気扇等）",E$44="継続"),0,1))</f>
        <v>2</v>
      </c>
      <c r="F54" s="129">
        <f t="shared" si="6"/>
        <v>2</v>
      </c>
      <c r="G54" s="129">
        <f t="shared" si="6"/>
        <v>2</v>
      </c>
      <c r="H54" s="129">
        <f t="shared" si="6"/>
        <v>2</v>
      </c>
      <c r="I54" s="129">
        <f t="shared" si="6"/>
        <v>0</v>
      </c>
      <c r="J54" s="129">
        <f t="shared" si="6"/>
        <v>2</v>
      </c>
      <c r="K54" s="129">
        <f t="shared" si="6"/>
        <v>2</v>
      </c>
      <c r="L54" s="129">
        <f t="shared" si="6"/>
        <v>2</v>
      </c>
      <c r="M54" s="129">
        <f t="shared" si="6"/>
        <v>2</v>
      </c>
      <c r="N54" s="129">
        <f t="shared" si="6"/>
        <v>2</v>
      </c>
      <c r="O54" s="129">
        <f t="shared" si="6"/>
        <v>2</v>
      </c>
      <c r="P54" s="129">
        <f t="shared" si="6"/>
        <v>2</v>
      </c>
      <c r="Q54" s="129">
        <f t="shared" si="6"/>
        <v>2</v>
      </c>
      <c r="R54" s="129">
        <f t="shared" si="6"/>
        <v>2</v>
      </c>
      <c r="S54" s="129">
        <f t="shared" si="6"/>
        <v>2</v>
      </c>
      <c r="T54" s="129">
        <f t="shared" si="6"/>
        <v>2</v>
      </c>
      <c r="U54" s="129">
        <f t="shared" si="6"/>
        <v>2</v>
      </c>
      <c r="V54" s="129">
        <f t="shared" si="6"/>
        <v>2</v>
      </c>
      <c r="W54" s="129">
        <f t="shared" si="6"/>
        <v>2</v>
      </c>
      <c r="X54" s="108" t="str">
        <f>IF(AC54=Y54,"適合","非適合")</f>
        <v>適合</v>
      </c>
      <c r="Y54" s="23">
        <f>COUNTIF($D54:$W54,0)</f>
        <v>1</v>
      </c>
      <c r="Z54" s="191">
        <f>COUNTIF($D54:$W54,1)</f>
        <v>0</v>
      </c>
      <c r="AA54" s="191">
        <f>COUNTIF($D54:$W54,2)</f>
        <v>19</v>
      </c>
      <c r="AB54" s="23"/>
      <c r="AC54" s="23">
        <f>COUNTIF($D$42:$W$42,"機械換気（換気扇等）")</f>
        <v>1</v>
      </c>
      <c r="AF54" s="118">
        <v>50</v>
      </c>
    </row>
    <row r="55" spans="2:37" hidden="1" x14ac:dyDescent="0.45">
      <c r="B55" s="201" t="s">
        <v>462</v>
      </c>
      <c r="C55" s="201"/>
      <c r="D55" s="201">
        <f>IF(OR(D43="補器（排気）",D43="補器（給気）",D44="継続"),0,IF(D44="新設",1,IF(D44="増設",2,IF(D44="更新",3,9))))</f>
        <v>3</v>
      </c>
      <c r="E55" s="201">
        <f t="shared" ref="E55:W55" si="7">IF(OR(E43="補器（排気）",E43="補器（給気）",E44="継続"),0,IF(E44="新設",1,IF(E44="増設",2,IF(E44="更新",3,9))))</f>
        <v>2</v>
      </c>
      <c r="F55" s="201">
        <f t="shared" si="7"/>
        <v>1</v>
      </c>
      <c r="G55" s="201">
        <f t="shared" si="7"/>
        <v>3</v>
      </c>
      <c r="H55" s="201">
        <f t="shared" si="7"/>
        <v>3</v>
      </c>
      <c r="I55" s="201">
        <f t="shared" si="7"/>
        <v>0</v>
      </c>
      <c r="J55" s="201">
        <f t="shared" si="7"/>
        <v>9</v>
      </c>
      <c r="K55" s="201">
        <f t="shared" si="7"/>
        <v>9</v>
      </c>
      <c r="L55" s="201">
        <f t="shared" si="7"/>
        <v>9</v>
      </c>
      <c r="M55" s="201">
        <f t="shared" si="7"/>
        <v>9</v>
      </c>
      <c r="N55" s="201">
        <f t="shared" si="7"/>
        <v>9</v>
      </c>
      <c r="O55" s="201">
        <f t="shared" si="7"/>
        <v>9</v>
      </c>
      <c r="P55" s="201">
        <f t="shared" si="7"/>
        <v>9</v>
      </c>
      <c r="Q55" s="201">
        <f t="shared" si="7"/>
        <v>9</v>
      </c>
      <c r="R55" s="201">
        <f t="shared" si="7"/>
        <v>9</v>
      </c>
      <c r="S55" s="201">
        <f t="shared" si="7"/>
        <v>9</v>
      </c>
      <c r="T55" s="201">
        <f t="shared" si="7"/>
        <v>9</v>
      </c>
      <c r="U55" s="201">
        <f t="shared" si="7"/>
        <v>9</v>
      </c>
      <c r="V55" s="201">
        <f t="shared" si="7"/>
        <v>9</v>
      </c>
      <c r="W55" s="201">
        <f t="shared" si="7"/>
        <v>9</v>
      </c>
      <c r="X55" s="108" t="str">
        <f>IF(Y55=AD55,"非適合","適合")</f>
        <v>適合</v>
      </c>
      <c r="Y55" s="23">
        <f>COUNTIF($D55:$W55,0)</f>
        <v>1</v>
      </c>
      <c r="Z55" s="191">
        <f>COUNTIF($D55:$W55,1)</f>
        <v>1</v>
      </c>
      <c r="AA55" s="191">
        <f>COUNTIF($D55:$W55,2)</f>
        <v>1</v>
      </c>
      <c r="AB55" s="191">
        <f>COUNTIF($D55:$W55,3)</f>
        <v>3</v>
      </c>
      <c r="AC55" s="191">
        <f>COUNTIF($D55:$W55,9)</f>
        <v>14</v>
      </c>
      <c r="AD55" s="23">
        <f>20-COUNTIF($D$42:$W$42,"")</f>
        <v>6</v>
      </c>
      <c r="AF55" s="118">
        <v>52</v>
      </c>
    </row>
    <row r="56" spans="2:37" hidden="1" x14ac:dyDescent="0.45">
      <c r="B56" s="110" t="s">
        <v>267</v>
      </c>
      <c r="C56" s="108"/>
      <c r="D56" s="108">
        <f t="shared" ref="D56:W56" si="8">IF(D49="---",2,IF(AND(D42="高効率換気設備",D49&lt;=0.4),0,1))</f>
        <v>0</v>
      </c>
      <c r="E56" s="108">
        <f t="shared" si="8"/>
        <v>0</v>
      </c>
      <c r="F56" s="108">
        <f t="shared" si="8"/>
        <v>0</v>
      </c>
      <c r="G56" s="108">
        <f t="shared" si="8"/>
        <v>0</v>
      </c>
      <c r="H56" s="108">
        <f t="shared" si="8"/>
        <v>2</v>
      </c>
      <c r="I56" s="108">
        <f t="shared" si="8"/>
        <v>2</v>
      </c>
      <c r="J56" s="108">
        <f t="shared" si="8"/>
        <v>2</v>
      </c>
      <c r="K56" s="108">
        <f t="shared" si="8"/>
        <v>2</v>
      </c>
      <c r="L56" s="108">
        <f t="shared" si="8"/>
        <v>2</v>
      </c>
      <c r="M56" s="108">
        <f t="shared" si="8"/>
        <v>2</v>
      </c>
      <c r="N56" s="108">
        <f t="shared" si="8"/>
        <v>2</v>
      </c>
      <c r="O56" s="108">
        <f t="shared" si="8"/>
        <v>2</v>
      </c>
      <c r="P56" s="108">
        <f t="shared" si="8"/>
        <v>2</v>
      </c>
      <c r="Q56" s="108">
        <f t="shared" si="8"/>
        <v>2</v>
      </c>
      <c r="R56" s="108">
        <f t="shared" si="8"/>
        <v>2</v>
      </c>
      <c r="S56" s="108">
        <f t="shared" si="8"/>
        <v>2</v>
      </c>
      <c r="T56" s="108">
        <f t="shared" si="8"/>
        <v>2</v>
      </c>
      <c r="U56" s="108">
        <f t="shared" si="8"/>
        <v>2</v>
      </c>
      <c r="V56" s="108">
        <f t="shared" si="8"/>
        <v>2</v>
      </c>
      <c r="W56" s="108">
        <f t="shared" si="8"/>
        <v>2</v>
      </c>
      <c r="X56" s="108" t="str">
        <f>IF(AC56=Y56,"適合","非適合")</f>
        <v>適合</v>
      </c>
      <c r="Y56" s="23">
        <f>COUNTIF($D56:$W56,0)</f>
        <v>4</v>
      </c>
      <c r="Z56" s="191">
        <f>COUNTIF($D56:$W56,1)</f>
        <v>0</v>
      </c>
      <c r="AA56" s="191">
        <f>COUNTIF($D56:$W56,2)</f>
        <v>16</v>
      </c>
      <c r="AB56" s="191">
        <f>COUNTIF($D$49:$W$49,"---")</f>
        <v>16</v>
      </c>
      <c r="AC56" s="23">
        <f>COUNTIF($D$42:$W$42,"高効率換気設備")</f>
        <v>4</v>
      </c>
      <c r="AF56" s="118">
        <v>53</v>
      </c>
    </row>
    <row r="57" spans="2:37" hidden="1" x14ac:dyDescent="0.45">
      <c r="B57" s="108" t="s">
        <v>251</v>
      </c>
      <c r="C57" s="108"/>
      <c r="D57" s="108">
        <f>IF(D$42&lt;&gt;"換気・空調一体型設備",2,IF(D$42="換気・空調一体型設備",0,1))</f>
        <v>2</v>
      </c>
      <c r="E57" s="108">
        <f t="shared" ref="E57:W57" si="9">IF(E$42&lt;&gt;"換気・空調一体型設備",2,IF(E$42="換気・空調一体型設備",0,1))</f>
        <v>2</v>
      </c>
      <c r="F57" s="108">
        <f t="shared" si="9"/>
        <v>2</v>
      </c>
      <c r="G57" s="108">
        <f t="shared" si="9"/>
        <v>2</v>
      </c>
      <c r="H57" s="108">
        <f t="shared" si="9"/>
        <v>2</v>
      </c>
      <c r="I57" s="108">
        <f t="shared" si="9"/>
        <v>2</v>
      </c>
      <c r="J57" s="108">
        <f t="shared" si="9"/>
        <v>2</v>
      </c>
      <c r="K57" s="108">
        <f t="shared" si="9"/>
        <v>2</v>
      </c>
      <c r="L57" s="108">
        <f t="shared" si="9"/>
        <v>2</v>
      </c>
      <c r="M57" s="108">
        <f t="shared" si="9"/>
        <v>2</v>
      </c>
      <c r="N57" s="108">
        <f t="shared" si="9"/>
        <v>2</v>
      </c>
      <c r="O57" s="108">
        <f t="shared" si="9"/>
        <v>2</v>
      </c>
      <c r="P57" s="108">
        <f t="shared" si="9"/>
        <v>2</v>
      </c>
      <c r="Q57" s="108">
        <f t="shared" si="9"/>
        <v>2</v>
      </c>
      <c r="R57" s="108">
        <f t="shared" si="9"/>
        <v>2</v>
      </c>
      <c r="S57" s="108">
        <f t="shared" si="9"/>
        <v>2</v>
      </c>
      <c r="T57" s="108">
        <f t="shared" si="9"/>
        <v>2</v>
      </c>
      <c r="U57" s="108">
        <f t="shared" si="9"/>
        <v>2</v>
      </c>
      <c r="V57" s="108">
        <f t="shared" si="9"/>
        <v>2</v>
      </c>
      <c r="W57" s="108">
        <f t="shared" si="9"/>
        <v>2</v>
      </c>
      <c r="X57" s="108" t="str">
        <f>IF(AC57=Y57,"適合","非適合")</f>
        <v>適合</v>
      </c>
      <c r="Y57" s="23">
        <f>COUNTIF($D57:$W57,0)</f>
        <v>0</v>
      </c>
      <c r="Z57" s="191">
        <f>COUNTIF($D57:$W57,1)</f>
        <v>0</v>
      </c>
      <c r="AA57" s="191">
        <f>COUNTIF($D57:$W57,2)</f>
        <v>20</v>
      </c>
      <c r="AC57" s="23">
        <f>COUNTIF($D$42:$W$42,"換気・空調一体型設備")</f>
        <v>0</v>
      </c>
      <c r="AF57" s="118">
        <v>54</v>
      </c>
    </row>
    <row r="58" spans="2:37" hidden="1" x14ac:dyDescent="0.45">
      <c r="B58" s="108" t="s">
        <v>281</v>
      </c>
      <c r="C58" s="108"/>
      <c r="D58" s="108">
        <f t="shared" ref="D58:W58" si="10">IF(AND(D57=0,OR(D44="新設",D44="増設",D44="更新")),0,2)</f>
        <v>2</v>
      </c>
      <c r="E58" s="108">
        <f t="shared" si="10"/>
        <v>2</v>
      </c>
      <c r="F58" s="108">
        <f t="shared" si="10"/>
        <v>2</v>
      </c>
      <c r="G58" s="108">
        <f t="shared" si="10"/>
        <v>2</v>
      </c>
      <c r="H58" s="108">
        <f t="shared" si="10"/>
        <v>2</v>
      </c>
      <c r="I58" s="108">
        <f t="shared" si="10"/>
        <v>2</v>
      </c>
      <c r="J58" s="108">
        <f t="shared" si="10"/>
        <v>2</v>
      </c>
      <c r="K58" s="108">
        <f t="shared" si="10"/>
        <v>2</v>
      </c>
      <c r="L58" s="108">
        <f t="shared" si="10"/>
        <v>2</v>
      </c>
      <c r="M58" s="108">
        <f t="shared" si="10"/>
        <v>2</v>
      </c>
      <c r="N58" s="108">
        <f t="shared" si="10"/>
        <v>2</v>
      </c>
      <c r="O58" s="108">
        <f t="shared" si="10"/>
        <v>2</v>
      </c>
      <c r="P58" s="108">
        <f t="shared" si="10"/>
        <v>2</v>
      </c>
      <c r="Q58" s="108">
        <f t="shared" si="10"/>
        <v>2</v>
      </c>
      <c r="R58" s="108">
        <f t="shared" si="10"/>
        <v>2</v>
      </c>
      <c r="S58" s="108">
        <f t="shared" si="10"/>
        <v>2</v>
      </c>
      <c r="T58" s="108">
        <f t="shared" si="10"/>
        <v>2</v>
      </c>
      <c r="U58" s="108">
        <f t="shared" si="10"/>
        <v>2</v>
      </c>
      <c r="V58" s="108">
        <f t="shared" si="10"/>
        <v>2</v>
      </c>
      <c r="W58" s="108">
        <f t="shared" si="10"/>
        <v>2</v>
      </c>
      <c r="X58" s="108"/>
      <c r="AF58" s="118">
        <v>55</v>
      </c>
    </row>
    <row r="59" spans="2:37" hidden="1" x14ac:dyDescent="0.45">
      <c r="B59" s="129" t="s">
        <v>275</v>
      </c>
      <c r="C59" s="129"/>
      <c r="D59" s="129">
        <f>IF(AND(D$42&lt;&gt;"熱交換型換気設備",D$42&lt;&gt;"顕熱交換器"),2,IF(OR(D$42="熱交換型換気設備",D$42="顕熱交換器"),0,1))</f>
        <v>2</v>
      </c>
      <c r="E59" s="129">
        <f t="shared" ref="E59:W59" si="11">IF(AND(E$42&lt;&gt;"熱交換型換気設備",E$42&lt;&gt;"顕熱交換器"),2,IF(OR(E$42="熱交換型換気設備",E$42="顕熱交換器"),0,1))</f>
        <v>2</v>
      </c>
      <c r="F59" s="129">
        <f t="shared" si="11"/>
        <v>2</v>
      </c>
      <c r="G59" s="129">
        <f t="shared" si="11"/>
        <v>2</v>
      </c>
      <c r="H59" s="129">
        <f t="shared" si="11"/>
        <v>0</v>
      </c>
      <c r="I59" s="129">
        <f t="shared" si="11"/>
        <v>2</v>
      </c>
      <c r="J59" s="129">
        <f t="shared" si="11"/>
        <v>2</v>
      </c>
      <c r="K59" s="129">
        <f t="shared" si="11"/>
        <v>2</v>
      </c>
      <c r="L59" s="129">
        <f t="shared" si="11"/>
        <v>2</v>
      </c>
      <c r="M59" s="129">
        <f t="shared" si="11"/>
        <v>2</v>
      </c>
      <c r="N59" s="129">
        <f t="shared" si="11"/>
        <v>2</v>
      </c>
      <c r="O59" s="129">
        <f t="shared" si="11"/>
        <v>2</v>
      </c>
      <c r="P59" s="129">
        <f t="shared" si="11"/>
        <v>2</v>
      </c>
      <c r="Q59" s="129">
        <f t="shared" si="11"/>
        <v>2</v>
      </c>
      <c r="R59" s="129">
        <f t="shared" si="11"/>
        <v>2</v>
      </c>
      <c r="S59" s="129">
        <f t="shared" si="11"/>
        <v>2</v>
      </c>
      <c r="T59" s="129">
        <f t="shared" si="11"/>
        <v>2</v>
      </c>
      <c r="U59" s="129">
        <f t="shared" si="11"/>
        <v>2</v>
      </c>
      <c r="V59" s="129">
        <f t="shared" si="11"/>
        <v>2</v>
      </c>
      <c r="W59" s="129">
        <f t="shared" si="11"/>
        <v>2</v>
      </c>
      <c r="X59" s="108" t="str">
        <f>IF(AB59+AC59=Y59,"適合","非適合")</f>
        <v>適合</v>
      </c>
      <c r="Y59" s="23">
        <f t="shared" ref="Y59:Y64" si="12">COUNTIF($D59:$W59,0)</f>
        <v>1</v>
      </c>
      <c r="Z59" s="191">
        <f t="shared" ref="Z59:Z64" si="13">COUNTIF($D59:$W59,1)</f>
        <v>0</v>
      </c>
      <c r="AA59" s="191">
        <f t="shared" ref="AA59:AA64" si="14">COUNTIF($D59:$W59,2)</f>
        <v>19</v>
      </c>
      <c r="AB59" s="191">
        <f>COUNTIF($D$42:$W$42,"熱交換型換気設備")</f>
        <v>1</v>
      </c>
      <c r="AC59" s="23">
        <f>COUNTIF($D$42:$W$42,"顕熱交換器")</f>
        <v>0</v>
      </c>
      <c r="AF59" s="118">
        <v>56</v>
      </c>
    </row>
    <row r="60" spans="2:37" hidden="1" x14ac:dyDescent="0.45">
      <c r="B60" s="108" t="s">
        <v>253</v>
      </c>
      <c r="C60" s="108"/>
      <c r="D60" s="108">
        <f>IF(D$42&lt;&gt;"顕熱交換器",2,IF(AND(D$42="顕熱交換器",D50&gt;=40),0,1))</f>
        <v>2</v>
      </c>
      <c r="E60" s="108">
        <f t="shared" ref="E60:W60" si="15">IF(E$42&lt;&gt;"顕熱交換器",2,IF(AND(E$42="顕熱交換器",E50&gt;=40),0,1))</f>
        <v>2</v>
      </c>
      <c r="F60" s="108">
        <f t="shared" si="15"/>
        <v>2</v>
      </c>
      <c r="G60" s="108">
        <f t="shared" si="15"/>
        <v>2</v>
      </c>
      <c r="H60" s="108">
        <f t="shared" si="15"/>
        <v>2</v>
      </c>
      <c r="I60" s="108">
        <f t="shared" si="15"/>
        <v>2</v>
      </c>
      <c r="J60" s="108">
        <f t="shared" si="15"/>
        <v>2</v>
      </c>
      <c r="K60" s="108">
        <f t="shared" si="15"/>
        <v>2</v>
      </c>
      <c r="L60" s="108">
        <f t="shared" si="15"/>
        <v>2</v>
      </c>
      <c r="M60" s="108">
        <f t="shared" si="15"/>
        <v>2</v>
      </c>
      <c r="N60" s="108">
        <f t="shared" si="15"/>
        <v>2</v>
      </c>
      <c r="O60" s="108">
        <f t="shared" si="15"/>
        <v>2</v>
      </c>
      <c r="P60" s="108">
        <f t="shared" si="15"/>
        <v>2</v>
      </c>
      <c r="Q60" s="108">
        <f t="shared" si="15"/>
        <v>2</v>
      </c>
      <c r="R60" s="108">
        <f t="shared" si="15"/>
        <v>2</v>
      </c>
      <c r="S60" s="108">
        <f t="shared" si="15"/>
        <v>2</v>
      </c>
      <c r="T60" s="108">
        <f t="shared" si="15"/>
        <v>2</v>
      </c>
      <c r="U60" s="108">
        <f t="shared" si="15"/>
        <v>2</v>
      </c>
      <c r="V60" s="108">
        <f t="shared" si="15"/>
        <v>2</v>
      </c>
      <c r="W60" s="108">
        <f t="shared" si="15"/>
        <v>2</v>
      </c>
      <c r="X60" s="108"/>
      <c r="Y60" s="23">
        <f t="shared" si="12"/>
        <v>0</v>
      </c>
      <c r="Z60" s="191">
        <f t="shared" si="13"/>
        <v>0</v>
      </c>
      <c r="AA60" s="191">
        <f t="shared" si="14"/>
        <v>20</v>
      </c>
      <c r="AC60" s="23">
        <f>COUNTIF($D$42:$W$42,"顕熱交換器")</f>
        <v>0</v>
      </c>
      <c r="AF60" s="118">
        <v>57</v>
      </c>
    </row>
    <row r="61" spans="2:37" hidden="1" x14ac:dyDescent="0.45">
      <c r="B61" s="108" t="s">
        <v>254</v>
      </c>
      <c r="C61" s="108"/>
      <c r="D61" s="108">
        <f>IF(D$42&lt;&gt;"顕熱交換器",2,IF(AND(D$42="顕熱交換器",D51&gt;=40),0,1))</f>
        <v>2</v>
      </c>
      <c r="E61" s="108">
        <f t="shared" ref="E61:W61" si="16">IF(E$42&lt;&gt;"顕熱交換器",2,IF(AND(E$42="顕熱交換器",E51&gt;=40),0,1))</f>
        <v>2</v>
      </c>
      <c r="F61" s="108">
        <f t="shared" si="16"/>
        <v>2</v>
      </c>
      <c r="G61" s="108">
        <f t="shared" si="16"/>
        <v>2</v>
      </c>
      <c r="H61" s="108">
        <f t="shared" si="16"/>
        <v>2</v>
      </c>
      <c r="I61" s="108">
        <f t="shared" si="16"/>
        <v>2</v>
      </c>
      <c r="J61" s="108">
        <f t="shared" si="16"/>
        <v>2</v>
      </c>
      <c r="K61" s="108">
        <f t="shared" si="16"/>
        <v>2</v>
      </c>
      <c r="L61" s="108">
        <f t="shared" si="16"/>
        <v>2</v>
      </c>
      <c r="M61" s="108">
        <f t="shared" si="16"/>
        <v>2</v>
      </c>
      <c r="N61" s="108">
        <f t="shared" si="16"/>
        <v>2</v>
      </c>
      <c r="O61" s="108">
        <f t="shared" si="16"/>
        <v>2</v>
      </c>
      <c r="P61" s="108">
        <f t="shared" si="16"/>
        <v>2</v>
      </c>
      <c r="Q61" s="108">
        <f t="shared" si="16"/>
        <v>2</v>
      </c>
      <c r="R61" s="108">
        <f t="shared" si="16"/>
        <v>2</v>
      </c>
      <c r="S61" s="108">
        <f t="shared" si="16"/>
        <v>2</v>
      </c>
      <c r="T61" s="108">
        <f t="shared" si="16"/>
        <v>2</v>
      </c>
      <c r="U61" s="108">
        <f t="shared" si="16"/>
        <v>2</v>
      </c>
      <c r="V61" s="108">
        <f t="shared" si="16"/>
        <v>2</v>
      </c>
      <c r="W61" s="108">
        <f t="shared" si="16"/>
        <v>2</v>
      </c>
      <c r="X61" s="108" t="str">
        <f>IF(AND(AC60=Y60,AC60=Y61),"適合","非適合")</f>
        <v>適合</v>
      </c>
      <c r="Y61" s="23">
        <f t="shared" si="12"/>
        <v>0</v>
      </c>
      <c r="Z61" s="191">
        <f t="shared" si="13"/>
        <v>0</v>
      </c>
      <c r="AA61" s="191">
        <f t="shared" si="14"/>
        <v>20</v>
      </c>
      <c r="AF61" s="118">
        <v>58</v>
      </c>
    </row>
    <row r="62" spans="2:37" hidden="1" x14ac:dyDescent="0.45">
      <c r="B62" s="110" t="s">
        <v>249</v>
      </c>
      <c r="C62" s="108"/>
      <c r="D62" s="108">
        <f>IF(D$42&lt;&gt;"熱交換型換気設備",2,IF(AND(D$42="熱交換型換気設備",D50&gt;=40),0,1))</f>
        <v>2</v>
      </c>
      <c r="E62" s="108">
        <f t="shared" ref="E62:W62" si="17">IF(E$42&lt;&gt;"熱交換型換気設備",2,IF(AND(E$42="熱交換型換気設備",E50&gt;=40),0,1))</f>
        <v>2</v>
      </c>
      <c r="F62" s="108">
        <f t="shared" si="17"/>
        <v>2</v>
      </c>
      <c r="G62" s="108">
        <f t="shared" si="17"/>
        <v>2</v>
      </c>
      <c r="H62" s="108">
        <f t="shared" si="17"/>
        <v>0</v>
      </c>
      <c r="I62" s="108">
        <f t="shared" si="17"/>
        <v>2</v>
      </c>
      <c r="J62" s="108">
        <f t="shared" si="17"/>
        <v>2</v>
      </c>
      <c r="K62" s="108">
        <f t="shared" si="17"/>
        <v>2</v>
      </c>
      <c r="L62" s="108">
        <f t="shared" si="17"/>
        <v>2</v>
      </c>
      <c r="M62" s="108">
        <f t="shared" si="17"/>
        <v>2</v>
      </c>
      <c r="N62" s="108">
        <f t="shared" si="17"/>
        <v>2</v>
      </c>
      <c r="O62" s="108">
        <f t="shared" si="17"/>
        <v>2</v>
      </c>
      <c r="P62" s="108">
        <f t="shared" si="17"/>
        <v>2</v>
      </c>
      <c r="Q62" s="108">
        <f t="shared" si="17"/>
        <v>2</v>
      </c>
      <c r="R62" s="108">
        <f t="shared" si="17"/>
        <v>2</v>
      </c>
      <c r="S62" s="108">
        <f t="shared" si="17"/>
        <v>2</v>
      </c>
      <c r="T62" s="108">
        <f t="shared" si="17"/>
        <v>2</v>
      </c>
      <c r="U62" s="108">
        <f t="shared" si="17"/>
        <v>2</v>
      </c>
      <c r="V62" s="108">
        <f t="shared" si="17"/>
        <v>2</v>
      </c>
      <c r="W62" s="108">
        <f t="shared" si="17"/>
        <v>2</v>
      </c>
      <c r="X62" s="108"/>
      <c r="Y62" s="23">
        <f t="shared" si="12"/>
        <v>1</v>
      </c>
      <c r="Z62" s="191">
        <f t="shared" si="13"/>
        <v>0</v>
      </c>
      <c r="AA62" s="191">
        <f>COUNTIF($D62:$W62,2)</f>
        <v>19</v>
      </c>
      <c r="AB62" s="191">
        <f>COUNT($D50:$W50)</f>
        <v>1</v>
      </c>
      <c r="AC62" s="23">
        <f>COUNTIF($D$42:$W$42,"熱交換型換気設備")</f>
        <v>1</v>
      </c>
      <c r="AF62" s="118">
        <v>59</v>
      </c>
    </row>
    <row r="63" spans="2:37" hidden="1" x14ac:dyDescent="0.45">
      <c r="B63" s="110" t="s">
        <v>250</v>
      </c>
      <c r="C63" s="108"/>
      <c r="D63" s="108">
        <f>IF(D$42&lt;&gt;"熱交換型換気設備",2,IF(AND(D$42="熱交換型換気設備",D51&gt;=40),0,1))</f>
        <v>2</v>
      </c>
      <c r="E63" s="108">
        <f t="shared" ref="E63:W63" si="18">IF(E$42&lt;&gt;"熱交換型換気設備",2,IF(AND(E$42="熱交換型換気設備",E51&gt;=40),0,1))</f>
        <v>2</v>
      </c>
      <c r="F63" s="108">
        <f t="shared" si="18"/>
        <v>2</v>
      </c>
      <c r="G63" s="108">
        <f t="shared" si="18"/>
        <v>2</v>
      </c>
      <c r="H63" s="108">
        <f t="shared" si="18"/>
        <v>0</v>
      </c>
      <c r="I63" s="108">
        <f t="shared" si="18"/>
        <v>2</v>
      </c>
      <c r="J63" s="108">
        <f t="shared" si="18"/>
        <v>2</v>
      </c>
      <c r="K63" s="108">
        <f t="shared" si="18"/>
        <v>2</v>
      </c>
      <c r="L63" s="108">
        <f t="shared" si="18"/>
        <v>2</v>
      </c>
      <c r="M63" s="108">
        <f t="shared" si="18"/>
        <v>2</v>
      </c>
      <c r="N63" s="108">
        <f t="shared" si="18"/>
        <v>2</v>
      </c>
      <c r="O63" s="108">
        <f t="shared" si="18"/>
        <v>2</v>
      </c>
      <c r="P63" s="108">
        <f t="shared" si="18"/>
        <v>2</v>
      </c>
      <c r="Q63" s="108">
        <f t="shared" si="18"/>
        <v>2</v>
      </c>
      <c r="R63" s="108">
        <f t="shared" si="18"/>
        <v>2</v>
      </c>
      <c r="S63" s="108">
        <f t="shared" si="18"/>
        <v>2</v>
      </c>
      <c r="T63" s="108">
        <f t="shared" si="18"/>
        <v>2</v>
      </c>
      <c r="U63" s="108">
        <f t="shared" si="18"/>
        <v>2</v>
      </c>
      <c r="V63" s="108">
        <f t="shared" si="18"/>
        <v>2</v>
      </c>
      <c r="W63" s="108">
        <f t="shared" si="18"/>
        <v>2</v>
      </c>
      <c r="X63" s="108" t="str">
        <f>IF(AND(AC62=Y62,AC62=Y63),"適合","非適合")</f>
        <v>適合</v>
      </c>
      <c r="Y63" s="23">
        <f t="shared" si="12"/>
        <v>1</v>
      </c>
      <c r="Z63" s="191">
        <f t="shared" si="13"/>
        <v>0</v>
      </c>
      <c r="AA63" s="191">
        <f t="shared" si="14"/>
        <v>19</v>
      </c>
      <c r="AB63" s="191">
        <f>COUNT($D51:$W51)</f>
        <v>1</v>
      </c>
      <c r="AF63" s="118">
        <v>60</v>
      </c>
    </row>
    <row r="64" spans="2:37" hidden="1" x14ac:dyDescent="0.45">
      <c r="B64" s="110" t="s">
        <v>252</v>
      </c>
      <c r="C64" s="108"/>
      <c r="D64" s="108">
        <f t="shared" ref="D64:W64" si="19">IF(AND(D42="",D43="",D44="",D45="",D46="",D47="",D48="",D50="",D51=""),2,IF(AND(D42&lt;&gt;"",D43&lt;&gt;"",D44&lt;&gt;"",D45&lt;&gt;"",D46&lt;&gt;"",D47&lt;&gt;"",D48&lt;&gt;"",D50&lt;&gt;"",D51&lt;&gt;"",OR(D$42="顕熱交換器",D$42="熱交換型換気設備")),0,IF(AND(D42&lt;&gt;"",D44&lt;&gt;"",D45&lt;&gt;"",D46&lt;&gt;"",D47&lt;&gt;"",D48&lt;&gt;"",D50="",D51="",D$42&lt;&gt;"顕熱交換器",D$42&lt;&gt;"熱交換型換気設備"),0,1)))</f>
        <v>0</v>
      </c>
      <c r="E64" s="108">
        <f t="shared" si="19"/>
        <v>0</v>
      </c>
      <c r="F64" s="108">
        <f t="shared" si="19"/>
        <v>0</v>
      </c>
      <c r="G64" s="108">
        <f t="shared" si="19"/>
        <v>0</v>
      </c>
      <c r="H64" s="108">
        <f t="shared" si="19"/>
        <v>0</v>
      </c>
      <c r="I64" s="108">
        <f t="shared" si="19"/>
        <v>0</v>
      </c>
      <c r="J64" s="108">
        <f t="shared" si="19"/>
        <v>2</v>
      </c>
      <c r="K64" s="108">
        <f t="shared" si="19"/>
        <v>2</v>
      </c>
      <c r="L64" s="108">
        <f t="shared" si="19"/>
        <v>2</v>
      </c>
      <c r="M64" s="108">
        <f t="shared" si="19"/>
        <v>2</v>
      </c>
      <c r="N64" s="108">
        <f t="shared" si="19"/>
        <v>2</v>
      </c>
      <c r="O64" s="108">
        <f t="shared" si="19"/>
        <v>2</v>
      </c>
      <c r="P64" s="108">
        <f t="shared" si="19"/>
        <v>2</v>
      </c>
      <c r="Q64" s="108">
        <f t="shared" si="19"/>
        <v>2</v>
      </c>
      <c r="R64" s="108">
        <f t="shared" si="19"/>
        <v>2</v>
      </c>
      <c r="S64" s="108">
        <f t="shared" si="19"/>
        <v>2</v>
      </c>
      <c r="T64" s="108">
        <f t="shared" si="19"/>
        <v>2</v>
      </c>
      <c r="U64" s="108">
        <f t="shared" si="19"/>
        <v>2</v>
      </c>
      <c r="V64" s="108">
        <f t="shared" si="19"/>
        <v>2</v>
      </c>
      <c r="W64" s="108">
        <f t="shared" si="19"/>
        <v>2</v>
      </c>
      <c r="X64" s="108" t="str">
        <f>IF(OR((AC60+AC62)&lt;&gt;AB62,(AC60+AC62)&lt;&gt;AB63,Z64&gt;0),"入力確認",IF(AC64=Y64,"適合","不適合"))</f>
        <v>適合</v>
      </c>
      <c r="Y64" s="23">
        <f t="shared" si="12"/>
        <v>6</v>
      </c>
      <c r="Z64" s="191">
        <f t="shared" si="13"/>
        <v>0</v>
      </c>
      <c r="AA64" s="191">
        <f t="shared" si="14"/>
        <v>14</v>
      </c>
      <c r="AC64" s="23">
        <f>20-COUNTIF($D$42:$W$42,"")</f>
        <v>6</v>
      </c>
      <c r="AF64" s="118">
        <v>61</v>
      </c>
    </row>
    <row r="65" spans="2:32" hidden="1" x14ac:dyDescent="0.45">
      <c r="B65" s="110" t="s">
        <v>498</v>
      </c>
      <c r="C65" s="108"/>
      <c r="D65" s="108"/>
      <c r="E65" s="108"/>
      <c r="F65" s="108"/>
      <c r="G65" s="108"/>
      <c r="H65" s="108"/>
      <c r="I65" s="108"/>
      <c r="J65" s="108"/>
      <c r="K65" s="108"/>
      <c r="L65" s="108"/>
      <c r="M65" s="108"/>
      <c r="N65" s="108"/>
      <c r="O65" s="108"/>
      <c r="P65" s="108"/>
      <c r="Q65" s="232" t="s">
        <v>499</v>
      </c>
      <c r="R65" s="108">
        <f>IF(OR(X36=0,Y36=0),X36+Y36+AA36,MAX(X36+AA36,Y36+AA36))</f>
        <v>1900</v>
      </c>
      <c r="S65" s="108"/>
      <c r="T65" s="233" t="s">
        <v>500</v>
      </c>
      <c r="U65" s="108">
        <f>IF(OR(X52=0,Y52=0),X52+Y52+AA52,MAX(X52+AA52,Y52+AA52))</f>
        <v>2370</v>
      </c>
      <c r="V65" s="108"/>
      <c r="W65" s="108"/>
      <c r="X65" s="108" t="str">
        <f>IF(OR(Z65=0,AA65=0),"適合","不適合")</f>
        <v>適合</v>
      </c>
      <c r="Z65" s="191">
        <f>IF(AND(X36=0,X52=0),2,IF(R65&lt;=U65,0,1))</f>
        <v>0</v>
      </c>
      <c r="AA65" s="191">
        <f>IF(AND(Y36=0,Y52=0),2,IF(R65&lt;=U65,0,1))</f>
        <v>0</v>
      </c>
      <c r="AC65" s="23">
        <f>COUNTIF($D$43:$W$43,"排気")</f>
        <v>3</v>
      </c>
      <c r="AD65" s="23">
        <f>COUNTIF($D$43:$W$43,"給気")</f>
        <v>1</v>
      </c>
      <c r="AE65" s="23">
        <f>COUNTIF($D$43:$W$43,"給気・排気")</f>
        <v>1</v>
      </c>
      <c r="AF65" s="118">
        <v>62</v>
      </c>
    </row>
    <row r="66" spans="2:32" ht="27" customHeight="1" thickTop="1" x14ac:dyDescent="0.45">
      <c r="B66" s="35" t="s">
        <v>247</v>
      </c>
      <c r="C66" s="36"/>
    </row>
    <row r="67" spans="2:32" x14ac:dyDescent="0.45">
      <c r="B67" s="35"/>
      <c r="C67" s="36"/>
      <c r="E67" s="138"/>
    </row>
    <row r="68" spans="2:32" ht="42.75" customHeight="1" x14ac:dyDescent="0.45">
      <c r="B68" s="28" t="s">
        <v>272</v>
      </c>
      <c r="C68" s="36"/>
    </row>
    <row r="69" spans="2:32" ht="9" customHeight="1" thickBot="1" x14ac:dyDescent="0.5">
      <c r="B69" s="23"/>
      <c r="C69" s="36"/>
    </row>
    <row r="70" spans="2:32" ht="27" customHeight="1" thickTop="1" x14ac:dyDescent="0.45">
      <c r="B70" s="279" t="s">
        <v>180</v>
      </c>
      <c r="C70" s="408" t="s">
        <v>123</v>
      </c>
      <c r="D70" s="409"/>
      <c r="E70" s="409"/>
      <c r="F70" s="409"/>
      <c r="G70" s="409"/>
      <c r="H70" s="410" t="s">
        <v>124</v>
      </c>
      <c r="I70" s="410"/>
      <c r="J70" s="410"/>
      <c r="K70" s="410"/>
      <c r="L70" s="410"/>
      <c r="M70" s="410"/>
      <c r="N70" s="410"/>
      <c r="O70" s="407" t="s">
        <v>178</v>
      </c>
      <c r="P70" s="407"/>
      <c r="Q70" s="407"/>
      <c r="R70" s="407"/>
      <c r="S70" s="407"/>
      <c r="T70" s="407"/>
      <c r="U70" s="405" t="s">
        <v>179</v>
      </c>
      <c r="V70" s="406"/>
      <c r="W70" s="99"/>
    </row>
    <row r="71" spans="2:32" ht="27" customHeight="1" x14ac:dyDescent="0.45">
      <c r="B71" s="280" t="s">
        <v>142</v>
      </c>
      <c r="C71" s="411" t="s">
        <v>558</v>
      </c>
      <c r="D71" s="412"/>
      <c r="E71" s="412"/>
      <c r="F71" s="412"/>
      <c r="G71" s="412"/>
      <c r="H71" s="412" t="s">
        <v>550</v>
      </c>
      <c r="I71" s="412"/>
      <c r="J71" s="412"/>
      <c r="K71" s="412"/>
      <c r="L71" s="412"/>
      <c r="M71" s="412"/>
      <c r="N71" s="412"/>
      <c r="O71" s="412" t="s">
        <v>539</v>
      </c>
      <c r="P71" s="412"/>
      <c r="Q71" s="412"/>
      <c r="R71" s="412"/>
      <c r="S71" s="412"/>
      <c r="T71" s="412"/>
      <c r="U71" s="414" t="s">
        <v>541</v>
      </c>
      <c r="V71" s="414"/>
      <c r="W71" s="99"/>
    </row>
    <row r="72" spans="2:32" ht="27" customHeight="1" x14ac:dyDescent="0.45">
      <c r="B72" s="330" t="s">
        <v>143</v>
      </c>
      <c r="C72" s="413" t="s">
        <v>551</v>
      </c>
      <c r="D72" s="393"/>
      <c r="E72" s="393"/>
      <c r="F72" s="393"/>
      <c r="G72" s="393"/>
      <c r="H72" s="393" t="s">
        <v>555</v>
      </c>
      <c r="I72" s="393"/>
      <c r="J72" s="393"/>
      <c r="K72" s="393"/>
      <c r="L72" s="393"/>
      <c r="M72" s="393"/>
      <c r="N72" s="393"/>
      <c r="O72" s="393" t="s">
        <v>540</v>
      </c>
      <c r="P72" s="393"/>
      <c r="Q72" s="393"/>
      <c r="R72" s="393"/>
      <c r="S72" s="393"/>
      <c r="T72" s="393"/>
      <c r="U72" s="415" t="s">
        <v>541</v>
      </c>
      <c r="V72" s="415"/>
      <c r="W72" s="99"/>
    </row>
    <row r="73" spans="2:32" ht="27" customHeight="1" x14ac:dyDescent="0.45">
      <c r="B73" s="329" t="s">
        <v>144</v>
      </c>
      <c r="C73" s="413" t="s">
        <v>538</v>
      </c>
      <c r="D73" s="393"/>
      <c r="E73" s="393"/>
      <c r="F73" s="393"/>
      <c r="G73" s="393"/>
      <c r="H73" s="393" t="s">
        <v>556</v>
      </c>
      <c r="I73" s="393"/>
      <c r="J73" s="393"/>
      <c r="K73" s="393"/>
      <c r="L73" s="393"/>
      <c r="M73" s="393"/>
      <c r="N73" s="393"/>
      <c r="O73" s="393" t="s">
        <v>554</v>
      </c>
      <c r="P73" s="393"/>
      <c r="Q73" s="393"/>
      <c r="R73" s="393"/>
      <c r="S73" s="393"/>
      <c r="T73" s="393"/>
      <c r="U73" s="415" t="s">
        <v>541</v>
      </c>
      <c r="V73" s="415"/>
      <c r="W73" s="99"/>
    </row>
    <row r="74" spans="2:32" ht="27" customHeight="1" thickBot="1" x14ac:dyDescent="0.5">
      <c r="B74" s="281" t="s">
        <v>145</v>
      </c>
      <c r="C74" s="413" t="s">
        <v>552</v>
      </c>
      <c r="D74" s="393"/>
      <c r="E74" s="393"/>
      <c r="F74" s="393"/>
      <c r="G74" s="393"/>
      <c r="H74" s="393" t="s">
        <v>557</v>
      </c>
      <c r="I74" s="393"/>
      <c r="J74" s="393"/>
      <c r="K74" s="393"/>
      <c r="L74" s="393"/>
      <c r="M74" s="393"/>
      <c r="N74" s="393"/>
      <c r="O74" s="393" t="s">
        <v>553</v>
      </c>
      <c r="P74" s="393"/>
      <c r="Q74" s="393"/>
      <c r="R74" s="393"/>
      <c r="S74" s="393"/>
      <c r="T74" s="393"/>
      <c r="U74" s="415" t="s">
        <v>541</v>
      </c>
      <c r="V74" s="415"/>
      <c r="W74" s="99"/>
    </row>
    <row r="75" spans="2:32" ht="27" customHeight="1" thickTop="1" x14ac:dyDescent="0.45">
      <c r="B75" s="278" t="s">
        <v>146</v>
      </c>
      <c r="C75" s="390"/>
      <c r="D75" s="390"/>
      <c r="E75" s="390"/>
      <c r="F75" s="390"/>
      <c r="G75" s="390"/>
      <c r="H75" s="390"/>
      <c r="I75" s="390"/>
      <c r="J75" s="390"/>
      <c r="K75" s="390"/>
      <c r="L75" s="390"/>
      <c r="M75" s="390"/>
      <c r="N75" s="390"/>
      <c r="O75" s="390"/>
      <c r="P75" s="390"/>
      <c r="Q75" s="390"/>
      <c r="R75" s="390"/>
      <c r="S75" s="390"/>
      <c r="T75" s="390"/>
      <c r="U75" s="390"/>
      <c r="V75" s="390"/>
      <c r="W75" s="99"/>
    </row>
    <row r="76" spans="2:32" ht="27" customHeight="1" x14ac:dyDescent="0.45">
      <c r="B76" s="80" t="s">
        <v>147</v>
      </c>
      <c r="C76" s="390"/>
      <c r="D76" s="390"/>
      <c r="E76" s="390"/>
      <c r="F76" s="390"/>
      <c r="G76" s="390"/>
      <c r="H76" s="390"/>
      <c r="I76" s="390"/>
      <c r="J76" s="390"/>
      <c r="K76" s="390"/>
      <c r="L76" s="390"/>
      <c r="M76" s="390"/>
      <c r="N76" s="390"/>
      <c r="O76" s="390"/>
      <c r="P76" s="390"/>
      <c r="Q76" s="390"/>
      <c r="R76" s="390"/>
      <c r="S76" s="390"/>
      <c r="T76" s="390"/>
      <c r="U76" s="390"/>
      <c r="V76" s="390"/>
      <c r="W76" s="99"/>
    </row>
    <row r="77" spans="2:32" ht="27" customHeight="1" x14ac:dyDescent="0.45">
      <c r="B77" s="80" t="s">
        <v>148</v>
      </c>
      <c r="C77" s="390"/>
      <c r="D77" s="390"/>
      <c r="E77" s="390"/>
      <c r="F77" s="390"/>
      <c r="G77" s="390"/>
      <c r="H77" s="390"/>
      <c r="I77" s="390"/>
      <c r="J77" s="390"/>
      <c r="K77" s="390"/>
      <c r="L77" s="390"/>
      <c r="M77" s="390"/>
      <c r="N77" s="390"/>
      <c r="O77" s="390"/>
      <c r="P77" s="390"/>
      <c r="Q77" s="390"/>
      <c r="R77" s="390"/>
      <c r="S77" s="390"/>
      <c r="T77" s="390"/>
      <c r="U77" s="390"/>
      <c r="V77" s="390"/>
      <c r="W77" s="99"/>
    </row>
    <row r="78" spans="2:32" ht="27" customHeight="1" x14ac:dyDescent="0.45">
      <c r="B78" s="80" t="s">
        <v>149</v>
      </c>
      <c r="C78" s="390"/>
      <c r="D78" s="390"/>
      <c r="E78" s="390"/>
      <c r="F78" s="390"/>
      <c r="G78" s="390"/>
      <c r="H78" s="390"/>
      <c r="I78" s="390"/>
      <c r="J78" s="390"/>
      <c r="K78" s="390"/>
      <c r="L78" s="390"/>
      <c r="M78" s="390"/>
      <c r="N78" s="390"/>
      <c r="O78" s="390"/>
      <c r="P78" s="390"/>
      <c r="Q78" s="390"/>
      <c r="R78" s="390"/>
      <c r="S78" s="390"/>
      <c r="T78" s="390"/>
      <c r="U78" s="390"/>
      <c r="V78" s="390"/>
      <c r="W78" s="99"/>
    </row>
    <row r="79" spans="2:32" ht="27" customHeight="1" x14ac:dyDescent="0.45">
      <c r="B79" s="80" t="s">
        <v>150</v>
      </c>
      <c r="C79" s="390"/>
      <c r="D79" s="390"/>
      <c r="E79" s="390"/>
      <c r="F79" s="390"/>
      <c r="G79" s="390"/>
      <c r="H79" s="390"/>
      <c r="I79" s="390"/>
      <c r="J79" s="390"/>
      <c r="K79" s="390"/>
      <c r="L79" s="390"/>
      <c r="M79" s="390"/>
      <c r="N79" s="390"/>
      <c r="O79" s="390"/>
      <c r="P79" s="390"/>
      <c r="Q79" s="390"/>
      <c r="R79" s="390"/>
      <c r="S79" s="390"/>
      <c r="T79" s="390"/>
      <c r="U79" s="390"/>
      <c r="V79" s="390"/>
      <c r="W79" s="99"/>
    </row>
    <row r="80" spans="2:32" ht="27" customHeight="1" x14ac:dyDescent="0.45">
      <c r="B80" s="80" t="s">
        <v>151</v>
      </c>
      <c r="C80" s="390"/>
      <c r="D80" s="390"/>
      <c r="E80" s="390"/>
      <c r="F80" s="390"/>
      <c r="G80" s="390"/>
      <c r="H80" s="390"/>
      <c r="I80" s="390"/>
      <c r="J80" s="390"/>
      <c r="K80" s="390"/>
      <c r="L80" s="390"/>
      <c r="M80" s="390"/>
      <c r="N80" s="390"/>
      <c r="O80" s="390"/>
      <c r="P80" s="390"/>
      <c r="Q80" s="390"/>
      <c r="R80" s="390"/>
      <c r="S80" s="390"/>
      <c r="T80" s="390"/>
      <c r="U80" s="390"/>
      <c r="V80" s="390"/>
      <c r="W80" s="99"/>
    </row>
    <row r="81" spans="2:24" ht="27" customHeight="1" x14ac:dyDescent="0.45">
      <c r="B81" s="80" t="s">
        <v>346</v>
      </c>
      <c r="C81" s="390"/>
      <c r="D81" s="390"/>
      <c r="E81" s="390"/>
      <c r="F81" s="390"/>
      <c r="G81" s="390"/>
      <c r="H81" s="390"/>
      <c r="I81" s="390"/>
      <c r="J81" s="390"/>
      <c r="K81" s="390"/>
      <c r="L81" s="390"/>
      <c r="M81" s="390"/>
      <c r="N81" s="390"/>
      <c r="O81" s="390"/>
      <c r="P81" s="390"/>
      <c r="Q81" s="390"/>
      <c r="R81" s="390"/>
      <c r="S81" s="390"/>
      <c r="T81" s="390"/>
      <c r="U81" s="390"/>
      <c r="V81" s="390"/>
      <c r="W81" s="99"/>
    </row>
    <row r="82" spans="2:24" ht="27" customHeight="1" x14ac:dyDescent="0.45">
      <c r="B82" s="80" t="s">
        <v>152</v>
      </c>
      <c r="C82" s="390"/>
      <c r="D82" s="390"/>
      <c r="E82" s="390"/>
      <c r="F82" s="390"/>
      <c r="G82" s="390"/>
      <c r="H82" s="390"/>
      <c r="I82" s="390"/>
      <c r="J82" s="390"/>
      <c r="K82" s="390"/>
      <c r="L82" s="390"/>
      <c r="M82" s="390"/>
      <c r="N82" s="390"/>
      <c r="O82" s="390"/>
      <c r="P82" s="390"/>
      <c r="Q82" s="390"/>
      <c r="R82" s="390"/>
      <c r="S82" s="390"/>
      <c r="T82" s="390"/>
      <c r="U82" s="390"/>
      <c r="V82" s="390"/>
      <c r="W82" s="99"/>
    </row>
    <row r="83" spans="2:24" ht="27" customHeight="1" x14ac:dyDescent="0.45">
      <c r="B83" s="80" t="s">
        <v>153</v>
      </c>
      <c r="C83" s="390"/>
      <c r="D83" s="390"/>
      <c r="E83" s="390"/>
      <c r="F83" s="390"/>
      <c r="G83" s="390"/>
      <c r="H83" s="390"/>
      <c r="I83" s="390"/>
      <c r="J83" s="390"/>
      <c r="K83" s="390"/>
      <c r="L83" s="390"/>
      <c r="M83" s="390"/>
      <c r="N83" s="390"/>
      <c r="O83" s="390"/>
      <c r="P83" s="390"/>
      <c r="Q83" s="390"/>
      <c r="R83" s="390"/>
      <c r="S83" s="390"/>
      <c r="T83" s="390"/>
      <c r="U83" s="390"/>
      <c r="V83" s="390"/>
      <c r="W83" s="99"/>
    </row>
    <row r="84" spans="2:24" ht="27" customHeight="1" x14ac:dyDescent="0.45">
      <c r="B84" s="80" t="s">
        <v>154</v>
      </c>
      <c r="C84" s="390"/>
      <c r="D84" s="390"/>
      <c r="E84" s="390"/>
      <c r="F84" s="390"/>
      <c r="G84" s="390"/>
      <c r="H84" s="390"/>
      <c r="I84" s="390"/>
      <c r="J84" s="390"/>
      <c r="K84" s="390"/>
      <c r="L84" s="390"/>
      <c r="M84" s="390"/>
      <c r="N84" s="390"/>
      <c r="O84" s="390"/>
      <c r="P84" s="390"/>
      <c r="Q84" s="390"/>
      <c r="R84" s="390"/>
      <c r="S84" s="390"/>
      <c r="T84" s="390"/>
      <c r="U84" s="390"/>
      <c r="V84" s="390"/>
      <c r="W84" s="99"/>
    </row>
    <row r="85" spans="2:24" ht="27" customHeight="1" x14ac:dyDescent="0.45">
      <c r="B85" s="80" t="s">
        <v>155</v>
      </c>
      <c r="C85" s="390"/>
      <c r="D85" s="390"/>
      <c r="E85" s="390"/>
      <c r="F85" s="390"/>
      <c r="G85" s="390"/>
      <c r="H85" s="390"/>
      <c r="I85" s="390"/>
      <c r="J85" s="390"/>
      <c r="K85" s="390"/>
      <c r="L85" s="390"/>
      <c r="M85" s="390"/>
      <c r="N85" s="390"/>
      <c r="O85" s="390"/>
      <c r="P85" s="390"/>
      <c r="Q85" s="390"/>
      <c r="R85" s="390"/>
      <c r="S85" s="390"/>
      <c r="T85" s="390"/>
      <c r="U85" s="390"/>
      <c r="V85" s="390"/>
      <c r="W85" s="99"/>
    </row>
    <row r="86" spans="2:24" ht="27" customHeight="1" x14ac:dyDescent="0.45">
      <c r="B86" s="80" t="s">
        <v>156</v>
      </c>
      <c r="C86" s="390"/>
      <c r="D86" s="390"/>
      <c r="E86" s="390"/>
      <c r="F86" s="390"/>
      <c r="G86" s="390"/>
      <c r="H86" s="390"/>
      <c r="I86" s="390"/>
      <c r="J86" s="390"/>
      <c r="K86" s="390"/>
      <c r="L86" s="390"/>
      <c r="M86" s="390"/>
      <c r="N86" s="390"/>
      <c r="O86" s="390"/>
      <c r="P86" s="390"/>
      <c r="Q86" s="390"/>
      <c r="R86" s="390"/>
      <c r="S86" s="390"/>
      <c r="T86" s="390"/>
      <c r="U86" s="390"/>
      <c r="V86" s="390"/>
      <c r="W86" s="99"/>
    </row>
    <row r="87" spans="2:24" ht="27" customHeight="1" x14ac:dyDescent="0.45">
      <c r="B87" s="80" t="s">
        <v>157</v>
      </c>
      <c r="C87" s="390"/>
      <c r="D87" s="390"/>
      <c r="E87" s="390"/>
      <c r="F87" s="390"/>
      <c r="G87" s="390"/>
      <c r="H87" s="390"/>
      <c r="I87" s="390"/>
      <c r="J87" s="390"/>
      <c r="K87" s="390"/>
      <c r="L87" s="390"/>
      <c r="M87" s="390"/>
      <c r="N87" s="390"/>
      <c r="O87" s="390"/>
      <c r="P87" s="390"/>
      <c r="Q87" s="390"/>
      <c r="R87" s="390"/>
      <c r="S87" s="390"/>
      <c r="T87" s="390"/>
      <c r="U87" s="390"/>
      <c r="V87" s="390"/>
      <c r="W87" s="99"/>
    </row>
    <row r="88" spans="2:24" ht="27" customHeight="1" x14ac:dyDescent="0.45">
      <c r="B88" s="80" t="s">
        <v>158</v>
      </c>
      <c r="C88" s="390"/>
      <c r="D88" s="390"/>
      <c r="E88" s="390"/>
      <c r="F88" s="390"/>
      <c r="G88" s="390"/>
      <c r="H88" s="390"/>
      <c r="I88" s="390"/>
      <c r="J88" s="390"/>
      <c r="K88" s="390"/>
      <c r="L88" s="390"/>
      <c r="M88" s="390"/>
      <c r="N88" s="390"/>
      <c r="O88" s="390"/>
      <c r="P88" s="390"/>
      <c r="Q88" s="390"/>
      <c r="R88" s="390"/>
      <c r="S88" s="390"/>
      <c r="T88" s="390"/>
      <c r="U88" s="390"/>
      <c r="V88" s="390"/>
      <c r="W88" s="99"/>
    </row>
    <row r="89" spans="2:24" ht="27" customHeight="1" x14ac:dyDescent="0.45">
      <c r="B89" s="80" t="s">
        <v>159</v>
      </c>
      <c r="C89" s="390"/>
      <c r="D89" s="390"/>
      <c r="E89" s="390"/>
      <c r="F89" s="390"/>
      <c r="G89" s="390"/>
      <c r="H89" s="390"/>
      <c r="I89" s="390"/>
      <c r="J89" s="390"/>
      <c r="K89" s="390"/>
      <c r="L89" s="390"/>
      <c r="M89" s="390"/>
      <c r="N89" s="390"/>
      <c r="O89" s="390"/>
      <c r="P89" s="390"/>
      <c r="Q89" s="390"/>
      <c r="R89" s="390"/>
      <c r="S89" s="390"/>
      <c r="T89" s="390"/>
      <c r="U89" s="390"/>
      <c r="V89" s="390"/>
      <c r="W89" s="99"/>
    </row>
    <row r="90" spans="2:24" ht="27" customHeight="1" x14ac:dyDescent="0.45">
      <c r="B90" s="80" t="s">
        <v>160</v>
      </c>
      <c r="C90" s="416"/>
      <c r="D90" s="416"/>
      <c r="E90" s="416"/>
      <c r="F90" s="416"/>
      <c r="G90" s="416"/>
      <c r="H90" s="416"/>
      <c r="I90" s="416"/>
      <c r="J90" s="416"/>
      <c r="K90" s="416"/>
      <c r="L90" s="416"/>
      <c r="M90" s="416"/>
      <c r="N90" s="416"/>
      <c r="O90" s="416"/>
      <c r="P90" s="416"/>
      <c r="Q90" s="416"/>
      <c r="R90" s="416"/>
      <c r="S90" s="416"/>
      <c r="T90" s="416"/>
      <c r="U90" s="416"/>
      <c r="V90" s="416"/>
      <c r="W90" s="99"/>
    </row>
    <row r="91" spans="2:24" ht="20.25" thickBot="1" x14ac:dyDescent="0.5">
      <c r="B91" s="212"/>
      <c r="C91" s="150"/>
      <c r="D91" s="150"/>
      <c r="E91" s="150"/>
      <c r="F91" s="150"/>
      <c r="G91" s="150"/>
      <c r="H91" s="150"/>
      <c r="I91" s="151"/>
      <c r="J91" s="151"/>
      <c r="K91" s="151"/>
      <c r="L91" s="151"/>
      <c r="M91" s="139"/>
      <c r="N91" s="147"/>
      <c r="O91" s="147"/>
      <c r="P91" s="147"/>
      <c r="Q91" s="147"/>
      <c r="R91" s="147"/>
      <c r="S91" s="147"/>
      <c r="T91" s="147"/>
      <c r="U91" s="147"/>
      <c r="V91" s="147"/>
      <c r="W91" s="147"/>
    </row>
    <row r="92" spans="2:24" ht="27" customHeight="1" thickTop="1" x14ac:dyDescent="0.45">
      <c r="B92" s="285" t="s">
        <v>181</v>
      </c>
      <c r="C92" s="408" t="s">
        <v>123</v>
      </c>
      <c r="D92" s="409"/>
      <c r="E92" s="409"/>
      <c r="F92" s="409"/>
      <c r="G92" s="409"/>
      <c r="H92" s="410" t="s">
        <v>124</v>
      </c>
      <c r="I92" s="410"/>
      <c r="J92" s="410"/>
      <c r="K92" s="410"/>
      <c r="L92" s="410"/>
      <c r="M92" s="410"/>
      <c r="N92" s="410"/>
      <c r="O92" s="407" t="s">
        <v>2</v>
      </c>
      <c r="P92" s="407"/>
      <c r="Q92" s="407"/>
      <c r="R92" s="407"/>
      <c r="S92" s="407"/>
      <c r="T92" s="407"/>
      <c r="U92" s="405" t="s">
        <v>179</v>
      </c>
      <c r="V92" s="406"/>
      <c r="W92" s="405" t="s">
        <v>198</v>
      </c>
      <c r="X92" s="406"/>
    </row>
    <row r="93" spans="2:24" ht="27" customHeight="1" x14ac:dyDescent="0.45">
      <c r="B93" s="286" t="s">
        <v>283</v>
      </c>
      <c r="C93" s="411" t="s">
        <v>537</v>
      </c>
      <c r="D93" s="412"/>
      <c r="E93" s="412"/>
      <c r="F93" s="412"/>
      <c r="G93" s="412"/>
      <c r="H93" s="412" t="s">
        <v>542</v>
      </c>
      <c r="I93" s="412"/>
      <c r="J93" s="412"/>
      <c r="K93" s="412"/>
      <c r="L93" s="412"/>
      <c r="M93" s="412"/>
      <c r="N93" s="412"/>
      <c r="O93" s="412" t="s">
        <v>543</v>
      </c>
      <c r="P93" s="412"/>
      <c r="Q93" s="412"/>
      <c r="R93" s="412"/>
      <c r="S93" s="412"/>
      <c r="T93" s="412"/>
      <c r="U93" s="412" t="s">
        <v>541</v>
      </c>
      <c r="V93" s="412"/>
      <c r="W93" s="417"/>
      <c r="X93" s="418"/>
    </row>
    <row r="94" spans="2:24" ht="27" customHeight="1" x14ac:dyDescent="0.45">
      <c r="B94" s="287" t="s">
        <v>284</v>
      </c>
      <c r="C94" s="413" t="s">
        <v>551</v>
      </c>
      <c r="D94" s="393"/>
      <c r="E94" s="393"/>
      <c r="F94" s="393"/>
      <c r="G94" s="393"/>
      <c r="H94" s="393" t="s">
        <v>560</v>
      </c>
      <c r="I94" s="393"/>
      <c r="J94" s="393"/>
      <c r="K94" s="393"/>
      <c r="L94" s="393"/>
      <c r="M94" s="393"/>
      <c r="N94" s="393"/>
      <c r="O94" s="393" t="s">
        <v>567</v>
      </c>
      <c r="P94" s="393"/>
      <c r="Q94" s="393"/>
      <c r="R94" s="393"/>
      <c r="S94" s="393"/>
      <c r="T94" s="393"/>
      <c r="U94" s="393" t="s">
        <v>541</v>
      </c>
      <c r="V94" s="393"/>
      <c r="W94" s="419"/>
      <c r="X94" s="420"/>
    </row>
    <row r="95" spans="2:24" ht="27" customHeight="1" x14ac:dyDescent="0.45">
      <c r="B95" s="287" t="s">
        <v>285</v>
      </c>
      <c r="C95" s="413" t="s">
        <v>562</v>
      </c>
      <c r="D95" s="393"/>
      <c r="E95" s="393"/>
      <c r="F95" s="393"/>
      <c r="G95" s="393"/>
      <c r="H95" s="393" t="s">
        <v>561</v>
      </c>
      <c r="I95" s="393"/>
      <c r="J95" s="393"/>
      <c r="K95" s="393"/>
      <c r="L95" s="393"/>
      <c r="M95" s="393"/>
      <c r="N95" s="393"/>
      <c r="O95" s="393" t="s">
        <v>568</v>
      </c>
      <c r="P95" s="393"/>
      <c r="Q95" s="393"/>
      <c r="R95" s="393"/>
      <c r="S95" s="393"/>
      <c r="T95" s="393"/>
      <c r="U95" s="393" t="s">
        <v>541</v>
      </c>
      <c r="V95" s="393"/>
      <c r="W95" s="419"/>
      <c r="X95" s="420"/>
    </row>
    <row r="96" spans="2:24" ht="27" customHeight="1" x14ac:dyDescent="0.45">
      <c r="B96" s="287" t="s">
        <v>286</v>
      </c>
      <c r="C96" s="413" t="s">
        <v>563</v>
      </c>
      <c r="D96" s="393"/>
      <c r="E96" s="393"/>
      <c r="F96" s="393"/>
      <c r="G96" s="393"/>
      <c r="H96" s="393" t="s">
        <v>564</v>
      </c>
      <c r="I96" s="393"/>
      <c r="J96" s="393"/>
      <c r="K96" s="393"/>
      <c r="L96" s="393"/>
      <c r="M96" s="393"/>
      <c r="N96" s="393"/>
      <c r="O96" s="393" t="s">
        <v>544</v>
      </c>
      <c r="P96" s="393"/>
      <c r="Q96" s="393"/>
      <c r="R96" s="393"/>
      <c r="S96" s="393"/>
      <c r="T96" s="393"/>
      <c r="U96" s="393" t="s">
        <v>546</v>
      </c>
      <c r="V96" s="393"/>
      <c r="W96" s="419"/>
      <c r="X96" s="420"/>
    </row>
    <row r="97" spans="2:24" ht="27" customHeight="1" x14ac:dyDescent="0.45">
      <c r="B97" s="331" t="s">
        <v>287</v>
      </c>
      <c r="C97" s="413" t="s">
        <v>565</v>
      </c>
      <c r="D97" s="393"/>
      <c r="E97" s="393"/>
      <c r="F97" s="393"/>
      <c r="G97" s="393"/>
      <c r="H97" s="393" t="s">
        <v>566</v>
      </c>
      <c r="I97" s="393"/>
      <c r="J97" s="393"/>
      <c r="K97" s="393"/>
      <c r="L97" s="393"/>
      <c r="M97" s="393"/>
      <c r="N97" s="393"/>
      <c r="O97" s="393" t="s">
        <v>545</v>
      </c>
      <c r="P97" s="393"/>
      <c r="Q97" s="393"/>
      <c r="R97" s="393"/>
      <c r="S97" s="393"/>
      <c r="T97" s="393"/>
      <c r="U97" s="393" t="s">
        <v>546</v>
      </c>
      <c r="V97" s="393"/>
      <c r="W97" s="419"/>
      <c r="X97" s="420"/>
    </row>
    <row r="98" spans="2:24" ht="27" customHeight="1" thickBot="1" x14ac:dyDescent="0.5">
      <c r="B98" s="332" t="s">
        <v>288</v>
      </c>
      <c r="C98" s="413" t="s">
        <v>559</v>
      </c>
      <c r="D98" s="393"/>
      <c r="E98" s="393"/>
      <c r="F98" s="393"/>
      <c r="G98" s="393"/>
      <c r="H98" s="393" t="s">
        <v>557</v>
      </c>
      <c r="I98" s="393"/>
      <c r="J98" s="393"/>
      <c r="K98" s="393"/>
      <c r="L98" s="393"/>
      <c r="M98" s="393"/>
      <c r="N98" s="393"/>
      <c r="O98" s="393" t="s">
        <v>553</v>
      </c>
      <c r="P98" s="393"/>
      <c r="Q98" s="393"/>
      <c r="R98" s="393"/>
      <c r="S98" s="393"/>
      <c r="T98" s="393"/>
      <c r="U98" s="415" t="s">
        <v>541</v>
      </c>
      <c r="V98" s="415"/>
      <c r="W98" s="419"/>
      <c r="X98" s="420"/>
    </row>
    <row r="99" spans="2:24" ht="27" customHeight="1" thickTop="1" x14ac:dyDescent="0.45">
      <c r="B99" s="284" t="s">
        <v>289</v>
      </c>
      <c r="C99" s="390"/>
      <c r="D99" s="390"/>
      <c r="E99" s="390"/>
      <c r="F99" s="390"/>
      <c r="G99" s="390"/>
      <c r="H99" s="390"/>
      <c r="I99" s="390"/>
      <c r="J99" s="390"/>
      <c r="K99" s="390"/>
      <c r="L99" s="390"/>
      <c r="M99" s="390"/>
      <c r="N99" s="390"/>
      <c r="O99" s="390"/>
      <c r="P99" s="390"/>
      <c r="Q99" s="390"/>
      <c r="R99" s="390"/>
      <c r="S99" s="390"/>
      <c r="T99" s="390"/>
      <c r="U99" s="390"/>
      <c r="V99" s="390"/>
      <c r="W99" s="419"/>
      <c r="X99" s="420"/>
    </row>
    <row r="100" spans="2:24" ht="27" customHeight="1" x14ac:dyDescent="0.45">
      <c r="B100" s="142" t="s">
        <v>290</v>
      </c>
      <c r="C100" s="390"/>
      <c r="D100" s="390"/>
      <c r="E100" s="390"/>
      <c r="F100" s="390"/>
      <c r="G100" s="390"/>
      <c r="H100" s="390"/>
      <c r="I100" s="390"/>
      <c r="J100" s="390"/>
      <c r="K100" s="390"/>
      <c r="L100" s="390"/>
      <c r="M100" s="390"/>
      <c r="N100" s="390"/>
      <c r="O100" s="390"/>
      <c r="P100" s="390"/>
      <c r="Q100" s="390"/>
      <c r="R100" s="390"/>
      <c r="S100" s="390"/>
      <c r="T100" s="390"/>
      <c r="U100" s="390"/>
      <c r="V100" s="390"/>
      <c r="W100" s="419"/>
      <c r="X100" s="420"/>
    </row>
    <row r="101" spans="2:24" ht="27" customHeight="1" x14ac:dyDescent="0.45">
      <c r="B101" s="142" t="s">
        <v>291</v>
      </c>
      <c r="C101" s="390"/>
      <c r="D101" s="390"/>
      <c r="E101" s="390"/>
      <c r="F101" s="390"/>
      <c r="G101" s="390"/>
      <c r="H101" s="390"/>
      <c r="I101" s="390"/>
      <c r="J101" s="390"/>
      <c r="K101" s="390"/>
      <c r="L101" s="390"/>
      <c r="M101" s="390"/>
      <c r="N101" s="390"/>
      <c r="O101" s="390"/>
      <c r="P101" s="390"/>
      <c r="Q101" s="390"/>
      <c r="R101" s="390"/>
      <c r="S101" s="390"/>
      <c r="T101" s="390"/>
      <c r="U101" s="390"/>
      <c r="V101" s="390"/>
      <c r="W101" s="419"/>
      <c r="X101" s="420"/>
    </row>
    <row r="102" spans="2:24" ht="27" customHeight="1" x14ac:dyDescent="0.45">
      <c r="B102" s="142" t="s">
        <v>292</v>
      </c>
      <c r="C102" s="390"/>
      <c r="D102" s="390"/>
      <c r="E102" s="390"/>
      <c r="F102" s="390"/>
      <c r="G102" s="390"/>
      <c r="H102" s="390"/>
      <c r="I102" s="390"/>
      <c r="J102" s="390"/>
      <c r="K102" s="390"/>
      <c r="L102" s="390"/>
      <c r="M102" s="390"/>
      <c r="N102" s="390"/>
      <c r="O102" s="390"/>
      <c r="P102" s="390"/>
      <c r="Q102" s="390"/>
      <c r="R102" s="390"/>
      <c r="S102" s="390"/>
      <c r="T102" s="390"/>
      <c r="U102" s="390"/>
      <c r="V102" s="390"/>
      <c r="W102" s="419"/>
      <c r="X102" s="420"/>
    </row>
    <row r="103" spans="2:24" ht="27" customHeight="1" x14ac:dyDescent="0.45">
      <c r="B103" s="142" t="s">
        <v>347</v>
      </c>
      <c r="C103" s="390"/>
      <c r="D103" s="390"/>
      <c r="E103" s="390"/>
      <c r="F103" s="390"/>
      <c r="G103" s="390"/>
      <c r="H103" s="390"/>
      <c r="I103" s="390"/>
      <c r="J103" s="390"/>
      <c r="K103" s="390"/>
      <c r="L103" s="390"/>
      <c r="M103" s="390"/>
      <c r="N103" s="390"/>
      <c r="O103" s="390"/>
      <c r="P103" s="390"/>
      <c r="Q103" s="390"/>
      <c r="R103" s="390"/>
      <c r="S103" s="390"/>
      <c r="T103" s="390"/>
      <c r="U103" s="390"/>
      <c r="V103" s="390"/>
      <c r="W103" s="419"/>
      <c r="X103" s="420"/>
    </row>
    <row r="104" spans="2:24" ht="27" customHeight="1" x14ac:dyDescent="0.45">
      <c r="B104" s="142" t="s">
        <v>348</v>
      </c>
      <c r="C104" s="390"/>
      <c r="D104" s="390"/>
      <c r="E104" s="390"/>
      <c r="F104" s="390"/>
      <c r="G104" s="390"/>
      <c r="H104" s="390"/>
      <c r="I104" s="390"/>
      <c r="J104" s="390"/>
      <c r="K104" s="390"/>
      <c r="L104" s="390"/>
      <c r="M104" s="390"/>
      <c r="N104" s="390"/>
      <c r="O104" s="390"/>
      <c r="P104" s="390"/>
      <c r="Q104" s="390"/>
      <c r="R104" s="390"/>
      <c r="S104" s="390"/>
      <c r="T104" s="390"/>
      <c r="U104" s="390"/>
      <c r="V104" s="390"/>
      <c r="W104" s="419"/>
      <c r="X104" s="420"/>
    </row>
    <row r="105" spans="2:24" ht="27" customHeight="1" x14ac:dyDescent="0.45">
      <c r="B105" s="142" t="s">
        <v>349</v>
      </c>
      <c r="C105" s="390"/>
      <c r="D105" s="390"/>
      <c r="E105" s="390"/>
      <c r="F105" s="390"/>
      <c r="G105" s="390"/>
      <c r="H105" s="390"/>
      <c r="I105" s="390"/>
      <c r="J105" s="390"/>
      <c r="K105" s="390"/>
      <c r="L105" s="390"/>
      <c r="M105" s="390"/>
      <c r="N105" s="390"/>
      <c r="O105" s="390"/>
      <c r="P105" s="390"/>
      <c r="Q105" s="390"/>
      <c r="R105" s="390"/>
      <c r="S105" s="390"/>
      <c r="T105" s="390"/>
      <c r="U105" s="390"/>
      <c r="V105" s="390"/>
      <c r="W105" s="419"/>
      <c r="X105" s="420"/>
    </row>
    <row r="106" spans="2:24" ht="27" customHeight="1" x14ac:dyDescent="0.45">
      <c r="B106" s="142" t="s">
        <v>350</v>
      </c>
      <c r="C106" s="390"/>
      <c r="D106" s="390"/>
      <c r="E106" s="390"/>
      <c r="F106" s="390"/>
      <c r="G106" s="390"/>
      <c r="H106" s="390"/>
      <c r="I106" s="390"/>
      <c r="J106" s="390"/>
      <c r="K106" s="390"/>
      <c r="L106" s="390"/>
      <c r="M106" s="390"/>
      <c r="N106" s="390"/>
      <c r="O106" s="390"/>
      <c r="P106" s="390"/>
      <c r="Q106" s="390"/>
      <c r="R106" s="390"/>
      <c r="S106" s="390"/>
      <c r="T106" s="390"/>
      <c r="U106" s="390"/>
      <c r="V106" s="390"/>
      <c r="W106" s="419"/>
      <c r="X106" s="420"/>
    </row>
    <row r="107" spans="2:24" ht="27" customHeight="1" x14ac:dyDescent="0.45">
      <c r="B107" s="142" t="s">
        <v>351</v>
      </c>
      <c r="C107" s="390"/>
      <c r="D107" s="390"/>
      <c r="E107" s="390"/>
      <c r="F107" s="390"/>
      <c r="G107" s="390"/>
      <c r="H107" s="390"/>
      <c r="I107" s="390"/>
      <c r="J107" s="390"/>
      <c r="K107" s="390"/>
      <c r="L107" s="390"/>
      <c r="M107" s="390"/>
      <c r="N107" s="390"/>
      <c r="O107" s="390"/>
      <c r="P107" s="390"/>
      <c r="Q107" s="390"/>
      <c r="R107" s="390"/>
      <c r="S107" s="390"/>
      <c r="T107" s="390"/>
      <c r="U107" s="390"/>
      <c r="V107" s="390"/>
      <c r="W107" s="419"/>
      <c r="X107" s="420"/>
    </row>
    <row r="108" spans="2:24" ht="27" customHeight="1" x14ac:dyDescent="0.45">
      <c r="B108" s="142" t="s">
        <v>352</v>
      </c>
      <c r="C108" s="390"/>
      <c r="D108" s="390"/>
      <c r="E108" s="390"/>
      <c r="F108" s="390"/>
      <c r="G108" s="390"/>
      <c r="H108" s="390"/>
      <c r="I108" s="390"/>
      <c r="J108" s="390"/>
      <c r="K108" s="390"/>
      <c r="L108" s="390"/>
      <c r="M108" s="390"/>
      <c r="N108" s="390"/>
      <c r="O108" s="390"/>
      <c r="P108" s="390"/>
      <c r="Q108" s="390"/>
      <c r="R108" s="390"/>
      <c r="S108" s="390"/>
      <c r="T108" s="390"/>
      <c r="U108" s="390"/>
      <c r="V108" s="390"/>
      <c r="W108" s="419"/>
      <c r="X108" s="420"/>
    </row>
    <row r="109" spans="2:24" ht="27" customHeight="1" x14ac:dyDescent="0.45">
      <c r="B109" s="142" t="s">
        <v>353</v>
      </c>
      <c r="C109" s="390"/>
      <c r="D109" s="390"/>
      <c r="E109" s="390"/>
      <c r="F109" s="390"/>
      <c r="G109" s="390"/>
      <c r="H109" s="390"/>
      <c r="I109" s="390"/>
      <c r="J109" s="390"/>
      <c r="K109" s="390"/>
      <c r="L109" s="390"/>
      <c r="M109" s="390"/>
      <c r="N109" s="390"/>
      <c r="O109" s="390"/>
      <c r="P109" s="390"/>
      <c r="Q109" s="390"/>
      <c r="R109" s="390"/>
      <c r="S109" s="390"/>
      <c r="T109" s="390"/>
      <c r="U109" s="390"/>
      <c r="V109" s="390"/>
      <c r="W109" s="419"/>
      <c r="X109" s="420"/>
    </row>
    <row r="110" spans="2:24" ht="27" customHeight="1" x14ac:dyDescent="0.45">
      <c r="B110" s="142" t="s">
        <v>354</v>
      </c>
      <c r="C110" s="390"/>
      <c r="D110" s="390"/>
      <c r="E110" s="390"/>
      <c r="F110" s="390"/>
      <c r="G110" s="390"/>
      <c r="H110" s="390"/>
      <c r="I110" s="390"/>
      <c r="J110" s="390"/>
      <c r="K110" s="390"/>
      <c r="L110" s="390"/>
      <c r="M110" s="390"/>
      <c r="N110" s="390"/>
      <c r="O110" s="390"/>
      <c r="P110" s="390"/>
      <c r="Q110" s="390"/>
      <c r="R110" s="390"/>
      <c r="S110" s="390"/>
      <c r="T110" s="390"/>
      <c r="U110" s="390"/>
      <c r="V110" s="390"/>
      <c r="W110" s="419"/>
      <c r="X110" s="420"/>
    </row>
    <row r="111" spans="2:24" ht="27" customHeight="1" x14ac:dyDescent="0.45">
      <c r="B111" s="142" t="s">
        <v>355</v>
      </c>
      <c r="C111" s="390"/>
      <c r="D111" s="390"/>
      <c r="E111" s="390"/>
      <c r="F111" s="390"/>
      <c r="G111" s="390"/>
      <c r="H111" s="390"/>
      <c r="I111" s="390"/>
      <c r="J111" s="390"/>
      <c r="K111" s="390"/>
      <c r="L111" s="390"/>
      <c r="M111" s="390"/>
      <c r="N111" s="390"/>
      <c r="O111" s="390"/>
      <c r="P111" s="390"/>
      <c r="Q111" s="390"/>
      <c r="R111" s="390"/>
      <c r="S111" s="390"/>
      <c r="T111" s="390"/>
      <c r="U111" s="390"/>
      <c r="V111" s="390"/>
      <c r="W111" s="419"/>
      <c r="X111" s="420"/>
    </row>
    <row r="112" spans="2:24" ht="27" customHeight="1" x14ac:dyDescent="0.45">
      <c r="B112" s="143" t="s">
        <v>356</v>
      </c>
      <c r="C112" s="416"/>
      <c r="D112" s="416"/>
      <c r="E112" s="416"/>
      <c r="F112" s="416"/>
      <c r="G112" s="416"/>
      <c r="H112" s="416"/>
      <c r="I112" s="416"/>
      <c r="J112" s="416"/>
      <c r="K112" s="416"/>
      <c r="L112" s="416"/>
      <c r="M112" s="416"/>
      <c r="N112" s="416"/>
      <c r="O112" s="416"/>
      <c r="P112" s="416"/>
      <c r="Q112" s="416"/>
      <c r="R112" s="416"/>
      <c r="S112" s="416"/>
      <c r="T112" s="416"/>
      <c r="U112" s="416"/>
      <c r="V112" s="416"/>
      <c r="W112" s="421"/>
      <c r="X112" s="422"/>
    </row>
    <row r="113" spans="2:27" x14ac:dyDescent="0.45">
      <c r="B113" s="35"/>
      <c r="C113" s="36"/>
    </row>
    <row r="114" spans="2:27" ht="14.25" customHeight="1" thickBot="1" x14ac:dyDescent="0.5">
      <c r="B114" s="36"/>
      <c r="C114" s="36"/>
    </row>
    <row r="115" spans="2:27" ht="36" customHeight="1" thickBot="1" x14ac:dyDescent="0.5">
      <c r="B115" s="428" t="s">
        <v>212</v>
      </c>
      <c r="C115" s="429"/>
      <c r="D115" s="429"/>
      <c r="E115" s="429"/>
      <c r="F115" s="430"/>
      <c r="G115" s="375" t="s">
        <v>534</v>
      </c>
      <c r="H115" s="376"/>
      <c r="M115" s="43"/>
      <c r="N115" s="43"/>
      <c r="O115" s="43"/>
      <c r="P115" s="43"/>
      <c r="Q115" s="43"/>
      <c r="R115" s="43"/>
      <c r="S115" s="43"/>
      <c r="T115" s="43"/>
      <c r="U115" s="43"/>
      <c r="V115" s="43"/>
      <c r="W115" s="43"/>
    </row>
    <row r="116" spans="2:27" ht="27" customHeight="1" x14ac:dyDescent="0.45">
      <c r="B116" s="109" t="str">
        <f>IF(G115="実施を選択","",IF(G115="はい","※「はい」を選択した場合は、【３．空調設備の新旧仕様入力表】に必要事項を入力してください。","※「いいえ」を選択した場合は、【３．空調設備の新旧仕様表】の入力は不要です。"))</f>
        <v>※「はい」を選択した場合は、【３．空調設備の新旧仕様入力表】に必要事項を入力してください。</v>
      </c>
      <c r="C116" s="29"/>
      <c r="M116" s="43"/>
      <c r="N116" s="43"/>
      <c r="O116" s="43"/>
      <c r="P116" s="43"/>
      <c r="Q116" s="43"/>
      <c r="R116" s="43"/>
      <c r="S116" s="43"/>
      <c r="T116" s="43"/>
      <c r="U116" s="43"/>
      <c r="V116" s="43"/>
      <c r="W116" s="43"/>
    </row>
    <row r="117" spans="2:27" ht="8.25" customHeight="1" thickBot="1" x14ac:dyDescent="0.5">
      <c r="B117" s="109"/>
      <c r="C117" s="29"/>
      <c r="M117" s="43"/>
      <c r="N117" s="43"/>
      <c r="O117" s="43"/>
      <c r="P117" s="43"/>
      <c r="Q117" s="43"/>
      <c r="R117" s="43"/>
      <c r="S117" s="43"/>
      <c r="T117" s="43"/>
      <c r="U117" s="43"/>
      <c r="V117" s="43"/>
      <c r="W117" s="43"/>
    </row>
    <row r="118" spans="2:27" ht="42.75" customHeight="1" thickTop="1" thickBot="1" x14ac:dyDescent="0.5">
      <c r="B118" s="28" t="s">
        <v>197</v>
      </c>
      <c r="C118" s="29"/>
      <c r="F118" s="435" t="s">
        <v>255</v>
      </c>
      <c r="G118" s="436"/>
      <c r="H118" s="443" t="str">
        <f>IF($G$115="実施を選択","実施確認：空調設備の更新＜はい＞又は、＜いいえ＞を選択してください。",IF(OR($G$115="いいえ",$G$115="実施を選択"),"",IF(AND(G115="はい",AE139=0),"旧設備について入力してください。",IF(OR(X137="入力確認",X138="入力確認",X139="入力確認"),"旧設備の入力をご確認ください。",IF(AND(G115="はい",AE160=0),"新設備について入力してください。",IF(OR(X158="入力確認",X159="入力確認",X160="入力確認"),"新設備の入力をご確認ください。",IF(AND(G115&lt;&gt;"はい",X132-X153&lt;&gt;0),"実施確認：空調設備の更新＜はい＞を選択してください。",IF(AND(G115="はい",X132-X153&gt;0),"省エネ設備更新の要件を満たしています。","省エネ設備更新の要件を満たしていないため、申請できません。"))))))))</f>
        <v>省エネ設備更新の要件を満たしています。</v>
      </c>
      <c r="I118" s="444"/>
      <c r="J118" s="444"/>
      <c r="K118" s="444"/>
      <c r="L118" s="444"/>
      <c r="M118" s="444"/>
      <c r="N118" s="444"/>
      <c r="O118" s="445"/>
      <c r="P118" s="43"/>
      <c r="Q118" s="43"/>
      <c r="R118" s="43"/>
      <c r="S118" s="43"/>
      <c r="T118" s="43"/>
      <c r="U118" s="43"/>
      <c r="V118" s="43"/>
      <c r="W118" s="43"/>
    </row>
    <row r="119" spans="2:27" ht="9" customHeight="1" thickTop="1" x14ac:dyDescent="0.45">
      <c r="B119" s="28"/>
      <c r="C119" s="29"/>
      <c r="M119" s="43"/>
      <c r="N119" s="43"/>
      <c r="O119" s="43"/>
      <c r="P119" s="43"/>
      <c r="Q119" s="43"/>
      <c r="R119" s="43"/>
      <c r="S119" s="43"/>
      <c r="T119" s="43"/>
      <c r="U119" s="43"/>
      <c r="V119" s="43"/>
      <c r="W119" s="43"/>
    </row>
    <row r="120" spans="2:27" ht="42" customHeight="1" thickBot="1" x14ac:dyDescent="0.5">
      <c r="B120" s="188" t="s">
        <v>509</v>
      </c>
      <c r="C120" s="30"/>
    </row>
    <row r="121" spans="2:27" ht="27" customHeight="1" thickTop="1" thickBot="1" x14ac:dyDescent="0.5">
      <c r="B121" s="401" t="s">
        <v>122</v>
      </c>
      <c r="C121" s="402"/>
      <c r="D121" s="277" t="s">
        <v>293</v>
      </c>
      <c r="E121" s="31" t="s">
        <v>294</v>
      </c>
      <c r="F121" s="31" t="s">
        <v>295</v>
      </c>
      <c r="G121" s="31" t="s">
        <v>296</v>
      </c>
      <c r="H121" s="31" t="s">
        <v>297</v>
      </c>
      <c r="I121" s="31" t="s">
        <v>298</v>
      </c>
      <c r="J121" s="31" t="s">
        <v>299</v>
      </c>
      <c r="K121" s="31" t="s">
        <v>300</v>
      </c>
      <c r="L121" s="31" t="s">
        <v>301</v>
      </c>
      <c r="M121" s="31" t="s">
        <v>302</v>
      </c>
      <c r="N121" s="31" t="s">
        <v>357</v>
      </c>
      <c r="O121" s="31" t="s">
        <v>358</v>
      </c>
      <c r="P121" s="31" t="s">
        <v>359</v>
      </c>
      <c r="Q121" s="31" t="s">
        <v>360</v>
      </c>
      <c r="R121" s="31" t="s">
        <v>361</v>
      </c>
      <c r="S121" s="31" t="s">
        <v>362</v>
      </c>
      <c r="T121" s="31" t="s">
        <v>363</v>
      </c>
      <c r="U121" s="31" t="s">
        <v>364</v>
      </c>
      <c r="V121" s="31" t="s">
        <v>365</v>
      </c>
      <c r="W121" s="31" t="s">
        <v>366</v>
      </c>
      <c r="X121" s="37" t="s">
        <v>0</v>
      </c>
      <c r="Z121" s="79" t="s">
        <v>433</v>
      </c>
      <c r="AA121" s="192"/>
    </row>
    <row r="122" spans="2:27" ht="63" customHeight="1" thickTop="1" thickBot="1" x14ac:dyDescent="0.5">
      <c r="B122" s="388" t="s">
        <v>271</v>
      </c>
      <c r="C122" s="388"/>
      <c r="D122" s="296" t="s">
        <v>14</v>
      </c>
      <c r="E122" s="2"/>
      <c r="F122" s="2"/>
      <c r="G122" s="2"/>
      <c r="H122" s="2"/>
      <c r="I122" s="2"/>
      <c r="J122" s="2"/>
      <c r="K122" s="2"/>
      <c r="L122" s="2"/>
      <c r="M122" s="2"/>
      <c r="N122" s="2"/>
      <c r="O122" s="2"/>
      <c r="P122" s="2"/>
      <c r="Q122" s="2"/>
      <c r="R122" s="2"/>
      <c r="S122" s="2"/>
      <c r="T122" s="2"/>
      <c r="U122" s="2"/>
      <c r="V122" s="2"/>
      <c r="W122" s="2"/>
      <c r="X122" s="32" t="s">
        <v>10</v>
      </c>
      <c r="Z122" s="79" t="s">
        <v>436</v>
      </c>
      <c r="AA122" s="192"/>
    </row>
    <row r="123" spans="2:27" ht="27" customHeight="1" thickBot="1" x14ac:dyDescent="0.5">
      <c r="B123" s="397" t="s">
        <v>3</v>
      </c>
      <c r="C123" s="397"/>
      <c r="D123" s="203">
        <v>1</v>
      </c>
      <c r="E123" s="203"/>
      <c r="F123" s="203"/>
      <c r="G123" s="203"/>
      <c r="H123" s="203"/>
      <c r="I123" s="203"/>
      <c r="J123" s="203"/>
      <c r="K123" s="203"/>
      <c r="L123" s="203"/>
      <c r="M123" s="203"/>
      <c r="N123" s="203"/>
      <c r="O123" s="203"/>
      <c r="P123" s="203"/>
      <c r="Q123" s="203"/>
      <c r="R123" s="203"/>
      <c r="S123" s="203"/>
      <c r="T123" s="203"/>
      <c r="U123" s="203"/>
      <c r="V123" s="203"/>
      <c r="W123" s="203"/>
      <c r="X123" s="172">
        <f>IF(SUM(D123:W123)=0,"",SUM(D123:W123))</f>
        <v>1</v>
      </c>
      <c r="Z123" s="79"/>
    </row>
    <row r="124" spans="2:27" ht="27" customHeight="1" x14ac:dyDescent="0.45">
      <c r="B124" s="426" t="s">
        <v>16</v>
      </c>
      <c r="C124" s="427"/>
      <c r="D124" s="21" t="s">
        <v>89</v>
      </c>
      <c r="E124" s="21"/>
      <c r="F124" s="21"/>
      <c r="G124" s="21"/>
      <c r="H124" s="21"/>
      <c r="I124" s="21"/>
      <c r="J124" s="21"/>
      <c r="K124" s="21"/>
      <c r="L124" s="21"/>
      <c r="M124" s="21"/>
      <c r="N124" s="21"/>
      <c r="O124" s="21"/>
      <c r="P124" s="21"/>
      <c r="Q124" s="21"/>
      <c r="R124" s="21"/>
      <c r="S124" s="21"/>
      <c r="T124" s="21"/>
      <c r="U124" s="21"/>
      <c r="V124" s="21"/>
      <c r="W124" s="21"/>
      <c r="X124" s="39" t="s">
        <v>10</v>
      </c>
      <c r="Z124" s="79" t="s">
        <v>437</v>
      </c>
    </row>
    <row r="125" spans="2:27" ht="27" customHeight="1" thickBot="1" x14ac:dyDescent="0.5">
      <c r="B125" s="431" t="s">
        <v>108</v>
      </c>
      <c r="C125" s="432"/>
      <c r="D125" s="290" t="s">
        <v>90</v>
      </c>
      <c r="E125" s="21"/>
      <c r="F125" s="21"/>
      <c r="G125" s="21"/>
      <c r="H125" s="21"/>
      <c r="I125" s="21"/>
      <c r="J125" s="21"/>
      <c r="K125" s="21"/>
      <c r="L125" s="21"/>
      <c r="M125" s="21"/>
      <c r="N125" s="21"/>
      <c r="O125" s="21"/>
      <c r="P125" s="21"/>
      <c r="Q125" s="21"/>
      <c r="R125" s="21"/>
      <c r="S125" s="21"/>
      <c r="T125" s="21"/>
      <c r="U125" s="21"/>
      <c r="V125" s="21"/>
      <c r="W125" s="21"/>
      <c r="X125" s="39" t="s">
        <v>10</v>
      </c>
      <c r="Z125" s="79" t="s">
        <v>435</v>
      </c>
    </row>
    <row r="126" spans="2:27" ht="27" customHeight="1" thickTop="1" x14ac:dyDescent="0.45">
      <c r="B126" s="387" t="s">
        <v>512</v>
      </c>
      <c r="C126" s="297" t="s">
        <v>7</v>
      </c>
      <c r="D126" s="292">
        <v>10</v>
      </c>
      <c r="E126" s="169"/>
      <c r="F126" s="175"/>
      <c r="G126" s="175"/>
      <c r="H126" s="175"/>
      <c r="I126" s="175"/>
      <c r="J126" s="175"/>
      <c r="K126" s="175"/>
      <c r="L126" s="175"/>
      <c r="M126" s="175"/>
      <c r="N126" s="175"/>
      <c r="O126" s="175"/>
      <c r="P126" s="175"/>
      <c r="Q126" s="175"/>
      <c r="R126" s="175"/>
      <c r="S126" s="175"/>
      <c r="T126" s="175"/>
      <c r="U126" s="175"/>
      <c r="V126" s="175"/>
      <c r="W126" s="175"/>
      <c r="X126" s="39" t="s">
        <v>10</v>
      </c>
      <c r="Z126" s="146"/>
    </row>
    <row r="127" spans="2:27" ht="27" customHeight="1" x14ac:dyDescent="0.45">
      <c r="B127" s="388"/>
      <c r="C127" s="297" t="s">
        <v>8</v>
      </c>
      <c r="D127" s="293">
        <v>11.2</v>
      </c>
      <c r="E127" s="169"/>
      <c r="F127" s="175"/>
      <c r="G127" s="175"/>
      <c r="H127" s="175"/>
      <c r="I127" s="175"/>
      <c r="J127" s="175"/>
      <c r="K127" s="175"/>
      <c r="L127" s="175"/>
      <c r="M127" s="175"/>
      <c r="N127" s="175"/>
      <c r="O127" s="175"/>
      <c r="P127" s="175"/>
      <c r="Q127" s="175"/>
      <c r="R127" s="175"/>
      <c r="S127" s="175"/>
      <c r="T127" s="175"/>
      <c r="U127" s="175"/>
      <c r="V127" s="175"/>
      <c r="W127" s="175"/>
      <c r="X127" s="34" t="s">
        <v>10</v>
      </c>
      <c r="Z127" s="146"/>
    </row>
    <row r="128" spans="2:27" ht="27" customHeight="1" x14ac:dyDescent="0.45">
      <c r="B128" s="387" t="s">
        <v>202</v>
      </c>
      <c r="C128" s="297" t="s">
        <v>7</v>
      </c>
      <c r="D128" s="299">
        <v>3.6</v>
      </c>
      <c r="E128" s="298"/>
      <c r="F128" s="174"/>
      <c r="G128" s="174"/>
      <c r="H128" s="174"/>
      <c r="I128" s="174"/>
      <c r="J128" s="174"/>
      <c r="K128" s="174"/>
      <c r="L128" s="174"/>
      <c r="M128" s="174"/>
      <c r="N128" s="174"/>
      <c r="O128" s="174"/>
      <c r="P128" s="174"/>
      <c r="Q128" s="174"/>
      <c r="R128" s="174"/>
      <c r="S128" s="174"/>
      <c r="T128" s="174"/>
      <c r="U128" s="174"/>
      <c r="V128" s="174"/>
      <c r="W128" s="174"/>
      <c r="X128" s="32" t="s">
        <v>10</v>
      </c>
      <c r="Z128" s="146"/>
    </row>
    <row r="129" spans="2:32" ht="27" customHeight="1" thickBot="1" x14ac:dyDescent="0.5">
      <c r="B129" s="389"/>
      <c r="C129" s="297" t="s">
        <v>8</v>
      </c>
      <c r="D129" s="300">
        <v>3.8</v>
      </c>
      <c r="E129" s="298"/>
      <c r="F129" s="174"/>
      <c r="G129" s="174"/>
      <c r="H129" s="174"/>
      <c r="I129" s="174"/>
      <c r="J129" s="174"/>
      <c r="K129" s="174"/>
      <c r="L129" s="174"/>
      <c r="M129" s="174"/>
      <c r="N129" s="174"/>
      <c r="O129" s="174"/>
      <c r="P129" s="174"/>
      <c r="Q129" s="174"/>
      <c r="R129" s="174"/>
      <c r="S129" s="174"/>
      <c r="T129" s="174"/>
      <c r="U129" s="174"/>
      <c r="V129" s="174"/>
      <c r="W129" s="174"/>
      <c r="X129" s="34" t="s">
        <v>10</v>
      </c>
      <c r="Z129" s="146"/>
    </row>
    <row r="130" spans="2:32" ht="27" customHeight="1" thickTop="1" thickBot="1" x14ac:dyDescent="0.5">
      <c r="B130" s="388"/>
      <c r="C130" s="49" t="s">
        <v>88</v>
      </c>
      <c r="D130" s="291" t="s">
        <v>547</v>
      </c>
      <c r="E130" s="22"/>
      <c r="F130" s="22"/>
      <c r="G130" s="22"/>
      <c r="H130" s="22"/>
      <c r="I130" s="22"/>
      <c r="J130" s="22"/>
      <c r="K130" s="22"/>
      <c r="L130" s="22"/>
      <c r="M130" s="22"/>
      <c r="N130" s="22"/>
      <c r="O130" s="22"/>
      <c r="P130" s="22"/>
      <c r="Q130" s="22"/>
      <c r="R130" s="22"/>
      <c r="S130" s="22"/>
      <c r="T130" s="22"/>
      <c r="U130" s="22"/>
      <c r="V130" s="22"/>
      <c r="W130" s="22"/>
      <c r="X130" s="34" t="s">
        <v>10</v>
      </c>
      <c r="Z130" s="79" t="s">
        <v>438</v>
      </c>
    </row>
    <row r="131" spans="2:32" ht="45.75" customHeight="1" x14ac:dyDescent="0.45">
      <c r="B131" s="381" t="s">
        <v>204</v>
      </c>
      <c r="C131" s="384"/>
      <c r="D131" s="187">
        <f>IF(計算!$O31=1,計算!$R31,IF(計算!$O31=2,計算!$U31,IF(計算!$O31=3,計算!$X31,IF(計算!$O31=4,計算!$AA31,IF(計算!$O31=5,計算!$AD31,"")))))</f>
        <v>42.900000000000006</v>
      </c>
      <c r="E131" s="183" t="str">
        <f>IF(計算!$O32=1,計算!$R32,IF(計算!$O32=2,計算!$U32,IF(計算!$O32=3,計算!$X32,IF(計算!$O32=4,計算!$AA32,IF(計算!$O32=5,計算!$AD32,"")))))</f>
        <v/>
      </c>
      <c r="F131" s="183" t="str">
        <f>IF(計算!$O33=1,計算!$R33,IF(計算!$O33=2,計算!$U33,IF(計算!$O33=3,計算!$X33,IF(計算!$O33=4,計算!$AA33,IF(計算!$O33=5,計算!$AD33,"")))))</f>
        <v/>
      </c>
      <c r="G131" s="183" t="str">
        <f>IF(計算!$O34=1,計算!$R34,IF(計算!$O34=2,計算!$U34,IF(計算!$O34=3,計算!$X34,IF(計算!$O34=4,計算!$AA34,IF(計算!$O34=5,計算!$AD34,"")))))</f>
        <v/>
      </c>
      <c r="H131" s="183" t="str">
        <f>IF(計算!$O35=1,計算!$R35,IF(計算!$O35=2,計算!$U35,IF(計算!$O35=3,計算!$X35,IF(計算!$O35=4,計算!$AA35,IF(計算!$O35=5,計算!$AD35,"")))))</f>
        <v/>
      </c>
      <c r="I131" s="183" t="str">
        <f>IF(計算!$O36=1,計算!$R36,IF(計算!$O36=2,計算!$U36,IF(計算!$O36=3,計算!$X36,IF(計算!$O36=4,計算!$AA36,IF(計算!$O36=5,計算!$AD36,"")))))</f>
        <v/>
      </c>
      <c r="J131" s="183" t="str">
        <f>IF(計算!$O37=1,計算!$R37,IF(計算!$O37=2,計算!$U37,IF(計算!$O37=3,計算!$X37,IF(計算!$O37=4,計算!$AA37,IF(計算!$O37=5,計算!$AD37,"")))))</f>
        <v/>
      </c>
      <c r="K131" s="183" t="str">
        <f>IF(計算!$O38=1,計算!$R38,IF(計算!$O38=2,計算!$U38,IF(計算!$O38=3,計算!$X38,IF(計算!$O38=4,計算!$AA38,IF(計算!$O38=5,計算!$AD38,"")))))</f>
        <v/>
      </c>
      <c r="L131" s="183" t="str">
        <f>IF(計算!$O39=1,計算!$R39,IF(計算!$O39=2,計算!$U39,IF(計算!$O39=3,計算!$X39,IF(計算!$O39=4,計算!$AA39,IF(計算!$O39=5,計算!$AD39,"")))))</f>
        <v/>
      </c>
      <c r="M131" s="183" t="str">
        <f>IF(計算!$O40=1,計算!$R40,IF(計算!$O40=2,計算!$U40,IF(計算!$O40=3,計算!$X40,IF(計算!$O40=4,計算!$AA40,IF(計算!$O40=5,計算!$AD40,"")))))</f>
        <v/>
      </c>
      <c r="N131" s="183" t="str">
        <f>IF(計算!$O41=1,計算!$R41,IF(計算!$O41=2,計算!$U41,IF(計算!$O41=3,計算!$X41,IF(計算!$O41=4,計算!$AA41,IF(計算!$O41=5,計算!$AD41,"")))))</f>
        <v/>
      </c>
      <c r="O131" s="183" t="str">
        <f>IF(計算!$O42=1,計算!$R42,IF(計算!$O42=2,計算!$U42,IF(計算!$O42=3,計算!$X42,IF(計算!$O42=4,計算!$AA42,IF(計算!$O42=5,計算!$AD42,"")))))</f>
        <v/>
      </c>
      <c r="P131" s="183" t="str">
        <f>IF(計算!$O43=1,計算!$R43,IF(計算!$O43=2,計算!$U43,IF(計算!$O43=3,計算!$X43,IF(計算!$O43=4,計算!$AA43,IF(計算!$O43=5,計算!$AD43,"")))))</f>
        <v/>
      </c>
      <c r="Q131" s="183" t="str">
        <f>IF(計算!$O44=1,計算!$R44,IF(計算!$O44=2,計算!$U44,IF(計算!$O44=3,計算!$X44,IF(計算!$O44=4,計算!$AA44,IF(計算!$O44=5,計算!$AD44,"")))))</f>
        <v/>
      </c>
      <c r="R131" s="183" t="str">
        <f>IF(計算!$O45=1,計算!$R45,IF(計算!$O45=2,計算!$U45,IF(計算!$O45=3,計算!$X45,IF(計算!$O45=4,計算!$AA45,IF(計算!$O45=5,計算!$AD45,"")))))</f>
        <v/>
      </c>
      <c r="S131" s="183" t="str">
        <f>IF(計算!$O46=1,計算!$R46,IF(計算!$O46=2,計算!$U46,IF(計算!$O46=3,計算!$X46,IF(計算!$O46=4,計算!$AA46,IF(計算!$O46=5,計算!$AD46,"")))))</f>
        <v/>
      </c>
      <c r="T131" s="183" t="str">
        <f>IF(計算!$O47=1,計算!$R47,IF(計算!$O47=2,計算!$U47,IF(計算!$O47=3,計算!$X47,IF(計算!$O47=4,計算!$AA47,IF(計算!$O47=5,計算!$AD47,"")))))</f>
        <v/>
      </c>
      <c r="U131" s="183" t="str">
        <f>IF(計算!$O48=1,計算!$R48,IF(計算!$O48=2,計算!$U48,IF(計算!$O48=3,計算!$X48,IF(計算!$O48=4,計算!$AA48,IF(計算!$O48=5,計算!$AD48,"")))))</f>
        <v/>
      </c>
      <c r="V131" s="183" t="str">
        <f>IF(計算!$O49=1,計算!$R49,IF(計算!$O49=2,計算!$U49,IF(計算!$O49=3,計算!$X49,IF(計算!$O49=4,計算!$AA49,IF(計算!$O49=5,計算!$AD49,"")))))</f>
        <v/>
      </c>
      <c r="W131" s="183" t="str">
        <f>IF(計算!$O50=1,計算!$R50,IF(計算!$O50=2,計算!$U50,IF(計算!$O50=3,計算!$X50,IF(計算!$O50=4,計算!$AA50,IF(計算!$O50=5,計算!$AD50,"")))))</f>
        <v/>
      </c>
      <c r="X131" s="184">
        <f>IF(SUM(D131:W131)=0,"",SUM(D131:W131))</f>
        <v>42.900000000000006</v>
      </c>
    </row>
    <row r="132" spans="2:32" ht="27" customHeight="1" thickBot="1" x14ac:dyDescent="0.5">
      <c r="B132" s="383" t="s">
        <v>205</v>
      </c>
      <c r="C132" s="384"/>
      <c r="D132" s="185">
        <f>IF(D131="","",ROUND(D131*0.0258,2))</f>
        <v>1.1100000000000001</v>
      </c>
      <c r="E132" s="185" t="str">
        <f t="shared" ref="E132:M132" si="20">IF(E131="","",ROUND(E131*0.0258,2))</f>
        <v/>
      </c>
      <c r="F132" s="185" t="str">
        <f t="shared" si="20"/>
        <v/>
      </c>
      <c r="G132" s="185" t="str">
        <f t="shared" si="20"/>
        <v/>
      </c>
      <c r="H132" s="185" t="str">
        <f t="shared" si="20"/>
        <v/>
      </c>
      <c r="I132" s="185" t="str">
        <f t="shared" si="20"/>
        <v/>
      </c>
      <c r="J132" s="185" t="str">
        <f t="shared" si="20"/>
        <v/>
      </c>
      <c r="K132" s="185" t="str">
        <f t="shared" si="20"/>
        <v/>
      </c>
      <c r="L132" s="185" t="str">
        <f t="shared" si="20"/>
        <v/>
      </c>
      <c r="M132" s="185" t="str">
        <f t="shared" si="20"/>
        <v/>
      </c>
      <c r="N132" s="185" t="str">
        <f t="shared" ref="N132:V132" si="21">IF(N131="","",ROUND(N131*0.0258,2))</f>
        <v/>
      </c>
      <c r="O132" s="185" t="str">
        <f t="shared" si="21"/>
        <v/>
      </c>
      <c r="P132" s="185" t="str">
        <f t="shared" si="21"/>
        <v/>
      </c>
      <c r="Q132" s="185" t="str">
        <f t="shared" si="21"/>
        <v/>
      </c>
      <c r="R132" s="185" t="str">
        <f t="shared" si="21"/>
        <v/>
      </c>
      <c r="S132" s="185" t="str">
        <f t="shared" si="21"/>
        <v/>
      </c>
      <c r="T132" s="185" t="str">
        <f t="shared" si="21"/>
        <v/>
      </c>
      <c r="U132" s="185" t="str">
        <f t="shared" si="21"/>
        <v/>
      </c>
      <c r="V132" s="185" t="str">
        <f t="shared" si="21"/>
        <v/>
      </c>
      <c r="W132" s="185" t="str">
        <f t="shared" ref="W132" si="22">IF(W131="","",ROUND(W131*0.0258,2))</f>
        <v/>
      </c>
      <c r="X132" s="186">
        <f>IF(SUM(D132:W132)=0,"",SUM(D132:W132))</f>
        <v>1.1100000000000001</v>
      </c>
    </row>
    <row r="133" spans="2:32" ht="27" hidden="1" customHeight="1" x14ac:dyDescent="0.45">
      <c r="B133" s="377" t="s">
        <v>201</v>
      </c>
      <c r="C133" s="90" t="s">
        <v>199</v>
      </c>
      <c r="D133" s="176"/>
      <c r="E133" s="176"/>
      <c r="F133" s="176"/>
      <c r="G133" s="176"/>
      <c r="H133" s="176"/>
      <c r="I133" s="176"/>
      <c r="J133" s="176"/>
      <c r="K133" s="176"/>
      <c r="L133" s="176"/>
      <c r="M133" s="176"/>
      <c r="N133" s="176"/>
      <c r="O133" s="176"/>
      <c r="P133" s="176"/>
      <c r="Q133" s="176"/>
      <c r="R133" s="176"/>
      <c r="S133" s="176"/>
      <c r="T133" s="176"/>
      <c r="U133" s="176"/>
      <c r="V133" s="176"/>
      <c r="W133" s="176"/>
      <c r="X133" s="32" t="s">
        <v>10</v>
      </c>
    </row>
    <row r="134" spans="2:32" ht="27" hidden="1" customHeight="1" x14ac:dyDescent="0.45">
      <c r="B134" s="378"/>
      <c r="C134" s="90" t="s">
        <v>200</v>
      </c>
      <c r="D134" s="176">
        <f>IFERROR(((D126/D128)+(D127/D129))/2,"")</f>
        <v>2.8625730994152043</v>
      </c>
      <c r="E134" s="176" t="str">
        <f t="shared" ref="E134:W134" si="23">IFERROR(((E126/E128)+(E127/E129))/2,"")</f>
        <v/>
      </c>
      <c r="F134" s="176" t="str">
        <f t="shared" si="23"/>
        <v/>
      </c>
      <c r="G134" s="176" t="str">
        <f t="shared" si="23"/>
        <v/>
      </c>
      <c r="H134" s="176" t="str">
        <f t="shared" si="23"/>
        <v/>
      </c>
      <c r="I134" s="176" t="str">
        <f t="shared" si="23"/>
        <v/>
      </c>
      <c r="J134" s="176" t="str">
        <f t="shared" si="23"/>
        <v/>
      </c>
      <c r="K134" s="176" t="str">
        <f t="shared" si="23"/>
        <v/>
      </c>
      <c r="L134" s="176" t="str">
        <f t="shared" si="23"/>
        <v/>
      </c>
      <c r="M134" s="176" t="str">
        <f t="shared" si="23"/>
        <v/>
      </c>
      <c r="N134" s="176" t="str">
        <f t="shared" si="23"/>
        <v/>
      </c>
      <c r="O134" s="176" t="str">
        <f t="shared" si="23"/>
        <v/>
      </c>
      <c r="P134" s="176" t="str">
        <f t="shared" si="23"/>
        <v/>
      </c>
      <c r="Q134" s="176" t="str">
        <f t="shared" si="23"/>
        <v/>
      </c>
      <c r="R134" s="176" t="str">
        <f t="shared" si="23"/>
        <v/>
      </c>
      <c r="S134" s="176" t="str">
        <f t="shared" si="23"/>
        <v/>
      </c>
      <c r="T134" s="176" t="str">
        <f t="shared" si="23"/>
        <v/>
      </c>
      <c r="U134" s="176" t="str">
        <f t="shared" si="23"/>
        <v/>
      </c>
      <c r="V134" s="176" t="str">
        <f t="shared" si="23"/>
        <v/>
      </c>
      <c r="W134" s="176" t="str">
        <f t="shared" si="23"/>
        <v/>
      </c>
      <c r="X134" s="34" t="s">
        <v>10</v>
      </c>
    </row>
    <row r="135" spans="2:32" hidden="1" x14ac:dyDescent="0.45">
      <c r="B135" s="130" t="s">
        <v>280</v>
      </c>
      <c r="C135" s="130"/>
      <c r="D135" s="131">
        <f t="shared" ref="D135:M135" si="24">IF(D$122="",9,IF(OR(D$122="電気式パッケージ形空調機",D$122="ルームエアコン"),1,IF(AND(D$122="ガスヒートポンプ式空調機",D$124="都市ガス",D$130="kW"),2,IF(AND(D$122="ガスヒートポンプ式空調機",D$124="都市ガス",D$130="ｍ3N/h"),3,IF(AND(D$122="ガスヒートポンプ式空調機",D$124="LPG",D$130="kW"),4,IF(AND(D$122="ガスヒートポンプ式空調機",D$124="LPG",D$130="kg/h"),5,0))))))</f>
        <v>1</v>
      </c>
      <c r="E135" s="131">
        <f t="shared" si="24"/>
        <v>9</v>
      </c>
      <c r="F135" s="131">
        <f t="shared" si="24"/>
        <v>9</v>
      </c>
      <c r="G135" s="131">
        <f t="shared" si="24"/>
        <v>9</v>
      </c>
      <c r="H135" s="131">
        <f t="shared" si="24"/>
        <v>9</v>
      </c>
      <c r="I135" s="131">
        <f t="shared" si="24"/>
        <v>9</v>
      </c>
      <c r="J135" s="131">
        <f t="shared" si="24"/>
        <v>9</v>
      </c>
      <c r="K135" s="131">
        <f t="shared" si="24"/>
        <v>9</v>
      </c>
      <c r="L135" s="131">
        <f t="shared" si="24"/>
        <v>9</v>
      </c>
      <c r="M135" s="131">
        <f t="shared" si="24"/>
        <v>9</v>
      </c>
      <c r="N135" s="131">
        <f t="shared" ref="N135:W135" si="25">IF(N$122="",9,IF(OR(N$122="電気式パッケージ形空調機",N$122="ルームエアコン"),1,IF(AND(N$122="ガスヒートポンプ式空調機",N$124="都市ガス",N$130="kW"),2,IF(AND(N$122="ガスヒートポンプ式空調機",N$124="都市ガス",N$130="ｍ3N/h"),3,IF(AND(N$122="ガスヒートポンプ式空調機",N$124="LPG",N$130="kW"),4,IF(AND(N$122="ガスヒートポンプ式空調機",N$124="LPG",N$130="kg/h"),5,0))))))</f>
        <v>9</v>
      </c>
      <c r="O135" s="131">
        <f>IF(O$122="",9,IF(OR(O$122="電気式パッケージ形空調機",O$122="ルームエアコン"),1,IF(AND(O$122="ガスヒートポンプ式空調機",O$124="都市ガス",O$130="kW"),2,IF(AND(O$122="ガスヒートポンプ式空調機",O$124="都市ガス",O$130="ｍ3N/h"),3,IF(AND(O$122="ガスヒートポンプ式空調機",O$124="LPG",O$130="kW"),4,IF(AND(O$122="ガスヒートポンプ式空調機",O$124="LPG",O$130="kg/h"),5,0))))))</f>
        <v>9</v>
      </c>
      <c r="P135" s="131">
        <f t="shared" si="25"/>
        <v>9</v>
      </c>
      <c r="Q135" s="131">
        <f t="shared" si="25"/>
        <v>9</v>
      </c>
      <c r="R135" s="131">
        <f t="shared" si="25"/>
        <v>9</v>
      </c>
      <c r="S135" s="131">
        <f t="shared" si="25"/>
        <v>9</v>
      </c>
      <c r="T135" s="131">
        <f t="shared" si="25"/>
        <v>9</v>
      </c>
      <c r="U135" s="131">
        <f t="shared" si="25"/>
        <v>9</v>
      </c>
      <c r="V135" s="131">
        <f t="shared" si="25"/>
        <v>9</v>
      </c>
      <c r="W135" s="131">
        <f t="shared" si="25"/>
        <v>9</v>
      </c>
      <c r="X135" s="108"/>
      <c r="Y135" s="132">
        <f>COUNTIF($D135:$W135,0)</f>
        <v>0</v>
      </c>
      <c r="Z135" s="193">
        <f>COUNTIF($D135:$W135,1)</f>
        <v>1</v>
      </c>
      <c r="AA135" s="193">
        <f>COUNTIF($D135:$W135,2)</f>
        <v>0</v>
      </c>
      <c r="AB135" s="193">
        <f>COUNTIF($D135:$W135,3)</f>
        <v>0</v>
      </c>
      <c r="AC135" s="132">
        <f>COUNTIF($D135:$W135,4)</f>
        <v>0</v>
      </c>
      <c r="AD135" s="132">
        <f>COUNTIF($D135:$W135,5)</f>
        <v>0</v>
      </c>
      <c r="AE135" s="132"/>
      <c r="AF135" s="118">
        <v>119</v>
      </c>
    </row>
    <row r="136" spans="2:32" hidden="1" x14ac:dyDescent="0.45">
      <c r="B136" s="130" t="s">
        <v>279</v>
      </c>
      <c r="C136" s="130"/>
      <c r="D136" s="131">
        <f>IF(AND(D$124="",D$130=""),9,IF(AND(D$124="電気",D$130="kW"),1,IF(AND(D$124="都市ガス",D$130="kW"),2,IF(AND(D$124="都市ガス",D$130="ｍ3N/h"),3,IF(AND(D$124="LPG",D$130="kW"),4,IF(AND(D$124="LPG",D$130="kg/h"),5,0))))))</f>
        <v>1</v>
      </c>
      <c r="E136" s="131">
        <f t="shared" ref="E136:W136" si="26">IF(AND(E$124="",E$130=""),9,IF(AND(E$124="電気",E$130="kW"),1,IF(AND(E$124="都市ガス",E$130="kW"),2,IF(AND(E$124="都市ガス",E$130="ｍ3N/h"),3,IF(AND(E$124="LPG",E$130="kW"),4,IF(AND(E$124="LPG",E$130="kg/h"),5,0))))))</f>
        <v>9</v>
      </c>
      <c r="F136" s="131">
        <f t="shared" si="26"/>
        <v>9</v>
      </c>
      <c r="G136" s="131">
        <f t="shared" si="26"/>
        <v>9</v>
      </c>
      <c r="H136" s="131">
        <f t="shared" si="26"/>
        <v>9</v>
      </c>
      <c r="I136" s="131">
        <f t="shared" si="26"/>
        <v>9</v>
      </c>
      <c r="J136" s="131">
        <f t="shared" si="26"/>
        <v>9</v>
      </c>
      <c r="K136" s="131">
        <f t="shared" si="26"/>
        <v>9</v>
      </c>
      <c r="L136" s="131">
        <f t="shared" si="26"/>
        <v>9</v>
      </c>
      <c r="M136" s="131">
        <f t="shared" si="26"/>
        <v>9</v>
      </c>
      <c r="N136" s="131">
        <f t="shared" si="26"/>
        <v>9</v>
      </c>
      <c r="O136" s="131">
        <f>IF(AND(O$124="",O$130=""),9,IF(AND(O$124="電気",O$130="kW"),1,IF(AND(O$124="都市ガス",O$130="kW"),2,IF(AND(O$124="都市ガス",O$130="ｍ3N/h"),3,IF(AND(O$124="LPG",O$130="kW"),4,IF(AND(O$124="LPG",O$130="kg/h"),5,0))))))</f>
        <v>9</v>
      </c>
      <c r="P136" s="131">
        <f t="shared" si="26"/>
        <v>9</v>
      </c>
      <c r="Q136" s="131">
        <f t="shared" si="26"/>
        <v>9</v>
      </c>
      <c r="R136" s="131">
        <f t="shared" si="26"/>
        <v>9</v>
      </c>
      <c r="S136" s="131">
        <f t="shared" si="26"/>
        <v>9</v>
      </c>
      <c r="T136" s="131">
        <f t="shared" si="26"/>
        <v>9</v>
      </c>
      <c r="U136" s="131">
        <f t="shared" si="26"/>
        <v>9</v>
      </c>
      <c r="V136" s="131">
        <f t="shared" si="26"/>
        <v>9</v>
      </c>
      <c r="W136" s="131">
        <f t="shared" si="26"/>
        <v>9</v>
      </c>
      <c r="X136" s="108"/>
      <c r="Y136" s="132">
        <f>COUNTIF($D136:$W136,0)</f>
        <v>0</v>
      </c>
      <c r="Z136" s="193">
        <f>COUNTIF($D136:$W136,1)</f>
        <v>1</v>
      </c>
      <c r="AA136" s="193">
        <f>COUNTIF($D136:$W136,2)</f>
        <v>0</v>
      </c>
      <c r="AB136" s="193">
        <f>COUNTIF($D136:$W136,3)</f>
        <v>0</v>
      </c>
      <c r="AC136" s="132">
        <f>COUNTIF($D136:$W136,4)</f>
        <v>0</v>
      </c>
      <c r="AD136" s="132">
        <f>COUNTIF($D136:$W136,5)</f>
        <v>0</v>
      </c>
      <c r="AE136" s="132"/>
      <c r="AF136" s="118">
        <v>120</v>
      </c>
    </row>
    <row r="137" spans="2:32" hidden="1" x14ac:dyDescent="0.45">
      <c r="B137" s="133" t="s">
        <v>276</v>
      </c>
      <c r="C137" s="133"/>
      <c r="D137" s="134">
        <f>IF(OR(AND(D135=0,D136=0),D135&lt;&gt;D136),1,IF(AND(D135=9,D136=9),2,IF(D135=D136,0,"")))</f>
        <v>0</v>
      </c>
      <c r="E137" s="134">
        <f t="shared" ref="E137:M137" si="27">IF(OR(AND(E135=0,E136=0),E135&lt;&gt;E136),1,IF(AND(E135=9,E136=9),2,IF(E135=E136,0,"")))</f>
        <v>2</v>
      </c>
      <c r="F137" s="134">
        <f t="shared" si="27"/>
        <v>2</v>
      </c>
      <c r="G137" s="134">
        <f t="shared" si="27"/>
        <v>2</v>
      </c>
      <c r="H137" s="134">
        <f t="shared" si="27"/>
        <v>2</v>
      </c>
      <c r="I137" s="134">
        <f t="shared" si="27"/>
        <v>2</v>
      </c>
      <c r="J137" s="134">
        <f t="shared" si="27"/>
        <v>2</v>
      </c>
      <c r="K137" s="134">
        <f t="shared" si="27"/>
        <v>2</v>
      </c>
      <c r="L137" s="134">
        <f t="shared" si="27"/>
        <v>2</v>
      </c>
      <c r="M137" s="134">
        <f t="shared" si="27"/>
        <v>2</v>
      </c>
      <c r="N137" s="134">
        <f t="shared" ref="N137:V137" si="28">IF(OR(AND(N135=0,N136=0),N135&lt;&gt;N136),1,IF(AND(N135=9,N136=9),2,IF(N135=N136,0,"")))</f>
        <v>2</v>
      </c>
      <c r="O137" s="134">
        <f>IF(OR(AND(O135=0,O136=0),O135&lt;&gt;O136),1,IF(AND(O135=9,O136=9),2,IF(O135=O136,0,"")))</f>
        <v>2</v>
      </c>
      <c r="P137" s="134">
        <f t="shared" si="28"/>
        <v>2</v>
      </c>
      <c r="Q137" s="134">
        <f t="shared" si="28"/>
        <v>2</v>
      </c>
      <c r="R137" s="134">
        <f t="shared" si="28"/>
        <v>2</v>
      </c>
      <c r="S137" s="134">
        <f t="shared" si="28"/>
        <v>2</v>
      </c>
      <c r="T137" s="134">
        <f t="shared" si="28"/>
        <v>2</v>
      </c>
      <c r="U137" s="134">
        <f t="shared" si="28"/>
        <v>2</v>
      </c>
      <c r="V137" s="134">
        <f t="shared" si="28"/>
        <v>2</v>
      </c>
      <c r="W137" s="134">
        <f>IF(OR(AND(W135=0,W136=0),W135&lt;&gt;W136),1,IF(AND(W135=9,W136=9),2,IF(W135=W136,0,"")))</f>
        <v>2</v>
      </c>
      <c r="X137" s="108" t="str">
        <f>IF(Z137&gt;0,"入力確認",IF(AE139=Y137,"適合","不適合"))</f>
        <v>適合</v>
      </c>
      <c r="Y137" s="132">
        <f>COUNTIF($D137:$W137,0)</f>
        <v>1</v>
      </c>
      <c r="Z137" s="193">
        <f>COUNTIF($D137:$W137,1)</f>
        <v>0</v>
      </c>
      <c r="AA137" s="193">
        <f>COUNTIF($D137:$W137,2)</f>
        <v>19</v>
      </c>
      <c r="AB137" s="193"/>
      <c r="AC137" s="132"/>
      <c r="AD137" s="132"/>
      <c r="AE137" s="132"/>
      <c r="AF137" s="118">
        <v>121</v>
      </c>
    </row>
    <row r="138" spans="2:32" hidden="1" x14ac:dyDescent="0.45">
      <c r="B138" s="181" t="s">
        <v>430</v>
      </c>
      <c r="C138" s="181"/>
      <c r="D138" s="182">
        <f>IF(OR(D128&lt;0,D129&lt;0),1,IF(OR(D128&gt;0,D129&gt;0),0,2))</f>
        <v>0</v>
      </c>
      <c r="E138" s="182">
        <f t="shared" ref="E138:N138" si="29">IF(OR(E128&lt;0,E129&lt;0),1,IF(OR(E128&gt;0,E129&gt;0),0,2))</f>
        <v>2</v>
      </c>
      <c r="F138" s="182">
        <f t="shared" si="29"/>
        <v>2</v>
      </c>
      <c r="G138" s="182">
        <f t="shared" si="29"/>
        <v>2</v>
      </c>
      <c r="H138" s="182">
        <f t="shared" si="29"/>
        <v>2</v>
      </c>
      <c r="I138" s="182">
        <f t="shared" si="29"/>
        <v>2</v>
      </c>
      <c r="J138" s="182">
        <f t="shared" si="29"/>
        <v>2</v>
      </c>
      <c r="K138" s="182">
        <f t="shared" si="29"/>
        <v>2</v>
      </c>
      <c r="L138" s="182">
        <f t="shared" si="29"/>
        <v>2</v>
      </c>
      <c r="M138" s="182">
        <f t="shared" si="29"/>
        <v>2</v>
      </c>
      <c r="N138" s="182">
        <f t="shared" si="29"/>
        <v>2</v>
      </c>
      <c r="O138" s="182">
        <f>IF(OR(O128&lt;0,O129&lt;0),1,IF(OR(O128&gt;0,O129&gt;0),0,2))</f>
        <v>2</v>
      </c>
      <c r="P138" s="182">
        <f t="shared" ref="P138:W138" si="30">IF(OR(P128&lt;0,P129&lt;0),1,IF(OR(P128&gt;0,P129&gt;0),0,2))</f>
        <v>2</v>
      </c>
      <c r="Q138" s="182">
        <f t="shared" si="30"/>
        <v>2</v>
      </c>
      <c r="R138" s="182">
        <f t="shared" si="30"/>
        <v>2</v>
      </c>
      <c r="S138" s="182">
        <f t="shared" si="30"/>
        <v>2</v>
      </c>
      <c r="T138" s="182">
        <f t="shared" si="30"/>
        <v>2</v>
      </c>
      <c r="U138" s="182">
        <f t="shared" si="30"/>
        <v>2</v>
      </c>
      <c r="V138" s="182">
        <f t="shared" si="30"/>
        <v>2</v>
      </c>
      <c r="W138" s="182">
        <f t="shared" si="30"/>
        <v>2</v>
      </c>
      <c r="X138" s="108" t="str">
        <f>IF(Z138&gt;0,"入力確認",IF(AE139=Y138,"適合","不適合"))</f>
        <v>適合</v>
      </c>
      <c r="Y138" s="132">
        <f>COUNTIF($D138:$W138,0)</f>
        <v>1</v>
      </c>
      <c r="Z138" s="193">
        <f>COUNTIF($D138:$W138,1)</f>
        <v>0</v>
      </c>
      <c r="AA138" s="193">
        <f>COUNTIF($D138:$W138,2)</f>
        <v>19</v>
      </c>
      <c r="AB138" s="193"/>
      <c r="AC138" s="132"/>
      <c r="AD138" s="132"/>
      <c r="AE138" s="132"/>
      <c r="AF138" s="118">
        <v>122</v>
      </c>
    </row>
    <row r="139" spans="2:32" hidden="1" x14ac:dyDescent="0.45">
      <c r="B139" s="110" t="s">
        <v>252</v>
      </c>
      <c r="C139" s="108"/>
      <c r="D139" s="108">
        <f>IF(AND(D122="",D123="",D124="",D125="",D126="",D127="",D128="",D129="",D130=""),2,IF(AND(D122&lt;&gt;"",D123&lt;&gt;"",D124&lt;&gt;"",D125&lt;&gt;"",D126&lt;&gt;"",D127&lt;&gt;"",D128&lt;&gt;"",D129&lt;&gt;"",D130&lt;&gt;""),0,1))</f>
        <v>0</v>
      </c>
      <c r="E139" s="108">
        <f t="shared" ref="E139:W139" si="31">IF(AND(E122="",E123="",E124="",E125="",E126="",E127="",E128="",E129="",E130=""),2,IF(AND(E122&lt;&gt;"",E123&lt;&gt;"",E124&lt;&gt;"",E125&lt;&gt;"",E126&lt;&gt;"",E127&lt;&gt;"",E128&lt;&gt;"",E129&lt;&gt;"",E130&lt;&gt;""),0,1))</f>
        <v>2</v>
      </c>
      <c r="F139" s="108">
        <f t="shared" si="31"/>
        <v>2</v>
      </c>
      <c r="G139" s="108">
        <f t="shared" si="31"/>
        <v>2</v>
      </c>
      <c r="H139" s="108">
        <f t="shared" si="31"/>
        <v>2</v>
      </c>
      <c r="I139" s="108">
        <f t="shared" si="31"/>
        <v>2</v>
      </c>
      <c r="J139" s="108">
        <f t="shared" si="31"/>
        <v>2</v>
      </c>
      <c r="K139" s="108">
        <f t="shared" si="31"/>
        <v>2</v>
      </c>
      <c r="L139" s="108">
        <f t="shared" si="31"/>
        <v>2</v>
      </c>
      <c r="M139" s="108">
        <f t="shared" si="31"/>
        <v>2</v>
      </c>
      <c r="N139" s="108">
        <f t="shared" si="31"/>
        <v>2</v>
      </c>
      <c r="O139" s="108">
        <f t="shared" si="31"/>
        <v>2</v>
      </c>
      <c r="P139" s="108">
        <f t="shared" si="31"/>
        <v>2</v>
      </c>
      <c r="Q139" s="108">
        <f t="shared" si="31"/>
        <v>2</v>
      </c>
      <c r="R139" s="108">
        <f t="shared" si="31"/>
        <v>2</v>
      </c>
      <c r="S139" s="108">
        <f t="shared" si="31"/>
        <v>2</v>
      </c>
      <c r="T139" s="108">
        <f t="shared" si="31"/>
        <v>2</v>
      </c>
      <c r="U139" s="108">
        <f t="shared" si="31"/>
        <v>2</v>
      </c>
      <c r="V139" s="108">
        <f t="shared" si="31"/>
        <v>2</v>
      </c>
      <c r="W139" s="108">
        <f t="shared" si="31"/>
        <v>2</v>
      </c>
      <c r="X139" s="108" t="str">
        <f>IF(Z139&gt;0,"入力確認",IF(AE139=Y139,"適合","不適合"))</f>
        <v>適合</v>
      </c>
      <c r="Y139" s="132">
        <f>COUNTIF($D139:$W139,0)</f>
        <v>1</v>
      </c>
      <c r="Z139" s="193">
        <f>COUNTIF($D139:$W139,1)</f>
        <v>0</v>
      </c>
      <c r="AA139" s="193">
        <f>COUNTIF($D139:$W139,2)</f>
        <v>19</v>
      </c>
      <c r="AB139" s="193"/>
      <c r="AC139" s="132"/>
      <c r="AD139" s="132"/>
      <c r="AE139" s="180">
        <f>20-COUNTIF($D$122:$W$122,"")</f>
        <v>1</v>
      </c>
      <c r="AF139" s="118">
        <v>123</v>
      </c>
    </row>
    <row r="140" spans="2:32" x14ac:dyDescent="0.45">
      <c r="B140" s="40"/>
      <c r="C140" s="40"/>
      <c r="D140" s="41"/>
      <c r="E140" s="41"/>
      <c r="F140" s="41"/>
      <c r="G140" s="41"/>
      <c r="H140" s="41"/>
      <c r="I140" s="41"/>
      <c r="J140" s="41"/>
      <c r="K140" s="41"/>
      <c r="L140" s="41"/>
      <c r="M140" s="41"/>
      <c r="N140" s="41"/>
      <c r="O140" s="41"/>
      <c r="P140" s="41"/>
      <c r="Q140" s="41"/>
      <c r="R140" s="41"/>
      <c r="S140" s="41"/>
      <c r="T140" s="41"/>
      <c r="U140" s="41"/>
      <c r="V140" s="41"/>
      <c r="W140" s="41"/>
      <c r="X140" s="41"/>
    </row>
    <row r="141" spans="2:32" ht="42" customHeight="1" thickBot="1" x14ac:dyDescent="0.5">
      <c r="B141" s="188" t="s">
        <v>510</v>
      </c>
      <c r="C141" s="30"/>
    </row>
    <row r="142" spans="2:32" ht="27" customHeight="1" thickTop="1" thickBot="1" x14ac:dyDescent="0.5">
      <c r="B142" s="424" t="s">
        <v>121</v>
      </c>
      <c r="C142" s="425"/>
      <c r="D142" s="283" t="s">
        <v>303</v>
      </c>
      <c r="E142" s="31" t="s">
        <v>304</v>
      </c>
      <c r="F142" s="31" t="s">
        <v>305</v>
      </c>
      <c r="G142" s="31" t="s">
        <v>306</v>
      </c>
      <c r="H142" s="31" t="s">
        <v>307</v>
      </c>
      <c r="I142" s="31" t="s">
        <v>308</v>
      </c>
      <c r="J142" s="31" t="s">
        <v>309</v>
      </c>
      <c r="K142" s="31" t="s">
        <v>310</v>
      </c>
      <c r="L142" s="31" t="s">
        <v>311</v>
      </c>
      <c r="M142" s="31" t="s">
        <v>312</v>
      </c>
      <c r="N142" s="31" t="s">
        <v>367</v>
      </c>
      <c r="O142" s="31" t="s">
        <v>368</v>
      </c>
      <c r="P142" s="31" t="s">
        <v>369</v>
      </c>
      <c r="Q142" s="31" t="s">
        <v>370</v>
      </c>
      <c r="R142" s="31" t="s">
        <v>371</v>
      </c>
      <c r="S142" s="31" t="s">
        <v>372</v>
      </c>
      <c r="T142" s="31" t="s">
        <v>373</v>
      </c>
      <c r="U142" s="31" t="s">
        <v>374</v>
      </c>
      <c r="V142" s="31" t="s">
        <v>375</v>
      </c>
      <c r="W142" s="31" t="s">
        <v>376</v>
      </c>
      <c r="X142" s="37" t="s">
        <v>0</v>
      </c>
      <c r="Z142" s="79" t="s">
        <v>434</v>
      </c>
    </row>
    <row r="143" spans="2:32" ht="63" customHeight="1" thickTop="1" thickBot="1" x14ac:dyDescent="0.5">
      <c r="B143" s="423" t="s">
        <v>271</v>
      </c>
      <c r="C143" s="423"/>
      <c r="D143" s="296" t="s">
        <v>14</v>
      </c>
      <c r="E143" s="2"/>
      <c r="F143" s="2"/>
      <c r="G143" s="2"/>
      <c r="H143" s="2"/>
      <c r="I143" s="2"/>
      <c r="J143" s="2"/>
      <c r="K143" s="2"/>
      <c r="L143" s="2"/>
      <c r="M143" s="2"/>
      <c r="N143" s="148"/>
      <c r="O143" s="148"/>
      <c r="P143" s="148"/>
      <c r="Q143" s="148"/>
      <c r="R143" s="148"/>
      <c r="S143" s="148"/>
      <c r="T143" s="148"/>
      <c r="U143" s="148"/>
      <c r="V143" s="148"/>
      <c r="W143" s="148"/>
      <c r="X143" s="32" t="s">
        <v>10</v>
      </c>
      <c r="Z143" s="79" t="s">
        <v>436</v>
      </c>
    </row>
    <row r="144" spans="2:32" ht="27" customHeight="1" thickBot="1" x14ac:dyDescent="0.5">
      <c r="B144" s="434" t="s">
        <v>3</v>
      </c>
      <c r="C144" s="434"/>
      <c r="D144" s="203">
        <v>2</v>
      </c>
      <c r="E144" s="203"/>
      <c r="F144" s="203"/>
      <c r="G144" s="203"/>
      <c r="H144" s="203"/>
      <c r="I144" s="203"/>
      <c r="J144" s="203"/>
      <c r="K144" s="203"/>
      <c r="L144" s="203"/>
      <c r="M144" s="203"/>
      <c r="N144" s="203"/>
      <c r="O144" s="203"/>
      <c r="P144" s="203"/>
      <c r="Q144" s="203"/>
      <c r="R144" s="203"/>
      <c r="S144" s="203"/>
      <c r="T144" s="203"/>
      <c r="U144" s="203"/>
      <c r="V144" s="203"/>
      <c r="W144" s="203"/>
      <c r="X144" s="172">
        <f>IF(SUM(D144:W144)=0,"",SUM(D144:W144))</f>
        <v>2</v>
      </c>
      <c r="Z144" s="79"/>
    </row>
    <row r="145" spans="2:32" ht="27" customHeight="1" x14ac:dyDescent="0.45">
      <c r="B145" s="427" t="s">
        <v>16</v>
      </c>
      <c r="C145" s="427"/>
      <c r="D145" s="21" t="s">
        <v>89</v>
      </c>
      <c r="E145" s="21"/>
      <c r="F145" s="21"/>
      <c r="G145" s="21"/>
      <c r="H145" s="21"/>
      <c r="I145" s="21"/>
      <c r="J145" s="21"/>
      <c r="K145" s="21"/>
      <c r="L145" s="21"/>
      <c r="M145" s="21"/>
      <c r="N145" s="21"/>
      <c r="O145" s="21"/>
      <c r="P145" s="21"/>
      <c r="Q145" s="21"/>
      <c r="R145" s="21"/>
      <c r="S145" s="21"/>
      <c r="T145" s="21"/>
      <c r="U145" s="21"/>
      <c r="V145" s="21"/>
      <c r="W145" s="21"/>
      <c r="X145" s="39" t="s">
        <v>10</v>
      </c>
      <c r="Z145" s="79" t="s">
        <v>437</v>
      </c>
    </row>
    <row r="146" spans="2:32" ht="27" customHeight="1" thickBot="1" x14ac:dyDescent="0.5">
      <c r="B146" s="381" t="s">
        <v>108</v>
      </c>
      <c r="C146" s="382"/>
      <c r="D146" s="290" t="s">
        <v>90</v>
      </c>
      <c r="E146" s="21"/>
      <c r="F146" s="21"/>
      <c r="G146" s="21"/>
      <c r="H146" s="21"/>
      <c r="I146" s="21"/>
      <c r="J146" s="21"/>
      <c r="K146" s="21"/>
      <c r="L146" s="21"/>
      <c r="M146" s="21"/>
      <c r="N146" s="149"/>
      <c r="O146" s="149"/>
      <c r="P146" s="149"/>
      <c r="Q146" s="149"/>
      <c r="R146" s="149"/>
      <c r="S146" s="149"/>
      <c r="T146" s="149"/>
      <c r="U146" s="149"/>
      <c r="V146" s="149"/>
      <c r="W146" s="149"/>
      <c r="X146" s="39" t="s">
        <v>10</v>
      </c>
      <c r="Z146" s="79" t="s">
        <v>435</v>
      </c>
    </row>
    <row r="147" spans="2:32" ht="27" customHeight="1" thickTop="1" x14ac:dyDescent="0.45">
      <c r="B147" s="385" t="s">
        <v>512</v>
      </c>
      <c r="C147" s="288" t="s">
        <v>7</v>
      </c>
      <c r="D147" s="292">
        <v>5</v>
      </c>
      <c r="E147" s="169"/>
      <c r="F147" s="175"/>
      <c r="G147" s="175"/>
      <c r="H147" s="175"/>
      <c r="I147" s="175"/>
      <c r="J147" s="175"/>
      <c r="K147" s="175"/>
      <c r="L147" s="175"/>
      <c r="M147" s="175"/>
      <c r="N147" s="178"/>
      <c r="O147" s="178"/>
      <c r="P147" s="178"/>
      <c r="Q147" s="178"/>
      <c r="R147" s="178"/>
      <c r="S147" s="178"/>
      <c r="T147" s="178"/>
      <c r="U147" s="178"/>
      <c r="V147" s="178"/>
      <c r="W147" s="178"/>
      <c r="X147" s="39" t="s">
        <v>10</v>
      </c>
      <c r="Z147" s="146"/>
    </row>
    <row r="148" spans="2:32" ht="27" customHeight="1" x14ac:dyDescent="0.45">
      <c r="B148" s="386"/>
      <c r="C148" s="288" t="s">
        <v>8</v>
      </c>
      <c r="D148" s="293">
        <v>5.6</v>
      </c>
      <c r="E148" s="169"/>
      <c r="F148" s="175"/>
      <c r="G148" s="175"/>
      <c r="H148" s="175"/>
      <c r="I148" s="175"/>
      <c r="J148" s="175"/>
      <c r="K148" s="175"/>
      <c r="L148" s="175"/>
      <c r="M148" s="175"/>
      <c r="N148" s="175"/>
      <c r="O148" s="175"/>
      <c r="P148" s="175"/>
      <c r="Q148" s="175"/>
      <c r="R148" s="175"/>
      <c r="S148" s="175"/>
      <c r="T148" s="175"/>
      <c r="U148" s="175"/>
      <c r="V148" s="175"/>
      <c r="W148" s="175"/>
      <c r="X148" s="34" t="s">
        <v>10</v>
      </c>
      <c r="Z148" s="146"/>
    </row>
    <row r="149" spans="2:32" ht="27" customHeight="1" x14ac:dyDescent="0.45">
      <c r="B149" s="385" t="s">
        <v>203</v>
      </c>
      <c r="C149" s="288" t="s">
        <v>7</v>
      </c>
      <c r="D149" s="294">
        <v>1.55</v>
      </c>
      <c r="E149" s="289"/>
      <c r="F149" s="173"/>
      <c r="G149" s="173"/>
      <c r="H149" s="173"/>
      <c r="I149" s="173"/>
      <c r="J149" s="173"/>
      <c r="K149" s="173"/>
      <c r="L149" s="173"/>
      <c r="M149" s="173"/>
      <c r="N149" s="177"/>
      <c r="O149" s="177"/>
      <c r="P149" s="177"/>
      <c r="Q149" s="177"/>
      <c r="R149" s="177"/>
      <c r="S149" s="177"/>
      <c r="T149" s="177"/>
      <c r="U149" s="177"/>
      <c r="V149" s="177"/>
      <c r="W149" s="177"/>
      <c r="X149" s="32" t="s">
        <v>10</v>
      </c>
      <c r="Z149" s="146"/>
    </row>
    <row r="150" spans="2:32" ht="27" customHeight="1" thickBot="1" x14ac:dyDescent="0.5">
      <c r="B150" s="433"/>
      <c r="C150" s="288" t="s">
        <v>8</v>
      </c>
      <c r="D150" s="295">
        <v>1.64</v>
      </c>
      <c r="E150" s="289"/>
      <c r="F150" s="173"/>
      <c r="G150" s="173"/>
      <c r="H150" s="173"/>
      <c r="I150" s="173"/>
      <c r="J150" s="173"/>
      <c r="K150" s="173"/>
      <c r="L150" s="173"/>
      <c r="M150" s="173"/>
      <c r="N150" s="173"/>
      <c r="O150" s="173"/>
      <c r="P150" s="173"/>
      <c r="Q150" s="173"/>
      <c r="R150" s="173"/>
      <c r="S150" s="173"/>
      <c r="T150" s="173"/>
      <c r="U150" s="173"/>
      <c r="V150" s="173"/>
      <c r="W150" s="173"/>
      <c r="X150" s="34" t="s">
        <v>10</v>
      </c>
      <c r="Z150" s="146"/>
    </row>
    <row r="151" spans="2:32" ht="27" customHeight="1" thickTop="1" thickBot="1" x14ac:dyDescent="0.5">
      <c r="B151" s="386"/>
      <c r="C151" s="91" t="s">
        <v>88</v>
      </c>
      <c r="D151" s="291" t="s">
        <v>547</v>
      </c>
      <c r="E151" s="22"/>
      <c r="F151" s="22"/>
      <c r="G151" s="22"/>
      <c r="H151" s="22"/>
      <c r="I151" s="22"/>
      <c r="J151" s="22"/>
      <c r="K151" s="22"/>
      <c r="L151" s="22"/>
      <c r="M151" s="22"/>
      <c r="N151" s="22"/>
      <c r="O151" s="22"/>
      <c r="P151" s="22"/>
      <c r="Q151" s="22"/>
      <c r="R151" s="22"/>
      <c r="S151" s="22"/>
      <c r="T151" s="22"/>
      <c r="U151" s="22"/>
      <c r="V151" s="22"/>
      <c r="W151" s="22"/>
      <c r="X151" s="34" t="s">
        <v>10</v>
      </c>
      <c r="Z151" s="79" t="s">
        <v>438</v>
      </c>
    </row>
    <row r="152" spans="2:32" ht="45" customHeight="1" x14ac:dyDescent="0.45">
      <c r="B152" s="381" t="s">
        <v>204</v>
      </c>
      <c r="C152" s="382"/>
      <c r="D152" s="183">
        <f>IF(計算!$O56=1,計算!$R56,IF(計算!$O56=2,計算!$U56,IF(計算!$O56=3,計算!$X56,IF(計算!$O56=4,計算!$AA56,IF(計算!$O56=5,計算!$AD56,"")))))</f>
        <v>37</v>
      </c>
      <c r="E152" s="183" t="str">
        <f>IF(計算!$O57=1,計算!$R57,IF(計算!$O57=2,計算!$U57,IF(計算!$O57=3,計算!$X57,IF(計算!$O57=4,計算!$AA57,IF(計算!$O57=5,計算!$AD57,"")))))</f>
        <v/>
      </c>
      <c r="F152" s="183" t="str">
        <f>IF(計算!$O58=1,計算!$R58,IF(計算!$O58=2,計算!$U58,IF(計算!$O58=3,計算!$X58,IF(計算!$O58=4,計算!$AA58,IF(計算!$O58=5,計算!$AD58,"")))))</f>
        <v/>
      </c>
      <c r="G152" s="183" t="str">
        <f>IF(計算!$O59=1,計算!$R59,IF(計算!$O59=2,計算!$U59,IF(計算!$O59=3,計算!$X59,IF(計算!$O59=4,計算!$AA59,IF(計算!$O59=5,計算!$AD59,"")))))</f>
        <v/>
      </c>
      <c r="H152" s="183" t="str">
        <f>IF(計算!$O60=1,計算!$R60,IF(計算!$O60=2,計算!$U60,IF(計算!$O60=3,計算!$X60,IF(計算!$O60=4,計算!$AA60,IF(計算!$O60=5,計算!$AD60,"")))))</f>
        <v/>
      </c>
      <c r="I152" s="183" t="str">
        <f>IF(計算!$O61=1,計算!$R61,IF(計算!$O61=2,計算!$U61,IF(計算!$O61=3,計算!$X61,IF(計算!$O61=4,計算!$AA61,IF(計算!$O61=5,計算!$AD61,"")))))</f>
        <v/>
      </c>
      <c r="J152" s="183" t="str">
        <f>IF(計算!$O62=1,計算!$R62,IF(計算!$O62=2,計算!$U62,IF(計算!$O62=3,計算!$X62,IF(計算!$O62=4,計算!$AA62,IF(計算!$O62=5,計算!$AD62,"")))))</f>
        <v/>
      </c>
      <c r="K152" s="183" t="str">
        <f>IF(計算!$O63=1,計算!$R63,IF(計算!$O63=2,計算!$U63,IF(計算!$O63=3,計算!$X63,IF(計算!$O63=4,計算!$AA63,IF(計算!$O63=5,計算!$AD63,"")))))</f>
        <v/>
      </c>
      <c r="L152" s="183" t="str">
        <f>IF(計算!$O64=1,計算!$R64,IF(計算!$O64=2,計算!$U64,IF(計算!$O64=3,計算!$X64,IF(計算!$O64=4,計算!$AA64,IF(計算!$O64=5,計算!$AD64,"")))))</f>
        <v/>
      </c>
      <c r="M152" s="183" t="str">
        <f>IF(計算!$O65=1,計算!$R65,IF(計算!$O65=2,計算!$U65,IF(計算!$O65=3,計算!$X65,IF(計算!$O65=4,計算!$AA65,IF(計算!$O65=5,計算!$AD65,"")))))</f>
        <v/>
      </c>
      <c r="N152" s="183" t="str">
        <f>IF(計算!$O66=1,計算!$R66,IF(計算!$O66=2,計算!$U66,IF(計算!$O66=3,計算!$X66,IF(計算!$O66=4,計算!$AA66,IF(計算!$O66=5,計算!$AD66,"")))))</f>
        <v/>
      </c>
      <c r="O152" s="183" t="str">
        <f>IF(計算!$O67=1,計算!$R67,IF(計算!$O67=2,計算!$U67,IF(計算!$O67=3,計算!$X67,IF(計算!$O67=4,計算!$AA67,IF(計算!$O67=5,計算!$AD67,"")))))</f>
        <v/>
      </c>
      <c r="P152" s="183" t="str">
        <f>IF(計算!$O68=1,計算!$R68,IF(計算!$O68=2,計算!$U68,IF(計算!$O68=3,計算!$X68,IF(計算!$O68=4,計算!$AA68,IF(計算!$O68=5,計算!$AD68,"")))))</f>
        <v/>
      </c>
      <c r="Q152" s="183" t="str">
        <f>IF(計算!$O69=1,計算!$R69,IF(計算!$O69=2,計算!$U69,IF(計算!$O69=3,計算!$X69,IF(計算!$O69=4,計算!$AA69,IF(計算!$O69=5,計算!$AD69,"")))))</f>
        <v/>
      </c>
      <c r="R152" s="183" t="str">
        <f>IF(計算!$O70=1,計算!$R70,IF(計算!$O70=2,計算!$U70,IF(計算!$O70=3,計算!$X70,IF(計算!$O70=4,計算!$AA70,IF(計算!$O70=5,計算!$AD70,"")))))</f>
        <v/>
      </c>
      <c r="S152" s="183" t="str">
        <f>IF(計算!$O71=1,計算!$R71,IF(計算!$O71=2,計算!$U71,IF(計算!$O71=3,計算!$X71,IF(計算!$O71=4,計算!$AA71,IF(計算!$O71=5,計算!$AD71,"")))))</f>
        <v/>
      </c>
      <c r="T152" s="183" t="str">
        <f>IF(計算!$O72=1,計算!$R72,IF(計算!$O72=2,計算!$U72,IF(計算!$O72=3,計算!$X72,IF(計算!$O72=4,計算!$AA72,IF(計算!$O72=5,計算!$AD72,"")))))</f>
        <v/>
      </c>
      <c r="U152" s="183" t="str">
        <f>IF(計算!$O73=1,計算!$R73,IF(計算!$O73=2,計算!$U73,IF(計算!$O73=3,計算!$X73,IF(計算!$O73=4,計算!$AA73,IF(計算!$O73=5,計算!$AD73,"")))))</f>
        <v/>
      </c>
      <c r="V152" s="183" t="str">
        <f>IF(計算!$O74=1,計算!$R74,IF(計算!$O74=2,計算!$U74,IF(計算!$O74=3,計算!$X74,IF(計算!$O74=4,計算!$AA74,IF(計算!$O74=5,計算!$AD74,"")))))</f>
        <v/>
      </c>
      <c r="W152" s="183" t="str">
        <f>IF(計算!$O75=1,計算!$R75,IF(計算!$O75=2,計算!$U75,IF(計算!$O75=3,計算!$X75,IF(計算!$O75=4,計算!$AA75,IF(計算!$O75=5,計算!$AD75,"")))))</f>
        <v/>
      </c>
      <c r="X152" s="184">
        <f>IF(SUM(D152:W152)=0,"",SUM(D152:W152))</f>
        <v>37</v>
      </c>
    </row>
    <row r="153" spans="2:32" ht="27" customHeight="1" thickBot="1" x14ac:dyDescent="0.5">
      <c r="B153" s="383" t="s">
        <v>205</v>
      </c>
      <c r="C153" s="384"/>
      <c r="D153" s="185">
        <f>IF(D152="","",ROUND(D152*0.0258,2))</f>
        <v>0.95</v>
      </c>
      <c r="E153" s="185" t="str">
        <f t="shared" ref="E153:M153" si="32">IF(E152="","",ROUND(E152*0.0258,2))</f>
        <v/>
      </c>
      <c r="F153" s="185" t="str">
        <f t="shared" si="32"/>
        <v/>
      </c>
      <c r="G153" s="185" t="str">
        <f t="shared" si="32"/>
        <v/>
      </c>
      <c r="H153" s="185" t="str">
        <f t="shared" si="32"/>
        <v/>
      </c>
      <c r="I153" s="185" t="str">
        <f t="shared" si="32"/>
        <v/>
      </c>
      <c r="J153" s="185" t="str">
        <f t="shared" si="32"/>
        <v/>
      </c>
      <c r="K153" s="185" t="str">
        <f t="shared" si="32"/>
        <v/>
      </c>
      <c r="L153" s="185" t="str">
        <f t="shared" si="32"/>
        <v/>
      </c>
      <c r="M153" s="185" t="str">
        <f t="shared" si="32"/>
        <v/>
      </c>
      <c r="N153" s="185" t="str">
        <f t="shared" ref="N153:W153" si="33">IF(N152="","",ROUND(N152*0.0258,2))</f>
        <v/>
      </c>
      <c r="O153" s="185" t="str">
        <f t="shared" si="33"/>
        <v/>
      </c>
      <c r="P153" s="185" t="str">
        <f t="shared" si="33"/>
        <v/>
      </c>
      <c r="Q153" s="185" t="str">
        <f t="shared" si="33"/>
        <v/>
      </c>
      <c r="R153" s="185" t="str">
        <f t="shared" si="33"/>
        <v/>
      </c>
      <c r="S153" s="185" t="str">
        <f t="shared" si="33"/>
        <v/>
      </c>
      <c r="T153" s="185" t="str">
        <f t="shared" si="33"/>
        <v/>
      </c>
      <c r="U153" s="185" t="str">
        <f t="shared" si="33"/>
        <v/>
      </c>
      <c r="V153" s="185" t="str">
        <f t="shared" si="33"/>
        <v/>
      </c>
      <c r="W153" s="185" t="str">
        <f t="shared" si="33"/>
        <v/>
      </c>
      <c r="X153" s="186">
        <f>IF(SUM(D153:W153)=0,"",SUM(D153:W153))</f>
        <v>0.95</v>
      </c>
      <c r="Z153" s="79" t="s">
        <v>439</v>
      </c>
    </row>
    <row r="154" spans="2:32" ht="27" hidden="1" customHeight="1" x14ac:dyDescent="0.45">
      <c r="B154" s="379" t="s">
        <v>201</v>
      </c>
      <c r="C154" s="92" t="s">
        <v>199</v>
      </c>
      <c r="D154" s="176"/>
      <c r="E154" s="176"/>
      <c r="F154" s="176"/>
      <c r="G154" s="176"/>
      <c r="H154" s="176"/>
      <c r="I154" s="176"/>
      <c r="J154" s="176"/>
      <c r="K154" s="176"/>
      <c r="L154" s="176"/>
      <c r="M154" s="176"/>
      <c r="N154" s="176"/>
      <c r="O154" s="176"/>
      <c r="P154" s="176"/>
      <c r="Q154" s="176"/>
      <c r="R154" s="176"/>
      <c r="S154" s="176"/>
      <c r="T154" s="176"/>
      <c r="U154" s="176"/>
      <c r="V154" s="176"/>
      <c r="W154" s="176"/>
      <c r="X154" s="32" t="s">
        <v>10</v>
      </c>
    </row>
    <row r="155" spans="2:32" ht="27" hidden="1" customHeight="1" x14ac:dyDescent="0.45">
      <c r="B155" s="380"/>
      <c r="C155" s="92" t="s">
        <v>200</v>
      </c>
      <c r="D155" s="176">
        <f>IFERROR(((D147/D149)+(D148/D150))/2,"")</f>
        <v>3.3202202989771834</v>
      </c>
      <c r="E155" s="176" t="str">
        <f t="shared" ref="E155:W155" si="34">IFERROR(((E147/E149)+(E148/E150))/2,"")</f>
        <v/>
      </c>
      <c r="F155" s="176" t="str">
        <f t="shared" si="34"/>
        <v/>
      </c>
      <c r="G155" s="176" t="str">
        <f t="shared" si="34"/>
        <v/>
      </c>
      <c r="H155" s="176" t="str">
        <f t="shared" si="34"/>
        <v/>
      </c>
      <c r="I155" s="176" t="str">
        <f t="shared" si="34"/>
        <v/>
      </c>
      <c r="J155" s="176" t="str">
        <f t="shared" si="34"/>
        <v/>
      </c>
      <c r="K155" s="176" t="str">
        <f t="shared" si="34"/>
        <v/>
      </c>
      <c r="L155" s="176" t="str">
        <f t="shared" si="34"/>
        <v/>
      </c>
      <c r="M155" s="176" t="str">
        <f t="shared" si="34"/>
        <v/>
      </c>
      <c r="N155" s="176" t="str">
        <f t="shared" si="34"/>
        <v/>
      </c>
      <c r="O155" s="176" t="str">
        <f t="shared" si="34"/>
        <v/>
      </c>
      <c r="P155" s="176" t="str">
        <f t="shared" si="34"/>
        <v/>
      </c>
      <c r="Q155" s="176" t="str">
        <f t="shared" si="34"/>
        <v/>
      </c>
      <c r="R155" s="176" t="str">
        <f t="shared" si="34"/>
        <v/>
      </c>
      <c r="S155" s="176" t="str">
        <f t="shared" si="34"/>
        <v/>
      </c>
      <c r="T155" s="176" t="str">
        <f t="shared" si="34"/>
        <v/>
      </c>
      <c r="U155" s="176" t="str">
        <f t="shared" si="34"/>
        <v/>
      </c>
      <c r="V155" s="176" t="str">
        <f t="shared" si="34"/>
        <v/>
      </c>
      <c r="W155" s="176" t="str">
        <f t="shared" si="34"/>
        <v/>
      </c>
      <c r="X155" s="34" t="s">
        <v>10</v>
      </c>
    </row>
    <row r="156" spans="2:32" hidden="1" x14ac:dyDescent="0.45">
      <c r="B156" s="130" t="s">
        <v>277</v>
      </c>
      <c r="C156" s="130"/>
      <c r="D156" s="131">
        <f t="shared" ref="D156:M156" si="35">IF(D$143="",9,IF(OR(D$143="電気式パッケージ形空調機",D$143="ルームエアコン"),1,IF(AND(D$143="ガスヒートポンプ式空調機",D$145="都市ガス",D$151="kW"),2,IF(AND(D$143="ガスヒートポンプ式空調機",D$145="都市ガス",D$151="ｍ3N/h"),3,IF(AND(D$143="ガスヒートポンプ式空調機",D$145="LPG",D$151="kW"),4,IF(AND(D$143="ガスヒートポンプ式空調機",D$145="LPG",D$151="kg/h"),5,0))))))</f>
        <v>1</v>
      </c>
      <c r="E156" s="131">
        <f t="shared" si="35"/>
        <v>9</v>
      </c>
      <c r="F156" s="131">
        <f t="shared" si="35"/>
        <v>9</v>
      </c>
      <c r="G156" s="131">
        <f t="shared" si="35"/>
        <v>9</v>
      </c>
      <c r="H156" s="131">
        <f t="shared" si="35"/>
        <v>9</v>
      </c>
      <c r="I156" s="131">
        <f t="shared" si="35"/>
        <v>9</v>
      </c>
      <c r="J156" s="131">
        <f t="shared" si="35"/>
        <v>9</v>
      </c>
      <c r="K156" s="131">
        <f t="shared" si="35"/>
        <v>9</v>
      </c>
      <c r="L156" s="131">
        <f t="shared" si="35"/>
        <v>9</v>
      </c>
      <c r="M156" s="131">
        <f t="shared" si="35"/>
        <v>9</v>
      </c>
      <c r="N156" s="131">
        <f t="shared" ref="N156:V156" si="36">IF(N$143="",9,IF(OR(N$143="電気式パッケージ形空調機",N$143="ルームエアコン"),1,IF(AND(N$143="ガスヒートポンプ式空調機",N$145="都市ガス",N$151="kW"),2,IF(AND(N$143="ガスヒートポンプ式空調機",N$145="都市ガス",N$151="ｍ3N/h"),3,IF(AND(N$143="ガスヒートポンプ式空調機",N$145="LPG",N$151="kW"),4,IF(AND(N$143="ガスヒートポンプ式空調機",N$145="LPG",N$151="kg/h"),5,0))))))</f>
        <v>9</v>
      </c>
      <c r="O156" s="131">
        <f t="shared" si="36"/>
        <v>9</v>
      </c>
      <c r="P156" s="131">
        <f t="shared" si="36"/>
        <v>9</v>
      </c>
      <c r="Q156" s="131">
        <f t="shared" si="36"/>
        <v>9</v>
      </c>
      <c r="R156" s="131">
        <f t="shared" si="36"/>
        <v>9</v>
      </c>
      <c r="S156" s="131">
        <f t="shared" si="36"/>
        <v>9</v>
      </c>
      <c r="T156" s="131">
        <f t="shared" si="36"/>
        <v>9</v>
      </c>
      <c r="U156" s="131">
        <f t="shared" si="36"/>
        <v>9</v>
      </c>
      <c r="V156" s="131">
        <f t="shared" si="36"/>
        <v>9</v>
      </c>
      <c r="W156" s="131">
        <f>IF(W$143="",9,IF(OR(W$143="電気式パッケージ形空調機",W$143="ルームエアコン"),1,IF(AND(W$143="ガスヒートポンプ式空調機",W$145="都市ガス",W$151="kW"),2,IF(AND(W$143="ガスヒートポンプ式空調機",W$145="都市ガス",W$151="ｍ3N/h"),3,IF(AND(W$143="ガスヒートポンプ式空調機",W$145="LPG",W$151="kW"),4,IF(AND(W$143="ガスヒートポンプ式空調機",W$145="LPG",W$151="kg/h"),5,0))))))</f>
        <v>9</v>
      </c>
      <c r="X156" s="108"/>
      <c r="Y156" s="132">
        <f>COUNTIF($D156:$W156,0)</f>
        <v>0</v>
      </c>
      <c r="Z156" s="193">
        <f>COUNTIF($D156:$W156,1)</f>
        <v>1</v>
      </c>
      <c r="AA156" s="193">
        <f>COUNTIF($D156:$W156,2)</f>
        <v>0</v>
      </c>
      <c r="AB156" s="193">
        <f>COUNTIF($D156:$W156,3)</f>
        <v>0</v>
      </c>
      <c r="AC156" s="132">
        <f>COUNTIF($D156:$W156,4)</f>
        <v>0</v>
      </c>
      <c r="AD156" s="132">
        <f>COUNTIF($D156:$W156,5)</f>
        <v>0</v>
      </c>
      <c r="AE156" s="132"/>
      <c r="AF156" s="118">
        <v>140</v>
      </c>
    </row>
    <row r="157" spans="2:32" hidden="1" x14ac:dyDescent="0.45">
      <c r="B157" s="130" t="s">
        <v>278</v>
      </c>
      <c r="C157" s="130"/>
      <c r="D157" s="131">
        <f>IF(AND(D$145="",D$151=""),9,IF(AND(D$145="電気",D$151="kW"),1,IF(AND(D$145="都市ガス",D$151="kW"),2,IF(AND(D$145="都市ガス",D$151="ｍ3N/h"),3,IF(AND(D$145="LPG",D$151="kW"),4,IF(AND(D$145="LPG",D$151="kg/h"),5,0))))))</f>
        <v>1</v>
      </c>
      <c r="E157" s="131">
        <f t="shared" ref="E157:W157" si="37">IF(AND(E$145="",E$151=""),9,IF(AND(E$145="電気",E$151="kW"),1,IF(AND(E$145="都市ガス",E$151="kW"),2,IF(AND(E$145="都市ガス",E$151="ｍ3N/h"),3,IF(AND(E$145="LPG",E$151="kW"),4,IF(AND(E$145="LPG",E$151="kg/h"),5,0))))))</f>
        <v>9</v>
      </c>
      <c r="F157" s="131">
        <f t="shared" si="37"/>
        <v>9</v>
      </c>
      <c r="G157" s="131">
        <f t="shared" si="37"/>
        <v>9</v>
      </c>
      <c r="H157" s="131">
        <f t="shared" si="37"/>
        <v>9</v>
      </c>
      <c r="I157" s="131">
        <f t="shared" si="37"/>
        <v>9</v>
      </c>
      <c r="J157" s="131">
        <f t="shared" si="37"/>
        <v>9</v>
      </c>
      <c r="K157" s="131">
        <f t="shared" si="37"/>
        <v>9</v>
      </c>
      <c r="L157" s="131">
        <f t="shared" si="37"/>
        <v>9</v>
      </c>
      <c r="M157" s="131">
        <f t="shared" si="37"/>
        <v>9</v>
      </c>
      <c r="N157" s="131">
        <f t="shared" si="37"/>
        <v>9</v>
      </c>
      <c r="O157" s="131">
        <f t="shared" si="37"/>
        <v>9</v>
      </c>
      <c r="P157" s="131">
        <f t="shared" si="37"/>
        <v>9</v>
      </c>
      <c r="Q157" s="131">
        <f t="shared" si="37"/>
        <v>9</v>
      </c>
      <c r="R157" s="131">
        <f t="shared" si="37"/>
        <v>9</v>
      </c>
      <c r="S157" s="131">
        <f t="shared" si="37"/>
        <v>9</v>
      </c>
      <c r="T157" s="131">
        <f t="shared" si="37"/>
        <v>9</v>
      </c>
      <c r="U157" s="131">
        <f t="shared" si="37"/>
        <v>9</v>
      </c>
      <c r="V157" s="131">
        <f t="shared" si="37"/>
        <v>9</v>
      </c>
      <c r="W157" s="131">
        <f t="shared" si="37"/>
        <v>9</v>
      </c>
      <c r="X157" s="108"/>
      <c r="Y157" s="132">
        <f>COUNTIF($D157:$W157,0)</f>
        <v>0</v>
      </c>
      <c r="Z157" s="193">
        <f>COUNTIF($D157:$W157,1)</f>
        <v>1</v>
      </c>
      <c r="AA157" s="193">
        <f>COUNTIF($D157:$W157,2)</f>
        <v>0</v>
      </c>
      <c r="AB157" s="193">
        <f>COUNTIF($D157:$W157,3)</f>
        <v>0</v>
      </c>
      <c r="AC157" s="132">
        <f>COUNTIF($D157:$W157,4)</f>
        <v>0</v>
      </c>
      <c r="AD157" s="132">
        <f>COUNTIF($D157:$W157,5)</f>
        <v>0</v>
      </c>
      <c r="AE157" s="132"/>
      <c r="AF157" s="118">
        <v>141</v>
      </c>
    </row>
    <row r="158" spans="2:32" hidden="1" x14ac:dyDescent="0.45">
      <c r="B158" s="133" t="s">
        <v>276</v>
      </c>
      <c r="C158" s="133"/>
      <c r="D158" s="134">
        <f>IF(OR(AND(D156=0,D157=0),D156&lt;&gt;D157),1,IF(AND(D156=9,D157=9),2,IF(D156=D157,0,"")))</f>
        <v>0</v>
      </c>
      <c r="E158" s="134">
        <f t="shared" ref="E158:M158" si="38">IF(OR(AND(E156=0,E157=0),E156&lt;&gt;E157),1,IF(AND(E156=9,E157=9),2,IF(E156=E157,0,"")))</f>
        <v>2</v>
      </c>
      <c r="F158" s="134">
        <f t="shared" si="38"/>
        <v>2</v>
      </c>
      <c r="G158" s="134">
        <f t="shared" si="38"/>
        <v>2</v>
      </c>
      <c r="H158" s="134">
        <f t="shared" si="38"/>
        <v>2</v>
      </c>
      <c r="I158" s="134">
        <f t="shared" si="38"/>
        <v>2</v>
      </c>
      <c r="J158" s="134">
        <f t="shared" si="38"/>
        <v>2</v>
      </c>
      <c r="K158" s="134">
        <f t="shared" si="38"/>
        <v>2</v>
      </c>
      <c r="L158" s="134">
        <f t="shared" si="38"/>
        <v>2</v>
      </c>
      <c r="M158" s="134">
        <f t="shared" si="38"/>
        <v>2</v>
      </c>
      <c r="N158" s="134">
        <f t="shared" ref="N158:W158" si="39">IF(OR(AND(N156=0,N157=0),N156&lt;&gt;N157),1,IF(AND(N156=9,N157=9),2,IF(N156=N157,0,"")))</f>
        <v>2</v>
      </c>
      <c r="O158" s="134">
        <f t="shared" si="39"/>
        <v>2</v>
      </c>
      <c r="P158" s="134">
        <f t="shared" si="39"/>
        <v>2</v>
      </c>
      <c r="Q158" s="134">
        <f t="shared" si="39"/>
        <v>2</v>
      </c>
      <c r="R158" s="134">
        <f t="shared" si="39"/>
        <v>2</v>
      </c>
      <c r="S158" s="134">
        <f t="shared" si="39"/>
        <v>2</v>
      </c>
      <c r="T158" s="134">
        <f t="shared" si="39"/>
        <v>2</v>
      </c>
      <c r="U158" s="134">
        <f t="shared" si="39"/>
        <v>2</v>
      </c>
      <c r="V158" s="134">
        <f t="shared" si="39"/>
        <v>2</v>
      </c>
      <c r="W158" s="134">
        <f t="shared" si="39"/>
        <v>2</v>
      </c>
      <c r="X158" s="108" t="str">
        <f>IF(Z158&gt;0,"入力確認",IF(AE160=Y158,"適合","不適合"))</f>
        <v>適合</v>
      </c>
      <c r="Y158" s="132">
        <f>COUNTIF($D158:$W158,0)</f>
        <v>1</v>
      </c>
      <c r="Z158" s="193">
        <f>COUNTIF($D158:$W158,1)</f>
        <v>0</v>
      </c>
      <c r="AA158" s="193">
        <f>COUNTIF($D158:$W158,2)</f>
        <v>19</v>
      </c>
      <c r="AB158" s="193"/>
      <c r="AC158" s="132"/>
      <c r="AD158" s="132"/>
      <c r="AE158" s="132"/>
      <c r="AF158" s="118">
        <v>142</v>
      </c>
    </row>
    <row r="159" spans="2:32" hidden="1" x14ac:dyDescent="0.45">
      <c r="B159" s="181" t="s">
        <v>430</v>
      </c>
      <c r="C159" s="181"/>
      <c r="D159" s="182">
        <f t="shared" ref="D159:N159" si="40">IF(OR(D149&lt;0,D150&lt;0),1,IF(OR(D149&gt;0,D150&gt;0),0,2))</f>
        <v>0</v>
      </c>
      <c r="E159" s="182">
        <f t="shared" si="40"/>
        <v>2</v>
      </c>
      <c r="F159" s="182">
        <f t="shared" si="40"/>
        <v>2</v>
      </c>
      <c r="G159" s="182">
        <f t="shared" si="40"/>
        <v>2</v>
      </c>
      <c r="H159" s="182">
        <f t="shared" si="40"/>
        <v>2</v>
      </c>
      <c r="I159" s="182">
        <f t="shared" si="40"/>
        <v>2</v>
      </c>
      <c r="J159" s="182">
        <f t="shared" si="40"/>
        <v>2</v>
      </c>
      <c r="K159" s="182">
        <f t="shared" si="40"/>
        <v>2</v>
      </c>
      <c r="L159" s="182">
        <f t="shared" si="40"/>
        <v>2</v>
      </c>
      <c r="M159" s="182">
        <f t="shared" si="40"/>
        <v>2</v>
      </c>
      <c r="N159" s="182">
        <f t="shared" si="40"/>
        <v>2</v>
      </c>
      <c r="O159" s="182">
        <f>IF(OR(O149&lt;0,O150&lt;0),1,IF(OR(O149&gt;0,O150&gt;0),0,2))</f>
        <v>2</v>
      </c>
      <c r="P159" s="182">
        <f t="shared" ref="P159:W159" si="41">IF(OR(P149&lt;0,P150&lt;0),1,IF(OR(P149&gt;0,P150&gt;0),0,2))</f>
        <v>2</v>
      </c>
      <c r="Q159" s="182">
        <f t="shared" si="41"/>
        <v>2</v>
      </c>
      <c r="R159" s="182">
        <f t="shared" si="41"/>
        <v>2</v>
      </c>
      <c r="S159" s="182">
        <f t="shared" si="41"/>
        <v>2</v>
      </c>
      <c r="T159" s="182">
        <f t="shared" si="41"/>
        <v>2</v>
      </c>
      <c r="U159" s="182">
        <f t="shared" si="41"/>
        <v>2</v>
      </c>
      <c r="V159" s="182">
        <f t="shared" si="41"/>
        <v>2</v>
      </c>
      <c r="W159" s="182">
        <f t="shared" si="41"/>
        <v>2</v>
      </c>
      <c r="X159" s="108" t="str">
        <f>IF(Z159&gt;0,"入力確認",IF(AE160=Y159,"適合","不適合"))</f>
        <v>適合</v>
      </c>
      <c r="Y159" s="132">
        <f>COUNTIF($D159:$W159,0)</f>
        <v>1</v>
      </c>
      <c r="Z159" s="193">
        <f>COUNTIF($D159:$W159,1)</f>
        <v>0</v>
      </c>
      <c r="AA159" s="193">
        <f>COUNTIF($D159:$W159,2)</f>
        <v>19</v>
      </c>
      <c r="AB159" s="193"/>
      <c r="AC159" s="132"/>
      <c r="AD159" s="132"/>
      <c r="AE159" s="132"/>
      <c r="AF159" s="118">
        <v>143</v>
      </c>
    </row>
    <row r="160" spans="2:32" hidden="1" x14ac:dyDescent="0.45">
      <c r="B160" s="110" t="s">
        <v>252</v>
      </c>
      <c r="C160" s="108"/>
      <c r="D160" s="108">
        <f>IF(AND(D143="",D144="",D145="",D146="",D147="",D148="",D149="",D150="",D151=""),2,IF(AND(D143&lt;&gt;"",D144&lt;&gt;"",D145&lt;&gt;"",D146&lt;&gt;"",D147&lt;&gt;"",D148&lt;&gt;"",D149&lt;&gt;"",D150&lt;&gt;"",D151&lt;&gt;""),0,1))</f>
        <v>0</v>
      </c>
      <c r="E160" s="108">
        <f t="shared" ref="E160:W160" si="42">IF(AND(E143="",E144="",E145="",E146="",E147="",E148="",E149="",E150="",E151=""),2,IF(AND(E143&lt;&gt;"",E144&lt;&gt;"",E145&lt;&gt;"",E146&lt;&gt;"",E147&lt;&gt;"",E148&lt;&gt;"",E149&lt;&gt;"",E150&lt;&gt;"",E151&lt;&gt;""),0,1))</f>
        <v>2</v>
      </c>
      <c r="F160" s="108">
        <f t="shared" si="42"/>
        <v>2</v>
      </c>
      <c r="G160" s="108">
        <f t="shared" si="42"/>
        <v>2</v>
      </c>
      <c r="H160" s="108">
        <f t="shared" si="42"/>
        <v>2</v>
      </c>
      <c r="I160" s="108">
        <f t="shared" si="42"/>
        <v>2</v>
      </c>
      <c r="J160" s="108">
        <f t="shared" si="42"/>
        <v>2</v>
      </c>
      <c r="K160" s="108">
        <f t="shared" si="42"/>
        <v>2</v>
      </c>
      <c r="L160" s="108">
        <f t="shared" si="42"/>
        <v>2</v>
      </c>
      <c r="M160" s="108">
        <f t="shared" si="42"/>
        <v>2</v>
      </c>
      <c r="N160" s="108">
        <f t="shared" si="42"/>
        <v>2</v>
      </c>
      <c r="O160" s="108">
        <f t="shared" si="42"/>
        <v>2</v>
      </c>
      <c r="P160" s="108">
        <f t="shared" si="42"/>
        <v>2</v>
      </c>
      <c r="Q160" s="108">
        <f t="shared" si="42"/>
        <v>2</v>
      </c>
      <c r="R160" s="108">
        <f t="shared" si="42"/>
        <v>2</v>
      </c>
      <c r="S160" s="108">
        <f t="shared" si="42"/>
        <v>2</v>
      </c>
      <c r="T160" s="108">
        <f t="shared" si="42"/>
        <v>2</v>
      </c>
      <c r="U160" s="108">
        <f t="shared" si="42"/>
        <v>2</v>
      </c>
      <c r="V160" s="108">
        <f t="shared" si="42"/>
        <v>2</v>
      </c>
      <c r="W160" s="108">
        <f t="shared" si="42"/>
        <v>2</v>
      </c>
      <c r="X160" s="108" t="str">
        <f>IF(Z160&gt;0,"入力確認",IF(AE160=Y160,"適合","不適合"))</f>
        <v>適合</v>
      </c>
      <c r="Y160" s="132">
        <f>COUNTIF($D160:$W160,0)</f>
        <v>1</v>
      </c>
      <c r="Z160" s="193">
        <f>COUNTIF($D160:$W160,1)</f>
        <v>0</v>
      </c>
      <c r="AA160" s="193">
        <f>COUNTIF($D160:$W160,2)</f>
        <v>19</v>
      </c>
      <c r="AB160" s="193"/>
      <c r="AC160" s="132"/>
      <c r="AD160" s="132"/>
      <c r="AE160" s="180">
        <f>20-COUNTIF($D$143:$W$143,"")</f>
        <v>1</v>
      </c>
      <c r="AF160" s="118">
        <v>144</v>
      </c>
    </row>
    <row r="162" spans="2:25" ht="33" customHeight="1" x14ac:dyDescent="0.45">
      <c r="B162" s="28" t="s">
        <v>273</v>
      </c>
      <c r="C162" s="36"/>
    </row>
    <row r="163" spans="2:25" ht="9" customHeight="1" thickBot="1" x14ac:dyDescent="0.5">
      <c r="B163" s="23"/>
      <c r="C163" s="36"/>
    </row>
    <row r="164" spans="2:25" ht="27" customHeight="1" thickTop="1" x14ac:dyDescent="0.45">
      <c r="B164" s="279" t="s">
        <v>180</v>
      </c>
      <c r="C164" s="408" t="s">
        <v>123</v>
      </c>
      <c r="D164" s="409"/>
      <c r="E164" s="409"/>
      <c r="F164" s="409"/>
      <c r="G164" s="409"/>
      <c r="H164" s="410" t="s">
        <v>124</v>
      </c>
      <c r="I164" s="410"/>
      <c r="J164" s="410"/>
      <c r="K164" s="410"/>
      <c r="L164" s="410"/>
      <c r="M164" s="410"/>
      <c r="N164" s="410"/>
      <c r="O164" s="407" t="s">
        <v>282</v>
      </c>
      <c r="P164" s="407"/>
      <c r="Q164" s="407"/>
      <c r="R164" s="407"/>
      <c r="S164" s="407"/>
      <c r="T164" s="407"/>
      <c r="U164" s="405" t="s">
        <v>179</v>
      </c>
      <c r="V164" s="406"/>
      <c r="W164" s="152"/>
      <c r="X164" s="154"/>
      <c r="Y164" s="140"/>
    </row>
    <row r="165" spans="2:25" ht="27" customHeight="1" thickBot="1" x14ac:dyDescent="0.5">
      <c r="B165" s="333" t="s">
        <v>293</v>
      </c>
      <c r="C165" s="437" t="s">
        <v>569</v>
      </c>
      <c r="D165" s="438"/>
      <c r="E165" s="438"/>
      <c r="F165" s="438"/>
      <c r="G165" s="438"/>
      <c r="H165" s="438" t="s">
        <v>570</v>
      </c>
      <c r="I165" s="438"/>
      <c r="J165" s="438"/>
      <c r="K165" s="438"/>
      <c r="L165" s="438"/>
      <c r="M165" s="438"/>
      <c r="N165" s="438"/>
      <c r="O165" s="438" t="s">
        <v>573</v>
      </c>
      <c r="P165" s="438"/>
      <c r="Q165" s="438"/>
      <c r="R165" s="438"/>
      <c r="S165" s="438"/>
      <c r="T165" s="438"/>
      <c r="U165" s="438" t="s">
        <v>571</v>
      </c>
      <c r="V165" s="438"/>
      <c r="W165" s="153"/>
      <c r="X165" s="154"/>
      <c r="Y165" s="141"/>
    </row>
    <row r="166" spans="2:25" ht="27" customHeight="1" thickTop="1" x14ac:dyDescent="0.45">
      <c r="B166" s="278" t="s">
        <v>313</v>
      </c>
      <c r="C166" s="390"/>
      <c r="D166" s="390"/>
      <c r="E166" s="390"/>
      <c r="F166" s="390"/>
      <c r="G166" s="390"/>
      <c r="H166" s="390"/>
      <c r="I166" s="390"/>
      <c r="J166" s="390"/>
      <c r="K166" s="390"/>
      <c r="L166" s="390"/>
      <c r="M166" s="390"/>
      <c r="N166" s="390"/>
      <c r="O166" s="390"/>
      <c r="P166" s="390"/>
      <c r="Q166" s="390"/>
      <c r="R166" s="390"/>
      <c r="S166" s="390"/>
      <c r="T166" s="390"/>
      <c r="U166" s="390"/>
      <c r="V166" s="390"/>
      <c r="W166" s="153"/>
      <c r="X166" s="154"/>
      <c r="Y166" s="141"/>
    </row>
    <row r="167" spans="2:25" ht="27" customHeight="1" x14ac:dyDescent="0.45">
      <c r="B167" s="80" t="s">
        <v>295</v>
      </c>
      <c r="C167" s="390"/>
      <c r="D167" s="390"/>
      <c r="E167" s="390"/>
      <c r="F167" s="390"/>
      <c r="G167" s="390"/>
      <c r="H167" s="390"/>
      <c r="I167" s="390"/>
      <c r="J167" s="390"/>
      <c r="K167" s="390"/>
      <c r="L167" s="390"/>
      <c r="M167" s="390"/>
      <c r="N167" s="390"/>
      <c r="O167" s="390"/>
      <c r="P167" s="390"/>
      <c r="Q167" s="390"/>
      <c r="R167" s="390"/>
      <c r="S167" s="390"/>
      <c r="T167" s="390"/>
      <c r="U167" s="390"/>
      <c r="V167" s="390"/>
      <c r="W167" s="153"/>
      <c r="X167" s="154"/>
      <c r="Y167" s="141"/>
    </row>
    <row r="168" spans="2:25" ht="27" customHeight="1" x14ac:dyDescent="0.45">
      <c r="B168" s="80" t="s">
        <v>296</v>
      </c>
      <c r="C168" s="390"/>
      <c r="D168" s="390"/>
      <c r="E168" s="390"/>
      <c r="F168" s="390"/>
      <c r="G168" s="390"/>
      <c r="H168" s="390"/>
      <c r="I168" s="390"/>
      <c r="J168" s="390"/>
      <c r="K168" s="390"/>
      <c r="L168" s="390"/>
      <c r="M168" s="390"/>
      <c r="N168" s="390"/>
      <c r="O168" s="390"/>
      <c r="P168" s="390"/>
      <c r="Q168" s="390"/>
      <c r="R168" s="390"/>
      <c r="S168" s="390"/>
      <c r="T168" s="390"/>
      <c r="U168" s="390"/>
      <c r="V168" s="390"/>
      <c r="W168" s="153"/>
      <c r="X168" s="154"/>
      <c r="Y168" s="141"/>
    </row>
    <row r="169" spans="2:25" ht="27" customHeight="1" x14ac:dyDescent="0.45">
      <c r="B169" s="80" t="s">
        <v>297</v>
      </c>
      <c r="C169" s="390"/>
      <c r="D169" s="390"/>
      <c r="E169" s="390"/>
      <c r="F169" s="390"/>
      <c r="G169" s="390"/>
      <c r="H169" s="390"/>
      <c r="I169" s="390"/>
      <c r="J169" s="390"/>
      <c r="K169" s="390"/>
      <c r="L169" s="390"/>
      <c r="M169" s="390"/>
      <c r="N169" s="390"/>
      <c r="O169" s="390"/>
      <c r="P169" s="390"/>
      <c r="Q169" s="390"/>
      <c r="R169" s="390"/>
      <c r="S169" s="390"/>
      <c r="T169" s="390"/>
      <c r="U169" s="390"/>
      <c r="V169" s="390"/>
      <c r="W169" s="153"/>
      <c r="X169" s="154"/>
      <c r="Y169" s="141"/>
    </row>
    <row r="170" spans="2:25" ht="27" customHeight="1" x14ac:dyDescent="0.45">
      <c r="B170" s="80" t="s">
        <v>298</v>
      </c>
      <c r="C170" s="390"/>
      <c r="D170" s="390"/>
      <c r="E170" s="390"/>
      <c r="F170" s="390"/>
      <c r="G170" s="390"/>
      <c r="H170" s="390"/>
      <c r="I170" s="390"/>
      <c r="J170" s="390"/>
      <c r="K170" s="390"/>
      <c r="L170" s="390"/>
      <c r="M170" s="390"/>
      <c r="N170" s="390"/>
      <c r="O170" s="390"/>
      <c r="P170" s="390"/>
      <c r="Q170" s="390"/>
      <c r="R170" s="390"/>
      <c r="S170" s="390"/>
      <c r="T170" s="390"/>
      <c r="U170" s="390"/>
      <c r="V170" s="390"/>
      <c r="W170" s="153"/>
      <c r="X170" s="154"/>
      <c r="Y170" s="141"/>
    </row>
    <row r="171" spans="2:25" ht="27" customHeight="1" x14ac:dyDescent="0.45">
      <c r="B171" s="80" t="s">
        <v>299</v>
      </c>
      <c r="C171" s="390"/>
      <c r="D171" s="390"/>
      <c r="E171" s="390"/>
      <c r="F171" s="390"/>
      <c r="G171" s="390"/>
      <c r="H171" s="390"/>
      <c r="I171" s="390"/>
      <c r="J171" s="390"/>
      <c r="K171" s="390"/>
      <c r="L171" s="390"/>
      <c r="M171" s="390"/>
      <c r="N171" s="390"/>
      <c r="O171" s="390"/>
      <c r="P171" s="390"/>
      <c r="Q171" s="390"/>
      <c r="R171" s="390"/>
      <c r="S171" s="390"/>
      <c r="T171" s="390"/>
      <c r="U171" s="390"/>
      <c r="V171" s="390"/>
      <c r="W171" s="153"/>
      <c r="X171" s="154"/>
      <c r="Y171" s="141"/>
    </row>
    <row r="172" spans="2:25" ht="27" customHeight="1" x14ac:dyDescent="0.45">
      <c r="B172" s="80" t="s">
        <v>300</v>
      </c>
      <c r="C172" s="390"/>
      <c r="D172" s="390"/>
      <c r="E172" s="390"/>
      <c r="F172" s="390"/>
      <c r="G172" s="390"/>
      <c r="H172" s="390"/>
      <c r="I172" s="390"/>
      <c r="J172" s="390"/>
      <c r="K172" s="390"/>
      <c r="L172" s="390"/>
      <c r="M172" s="390"/>
      <c r="N172" s="390"/>
      <c r="O172" s="390"/>
      <c r="P172" s="390"/>
      <c r="Q172" s="390"/>
      <c r="R172" s="390"/>
      <c r="S172" s="390"/>
      <c r="T172" s="390"/>
      <c r="U172" s="390"/>
      <c r="V172" s="390"/>
      <c r="W172" s="153"/>
      <c r="X172" s="154"/>
      <c r="Y172" s="141"/>
    </row>
    <row r="173" spans="2:25" ht="27" customHeight="1" x14ac:dyDescent="0.45">
      <c r="B173" s="80" t="s">
        <v>301</v>
      </c>
      <c r="C173" s="390"/>
      <c r="D173" s="390"/>
      <c r="E173" s="390"/>
      <c r="F173" s="390"/>
      <c r="G173" s="390"/>
      <c r="H173" s="390"/>
      <c r="I173" s="390"/>
      <c r="J173" s="390"/>
      <c r="K173" s="390"/>
      <c r="L173" s="390"/>
      <c r="M173" s="390"/>
      <c r="N173" s="390"/>
      <c r="O173" s="390"/>
      <c r="P173" s="390"/>
      <c r="Q173" s="390"/>
      <c r="R173" s="390"/>
      <c r="S173" s="390"/>
      <c r="T173" s="390"/>
      <c r="U173" s="390"/>
      <c r="V173" s="390"/>
      <c r="W173" s="153"/>
      <c r="X173" s="154"/>
      <c r="Y173" s="141"/>
    </row>
    <row r="174" spans="2:25" ht="27" customHeight="1" x14ac:dyDescent="0.45">
      <c r="B174" s="80" t="s">
        <v>302</v>
      </c>
      <c r="C174" s="390"/>
      <c r="D174" s="390"/>
      <c r="E174" s="390"/>
      <c r="F174" s="390"/>
      <c r="G174" s="390"/>
      <c r="H174" s="390"/>
      <c r="I174" s="390"/>
      <c r="J174" s="390"/>
      <c r="K174" s="390"/>
      <c r="L174" s="390"/>
      <c r="M174" s="390"/>
      <c r="N174" s="390"/>
      <c r="O174" s="390"/>
      <c r="P174" s="390"/>
      <c r="Q174" s="390"/>
      <c r="R174" s="390"/>
      <c r="S174" s="390"/>
      <c r="T174" s="390"/>
      <c r="U174" s="390"/>
      <c r="V174" s="390"/>
      <c r="W174" s="153"/>
      <c r="X174" s="154"/>
      <c r="Y174" s="141"/>
    </row>
    <row r="175" spans="2:25" ht="27" customHeight="1" x14ac:dyDescent="0.45">
      <c r="B175" s="80" t="s">
        <v>357</v>
      </c>
      <c r="C175" s="390"/>
      <c r="D175" s="390"/>
      <c r="E175" s="390"/>
      <c r="F175" s="390"/>
      <c r="G175" s="390"/>
      <c r="H175" s="390"/>
      <c r="I175" s="390"/>
      <c r="J175" s="390"/>
      <c r="K175" s="390"/>
      <c r="L175" s="390"/>
      <c r="M175" s="390"/>
      <c r="N175" s="390"/>
      <c r="O175" s="390"/>
      <c r="P175" s="390"/>
      <c r="Q175" s="390"/>
      <c r="R175" s="390"/>
      <c r="S175" s="390"/>
      <c r="T175" s="390"/>
      <c r="U175" s="390"/>
      <c r="V175" s="390"/>
      <c r="W175" s="153"/>
      <c r="X175" s="154"/>
      <c r="Y175" s="141"/>
    </row>
    <row r="176" spans="2:25" ht="27" customHeight="1" x14ac:dyDescent="0.45">
      <c r="B176" s="80" t="s">
        <v>358</v>
      </c>
      <c r="C176" s="390"/>
      <c r="D176" s="390"/>
      <c r="E176" s="390"/>
      <c r="F176" s="390"/>
      <c r="G176" s="390"/>
      <c r="H176" s="390"/>
      <c r="I176" s="390"/>
      <c r="J176" s="390"/>
      <c r="K176" s="390"/>
      <c r="L176" s="390"/>
      <c r="M176" s="390"/>
      <c r="N176" s="390"/>
      <c r="O176" s="390"/>
      <c r="P176" s="390"/>
      <c r="Q176" s="390"/>
      <c r="R176" s="390"/>
      <c r="S176" s="390"/>
      <c r="T176" s="390"/>
      <c r="U176" s="390"/>
      <c r="V176" s="390"/>
      <c r="W176" s="153"/>
      <c r="X176" s="154"/>
      <c r="Y176" s="141"/>
    </row>
    <row r="177" spans="2:25" ht="27" customHeight="1" x14ac:dyDescent="0.45">
      <c r="B177" s="80" t="s">
        <v>359</v>
      </c>
      <c r="C177" s="390"/>
      <c r="D177" s="390"/>
      <c r="E177" s="390"/>
      <c r="F177" s="390"/>
      <c r="G177" s="390"/>
      <c r="H177" s="390"/>
      <c r="I177" s="390"/>
      <c r="J177" s="390"/>
      <c r="K177" s="390"/>
      <c r="L177" s="390"/>
      <c r="M177" s="390"/>
      <c r="N177" s="390"/>
      <c r="O177" s="390"/>
      <c r="P177" s="390"/>
      <c r="Q177" s="390"/>
      <c r="R177" s="390"/>
      <c r="S177" s="390"/>
      <c r="T177" s="390"/>
      <c r="U177" s="390"/>
      <c r="V177" s="390"/>
      <c r="W177" s="153"/>
      <c r="X177" s="154"/>
      <c r="Y177" s="141"/>
    </row>
    <row r="178" spans="2:25" ht="27" customHeight="1" x14ac:dyDescent="0.45">
      <c r="B178" s="80" t="s">
        <v>360</v>
      </c>
      <c r="C178" s="390"/>
      <c r="D178" s="390"/>
      <c r="E178" s="390"/>
      <c r="F178" s="390"/>
      <c r="G178" s="390"/>
      <c r="H178" s="390"/>
      <c r="I178" s="390"/>
      <c r="J178" s="390"/>
      <c r="K178" s="390"/>
      <c r="L178" s="390"/>
      <c r="M178" s="390"/>
      <c r="N178" s="390"/>
      <c r="O178" s="390"/>
      <c r="P178" s="390"/>
      <c r="Q178" s="390"/>
      <c r="R178" s="390"/>
      <c r="S178" s="390"/>
      <c r="T178" s="390"/>
      <c r="U178" s="390"/>
      <c r="V178" s="390"/>
      <c r="W178" s="153"/>
      <c r="X178" s="154"/>
      <c r="Y178" s="141"/>
    </row>
    <row r="179" spans="2:25" ht="27" customHeight="1" x14ac:dyDescent="0.45">
      <c r="B179" s="80" t="s">
        <v>361</v>
      </c>
      <c r="C179" s="390"/>
      <c r="D179" s="390"/>
      <c r="E179" s="390"/>
      <c r="F179" s="390"/>
      <c r="G179" s="390"/>
      <c r="H179" s="390"/>
      <c r="I179" s="390"/>
      <c r="J179" s="390"/>
      <c r="K179" s="390"/>
      <c r="L179" s="390"/>
      <c r="M179" s="390"/>
      <c r="N179" s="390"/>
      <c r="O179" s="390"/>
      <c r="P179" s="390"/>
      <c r="Q179" s="390"/>
      <c r="R179" s="390"/>
      <c r="S179" s="390"/>
      <c r="T179" s="390"/>
      <c r="U179" s="390"/>
      <c r="V179" s="390"/>
      <c r="W179" s="153"/>
      <c r="X179" s="154"/>
      <c r="Y179" s="141"/>
    </row>
    <row r="180" spans="2:25" ht="27" customHeight="1" x14ac:dyDescent="0.45">
      <c r="B180" s="80" t="s">
        <v>362</v>
      </c>
      <c r="C180" s="390"/>
      <c r="D180" s="390"/>
      <c r="E180" s="390"/>
      <c r="F180" s="390"/>
      <c r="G180" s="390"/>
      <c r="H180" s="390"/>
      <c r="I180" s="390"/>
      <c r="J180" s="390"/>
      <c r="K180" s="390"/>
      <c r="L180" s="390"/>
      <c r="M180" s="390"/>
      <c r="N180" s="390"/>
      <c r="O180" s="390"/>
      <c r="P180" s="390"/>
      <c r="Q180" s="390"/>
      <c r="R180" s="390"/>
      <c r="S180" s="390"/>
      <c r="T180" s="390"/>
      <c r="U180" s="390"/>
      <c r="V180" s="390"/>
      <c r="W180" s="153"/>
      <c r="X180" s="154"/>
      <c r="Y180" s="141"/>
    </row>
    <row r="181" spans="2:25" ht="27" customHeight="1" x14ac:dyDescent="0.45">
      <c r="B181" s="80" t="s">
        <v>363</v>
      </c>
      <c r="C181" s="390"/>
      <c r="D181" s="390"/>
      <c r="E181" s="390"/>
      <c r="F181" s="390"/>
      <c r="G181" s="390"/>
      <c r="H181" s="390"/>
      <c r="I181" s="390"/>
      <c r="J181" s="390"/>
      <c r="K181" s="390"/>
      <c r="L181" s="390"/>
      <c r="M181" s="390"/>
      <c r="N181" s="390"/>
      <c r="O181" s="390"/>
      <c r="P181" s="390"/>
      <c r="Q181" s="390"/>
      <c r="R181" s="390"/>
      <c r="S181" s="390"/>
      <c r="T181" s="390"/>
      <c r="U181" s="390"/>
      <c r="V181" s="390"/>
      <c r="W181" s="153"/>
      <c r="X181" s="154"/>
      <c r="Y181" s="141"/>
    </row>
    <row r="182" spans="2:25" ht="27" customHeight="1" x14ac:dyDescent="0.45">
      <c r="B182" s="80" t="s">
        <v>364</v>
      </c>
      <c r="C182" s="390"/>
      <c r="D182" s="390"/>
      <c r="E182" s="390"/>
      <c r="F182" s="390"/>
      <c r="G182" s="390"/>
      <c r="H182" s="390"/>
      <c r="I182" s="390"/>
      <c r="J182" s="390"/>
      <c r="K182" s="390"/>
      <c r="L182" s="390"/>
      <c r="M182" s="390"/>
      <c r="N182" s="390"/>
      <c r="O182" s="390"/>
      <c r="P182" s="390"/>
      <c r="Q182" s="390"/>
      <c r="R182" s="390"/>
      <c r="S182" s="390"/>
      <c r="T182" s="390"/>
      <c r="U182" s="390"/>
      <c r="V182" s="390"/>
      <c r="W182" s="153"/>
      <c r="X182" s="154"/>
      <c r="Y182" s="141"/>
    </row>
    <row r="183" spans="2:25" ht="27" customHeight="1" x14ac:dyDescent="0.45">
      <c r="B183" s="80" t="s">
        <v>365</v>
      </c>
      <c r="C183" s="390"/>
      <c r="D183" s="390"/>
      <c r="E183" s="390"/>
      <c r="F183" s="390"/>
      <c r="G183" s="390"/>
      <c r="H183" s="390"/>
      <c r="I183" s="390"/>
      <c r="J183" s="390"/>
      <c r="K183" s="390"/>
      <c r="L183" s="390"/>
      <c r="M183" s="390"/>
      <c r="N183" s="390"/>
      <c r="O183" s="390"/>
      <c r="P183" s="390"/>
      <c r="Q183" s="390"/>
      <c r="R183" s="390"/>
      <c r="S183" s="390"/>
      <c r="T183" s="390"/>
      <c r="U183" s="390"/>
      <c r="V183" s="390"/>
      <c r="W183" s="153"/>
      <c r="X183" s="154"/>
      <c r="Y183" s="141"/>
    </row>
    <row r="184" spans="2:25" ht="27" customHeight="1" x14ac:dyDescent="0.45">
      <c r="B184" s="80" t="s">
        <v>366</v>
      </c>
      <c r="C184" s="416"/>
      <c r="D184" s="416"/>
      <c r="E184" s="416"/>
      <c r="F184" s="416"/>
      <c r="G184" s="416"/>
      <c r="H184" s="416"/>
      <c r="I184" s="416"/>
      <c r="J184" s="416"/>
      <c r="K184" s="416"/>
      <c r="L184" s="416"/>
      <c r="M184" s="416"/>
      <c r="N184" s="416"/>
      <c r="O184" s="416"/>
      <c r="P184" s="416"/>
      <c r="Q184" s="416"/>
      <c r="R184" s="416"/>
      <c r="S184" s="416"/>
      <c r="T184" s="416"/>
      <c r="U184" s="416"/>
      <c r="V184" s="416"/>
      <c r="W184" s="153"/>
      <c r="X184" s="154"/>
      <c r="Y184" s="141"/>
    </row>
    <row r="185" spans="2:25" ht="20.25" thickBot="1" x14ac:dyDescent="0.5">
      <c r="B185" s="212"/>
      <c r="C185" s="82"/>
      <c r="D185" s="82"/>
      <c r="E185" s="82"/>
      <c r="F185" s="82"/>
      <c r="G185" s="82"/>
      <c r="H185" s="82"/>
      <c r="I185" s="83"/>
      <c r="J185" s="83"/>
      <c r="K185" s="83"/>
      <c r="L185" s="83"/>
      <c r="M185" s="81"/>
      <c r="N185" s="139"/>
      <c r="O185" s="139"/>
      <c r="P185" s="139"/>
      <c r="Q185" s="139"/>
      <c r="R185" s="139"/>
      <c r="S185" s="139"/>
      <c r="T185" s="139"/>
      <c r="U185" s="139"/>
      <c r="V185" s="139"/>
      <c r="W185" s="139"/>
      <c r="X185" s="139"/>
    </row>
    <row r="186" spans="2:25" ht="27" customHeight="1" thickTop="1" thickBot="1" x14ac:dyDescent="0.5">
      <c r="B186" s="285" t="s">
        <v>181</v>
      </c>
      <c r="C186" s="408" t="s">
        <v>123</v>
      </c>
      <c r="D186" s="409"/>
      <c r="E186" s="409"/>
      <c r="F186" s="409"/>
      <c r="G186" s="409"/>
      <c r="H186" s="410" t="s">
        <v>124</v>
      </c>
      <c r="I186" s="410"/>
      <c r="J186" s="410"/>
      <c r="K186" s="410"/>
      <c r="L186" s="410"/>
      <c r="M186" s="410"/>
      <c r="N186" s="410"/>
      <c r="O186" s="407" t="s">
        <v>282</v>
      </c>
      <c r="P186" s="407"/>
      <c r="Q186" s="407"/>
      <c r="R186" s="407"/>
      <c r="S186" s="407"/>
      <c r="T186" s="407"/>
      <c r="U186" s="405" t="s">
        <v>179</v>
      </c>
      <c r="V186" s="406"/>
      <c r="W186" s="446" t="s">
        <v>198</v>
      </c>
      <c r="X186" s="447"/>
    </row>
    <row r="187" spans="2:25" ht="27" customHeight="1" thickTop="1" thickBot="1" x14ac:dyDescent="0.5">
      <c r="B187" s="334" t="s">
        <v>303</v>
      </c>
      <c r="C187" s="437" t="s">
        <v>569</v>
      </c>
      <c r="D187" s="438"/>
      <c r="E187" s="438"/>
      <c r="F187" s="438"/>
      <c r="G187" s="438"/>
      <c r="H187" s="438" t="s">
        <v>572</v>
      </c>
      <c r="I187" s="438"/>
      <c r="J187" s="438"/>
      <c r="K187" s="438"/>
      <c r="L187" s="438"/>
      <c r="M187" s="438"/>
      <c r="N187" s="438"/>
      <c r="O187" s="438" t="s">
        <v>574</v>
      </c>
      <c r="P187" s="438"/>
      <c r="Q187" s="438"/>
      <c r="R187" s="438"/>
      <c r="S187" s="438"/>
      <c r="T187" s="438"/>
      <c r="U187" s="438" t="s">
        <v>571</v>
      </c>
      <c r="V187" s="439"/>
      <c r="W187" s="448" t="s">
        <v>244</v>
      </c>
      <c r="X187" s="449"/>
    </row>
    <row r="188" spans="2:25" ht="27" customHeight="1" thickTop="1" x14ac:dyDescent="0.45">
      <c r="B188" s="284" t="s">
        <v>314</v>
      </c>
      <c r="C188" s="390"/>
      <c r="D188" s="390"/>
      <c r="E188" s="390"/>
      <c r="F188" s="390"/>
      <c r="G188" s="390"/>
      <c r="H188" s="390"/>
      <c r="I188" s="390"/>
      <c r="J188" s="390"/>
      <c r="K188" s="390"/>
      <c r="L188" s="390"/>
      <c r="M188" s="390"/>
      <c r="N188" s="390"/>
      <c r="O188" s="390"/>
      <c r="P188" s="390"/>
      <c r="Q188" s="390"/>
      <c r="R188" s="390"/>
      <c r="S188" s="390"/>
      <c r="T188" s="390"/>
      <c r="U188" s="390"/>
      <c r="V188" s="390"/>
      <c r="W188" s="450"/>
      <c r="X188" s="451"/>
    </row>
    <row r="189" spans="2:25" ht="27" customHeight="1" x14ac:dyDescent="0.45">
      <c r="B189" s="142" t="s">
        <v>305</v>
      </c>
      <c r="C189" s="390"/>
      <c r="D189" s="390"/>
      <c r="E189" s="390"/>
      <c r="F189" s="390"/>
      <c r="G189" s="390"/>
      <c r="H189" s="390"/>
      <c r="I189" s="390"/>
      <c r="J189" s="390"/>
      <c r="K189" s="390"/>
      <c r="L189" s="390"/>
      <c r="M189" s="390"/>
      <c r="N189" s="390"/>
      <c r="O189" s="390"/>
      <c r="P189" s="390"/>
      <c r="Q189" s="390"/>
      <c r="R189" s="390"/>
      <c r="S189" s="390"/>
      <c r="T189" s="390"/>
      <c r="U189" s="390"/>
      <c r="V189" s="390"/>
      <c r="W189" s="419"/>
      <c r="X189" s="420"/>
    </row>
    <row r="190" spans="2:25" ht="27" customHeight="1" x14ac:dyDescent="0.45">
      <c r="B190" s="142" t="s">
        <v>306</v>
      </c>
      <c r="C190" s="390"/>
      <c r="D190" s="390"/>
      <c r="E190" s="390"/>
      <c r="F190" s="390"/>
      <c r="G190" s="390"/>
      <c r="H190" s="390"/>
      <c r="I190" s="390"/>
      <c r="J190" s="390"/>
      <c r="K190" s="390"/>
      <c r="L190" s="390"/>
      <c r="M190" s="390"/>
      <c r="N190" s="390"/>
      <c r="O190" s="390"/>
      <c r="P190" s="390"/>
      <c r="Q190" s="390"/>
      <c r="R190" s="390"/>
      <c r="S190" s="390"/>
      <c r="T190" s="390"/>
      <c r="U190" s="390"/>
      <c r="V190" s="390"/>
      <c r="W190" s="419"/>
      <c r="X190" s="420"/>
    </row>
    <row r="191" spans="2:25" ht="27" customHeight="1" x14ac:dyDescent="0.45">
      <c r="B191" s="142" t="s">
        <v>307</v>
      </c>
      <c r="C191" s="390"/>
      <c r="D191" s="390"/>
      <c r="E191" s="390"/>
      <c r="F191" s="390"/>
      <c r="G191" s="390"/>
      <c r="H191" s="390"/>
      <c r="I191" s="390"/>
      <c r="J191" s="390"/>
      <c r="K191" s="390"/>
      <c r="L191" s="390"/>
      <c r="M191" s="390"/>
      <c r="N191" s="390"/>
      <c r="O191" s="390"/>
      <c r="P191" s="390"/>
      <c r="Q191" s="390"/>
      <c r="R191" s="390"/>
      <c r="S191" s="390"/>
      <c r="T191" s="390"/>
      <c r="U191" s="390"/>
      <c r="V191" s="390"/>
      <c r="W191" s="419"/>
      <c r="X191" s="420"/>
    </row>
    <row r="192" spans="2:25" ht="27" customHeight="1" x14ac:dyDescent="0.45">
      <c r="B192" s="142" t="s">
        <v>308</v>
      </c>
      <c r="C192" s="390"/>
      <c r="D192" s="390"/>
      <c r="E192" s="390"/>
      <c r="F192" s="390"/>
      <c r="G192" s="390"/>
      <c r="H192" s="390"/>
      <c r="I192" s="390"/>
      <c r="J192" s="390"/>
      <c r="K192" s="390"/>
      <c r="L192" s="390"/>
      <c r="M192" s="390"/>
      <c r="N192" s="390"/>
      <c r="O192" s="390"/>
      <c r="P192" s="390"/>
      <c r="Q192" s="390"/>
      <c r="R192" s="390"/>
      <c r="S192" s="390"/>
      <c r="T192" s="390"/>
      <c r="U192" s="390"/>
      <c r="V192" s="390"/>
      <c r="W192" s="419"/>
      <c r="X192" s="420"/>
    </row>
    <row r="193" spans="2:24" ht="27" customHeight="1" x14ac:dyDescent="0.45">
      <c r="B193" s="142" t="s">
        <v>309</v>
      </c>
      <c r="C193" s="390"/>
      <c r="D193" s="390"/>
      <c r="E193" s="390"/>
      <c r="F193" s="390"/>
      <c r="G193" s="390"/>
      <c r="H193" s="390"/>
      <c r="I193" s="390"/>
      <c r="J193" s="390"/>
      <c r="K193" s="390"/>
      <c r="L193" s="390"/>
      <c r="M193" s="390"/>
      <c r="N193" s="390"/>
      <c r="O193" s="390"/>
      <c r="P193" s="390"/>
      <c r="Q193" s="390"/>
      <c r="R193" s="390"/>
      <c r="S193" s="390"/>
      <c r="T193" s="390"/>
      <c r="U193" s="390"/>
      <c r="V193" s="390"/>
      <c r="W193" s="419"/>
      <c r="X193" s="420"/>
    </row>
    <row r="194" spans="2:24" ht="27" customHeight="1" x14ac:dyDescent="0.45">
      <c r="B194" s="142" t="s">
        <v>310</v>
      </c>
      <c r="C194" s="390"/>
      <c r="D194" s="390"/>
      <c r="E194" s="390"/>
      <c r="F194" s="390"/>
      <c r="G194" s="390"/>
      <c r="H194" s="390"/>
      <c r="I194" s="390"/>
      <c r="J194" s="390"/>
      <c r="K194" s="390"/>
      <c r="L194" s="390"/>
      <c r="M194" s="390"/>
      <c r="N194" s="390"/>
      <c r="O194" s="390"/>
      <c r="P194" s="390"/>
      <c r="Q194" s="390"/>
      <c r="R194" s="390"/>
      <c r="S194" s="390"/>
      <c r="T194" s="390"/>
      <c r="U194" s="390"/>
      <c r="V194" s="390"/>
      <c r="W194" s="419"/>
      <c r="X194" s="420"/>
    </row>
    <row r="195" spans="2:24" ht="27" customHeight="1" x14ac:dyDescent="0.45">
      <c r="B195" s="142" t="s">
        <v>311</v>
      </c>
      <c r="C195" s="390"/>
      <c r="D195" s="390"/>
      <c r="E195" s="390"/>
      <c r="F195" s="390"/>
      <c r="G195" s="390"/>
      <c r="H195" s="390"/>
      <c r="I195" s="390"/>
      <c r="J195" s="390"/>
      <c r="K195" s="390"/>
      <c r="L195" s="390"/>
      <c r="M195" s="390"/>
      <c r="N195" s="390"/>
      <c r="O195" s="390"/>
      <c r="P195" s="390"/>
      <c r="Q195" s="390"/>
      <c r="R195" s="390"/>
      <c r="S195" s="390"/>
      <c r="T195" s="390"/>
      <c r="U195" s="390"/>
      <c r="V195" s="390"/>
      <c r="W195" s="419"/>
      <c r="X195" s="420"/>
    </row>
    <row r="196" spans="2:24" ht="27" customHeight="1" x14ac:dyDescent="0.45">
      <c r="B196" s="142" t="s">
        <v>312</v>
      </c>
      <c r="C196" s="390"/>
      <c r="D196" s="390"/>
      <c r="E196" s="390"/>
      <c r="F196" s="390"/>
      <c r="G196" s="390"/>
      <c r="H196" s="390"/>
      <c r="I196" s="390"/>
      <c r="J196" s="390"/>
      <c r="K196" s="390"/>
      <c r="L196" s="390"/>
      <c r="M196" s="390"/>
      <c r="N196" s="390"/>
      <c r="O196" s="390"/>
      <c r="P196" s="390"/>
      <c r="Q196" s="390"/>
      <c r="R196" s="390"/>
      <c r="S196" s="390"/>
      <c r="T196" s="390"/>
      <c r="U196" s="390"/>
      <c r="V196" s="390"/>
      <c r="W196" s="419"/>
      <c r="X196" s="420"/>
    </row>
    <row r="197" spans="2:24" ht="27" customHeight="1" x14ac:dyDescent="0.45">
      <c r="B197" s="142" t="s">
        <v>367</v>
      </c>
      <c r="C197" s="390"/>
      <c r="D197" s="390"/>
      <c r="E197" s="390"/>
      <c r="F197" s="390"/>
      <c r="G197" s="390"/>
      <c r="H197" s="390"/>
      <c r="I197" s="390"/>
      <c r="J197" s="390"/>
      <c r="K197" s="390"/>
      <c r="L197" s="390"/>
      <c r="M197" s="390"/>
      <c r="N197" s="390"/>
      <c r="O197" s="390"/>
      <c r="P197" s="390"/>
      <c r="Q197" s="390"/>
      <c r="R197" s="390"/>
      <c r="S197" s="390"/>
      <c r="T197" s="390"/>
      <c r="U197" s="390"/>
      <c r="V197" s="390"/>
      <c r="W197" s="419"/>
      <c r="X197" s="420"/>
    </row>
    <row r="198" spans="2:24" ht="27" customHeight="1" x14ac:dyDescent="0.45">
      <c r="B198" s="142" t="s">
        <v>368</v>
      </c>
      <c r="C198" s="390"/>
      <c r="D198" s="390"/>
      <c r="E198" s="390"/>
      <c r="F198" s="390"/>
      <c r="G198" s="390"/>
      <c r="H198" s="390"/>
      <c r="I198" s="390"/>
      <c r="J198" s="390"/>
      <c r="K198" s="390"/>
      <c r="L198" s="390"/>
      <c r="M198" s="390"/>
      <c r="N198" s="390"/>
      <c r="O198" s="390"/>
      <c r="P198" s="390"/>
      <c r="Q198" s="390"/>
      <c r="R198" s="390"/>
      <c r="S198" s="390"/>
      <c r="T198" s="390"/>
      <c r="U198" s="390"/>
      <c r="V198" s="390"/>
      <c r="W198" s="419"/>
      <c r="X198" s="420"/>
    </row>
    <row r="199" spans="2:24" ht="27" customHeight="1" x14ac:dyDescent="0.45">
      <c r="B199" s="142" t="s">
        <v>369</v>
      </c>
      <c r="C199" s="390"/>
      <c r="D199" s="390"/>
      <c r="E199" s="390"/>
      <c r="F199" s="390"/>
      <c r="G199" s="390"/>
      <c r="H199" s="390"/>
      <c r="I199" s="390"/>
      <c r="J199" s="390"/>
      <c r="K199" s="390"/>
      <c r="L199" s="390"/>
      <c r="M199" s="390"/>
      <c r="N199" s="390"/>
      <c r="O199" s="390"/>
      <c r="P199" s="390"/>
      <c r="Q199" s="390"/>
      <c r="R199" s="390"/>
      <c r="S199" s="390"/>
      <c r="T199" s="390"/>
      <c r="U199" s="390"/>
      <c r="V199" s="390"/>
      <c r="W199" s="419"/>
      <c r="X199" s="420"/>
    </row>
    <row r="200" spans="2:24" ht="27" customHeight="1" x14ac:dyDescent="0.45">
      <c r="B200" s="142" t="s">
        <v>370</v>
      </c>
      <c r="C200" s="390"/>
      <c r="D200" s="390"/>
      <c r="E200" s="390"/>
      <c r="F200" s="390"/>
      <c r="G200" s="390"/>
      <c r="H200" s="390"/>
      <c r="I200" s="390"/>
      <c r="J200" s="390"/>
      <c r="K200" s="390"/>
      <c r="L200" s="390"/>
      <c r="M200" s="390"/>
      <c r="N200" s="390"/>
      <c r="O200" s="390"/>
      <c r="P200" s="390"/>
      <c r="Q200" s="390"/>
      <c r="R200" s="390"/>
      <c r="S200" s="390"/>
      <c r="T200" s="390"/>
      <c r="U200" s="390"/>
      <c r="V200" s="390"/>
      <c r="W200" s="419"/>
      <c r="X200" s="420"/>
    </row>
    <row r="201" spans="2:24" ht="27" customHeight="1" x14ac:dyDescent="0.45">
      <c r="B201" s="142" t="s">
        <v>371</v>
      </c>
      <c r="C201" s="390"/>
      <c r="D201" s="390"/>
      <c r="E201" s="390"/>
      <c r="F201" s="390"/>
      <c r="G201" s="390"/>
      <c r="H201" s="390"/>
      <c r="I201" s="390"/>
      <c r="J201" s="390"/>
      <c r="K201" s="390"/>
      <c r="L201" s="390"/>
      <c r="M201" s="390"/>
      <c r="N201" s="390"/>
      <c r="O201" s="390"/>
      <c r="P201" s="390"/>
      <c r="Q201" s="390"/>
      <c r="R201" s="390"/>
      <c r="S201" s="390"/>
      <c r="T201" s="390"/>
      <c r="U201" s="390"/>
      <c r="V201" s="390"/>
      <c r="W201" s="419"/>
      <c r="X201" s="420"/>
    </row>
    <row r="202" spans="2:24" ht="27" customHeight="1" x14ac:dyDescent="0.45">
      <c r="B202" s="142" t="s">
        <v>372</v>
      </c>
      <c r="C202" s="390"/>
      <c r="D202" s="390"/>
      <c r="E202" s="390"/>
      <c r="F202" s="390"/>
      <c r="G202" s="390"/>
      <c r="H202" s="390"/>
      <c r="I202" s="390"/>
      <c r="J202" s="390"/>
      <c r="K202" s="390"/>
      <c r="L202" s="390"/>
      <c r="M202" s="390"/>
      <c r="N202" s="390"/>
      <c r="O202" s="390"/>
      <c r="P202" s="390"/>
      <c r="Q202" s="390"/>
      <c r="R202" s="390"/>
      <c r="S202" s="390"/>
      <c r="T202" s="390"/>
      <c r="U202" s="390"/>
      <c r="V202" s="390"/>
      <c r="W202" s="419"/>
      <c r="X202" s="420"/>
    </row>
    <row r="203" spans="2:24" ht="27" customHeight="1" x14ac:dyDescent="0.45">
      <c r="B203" s="142" t="s">
        <v>373</v>
      </c>
      <c r="C203" s="390"/>
      <c r="D203" s="390"/>
      <c r="E203" s="390"/>
      <c r="F203" s="390"/>
      <c r="G203" s="390"/>
      <c r="H203" s="390"/>
      <c r="I203" s="390"/>
      <c r="J203" s="390"/>
      <c r="K203" s="390"/>
      <c r="L203" s="390"/>
      <c r="M203" s="390"/>
      <c r="N203" s="390"/>
      <c r="O203" s="390"/>
      <c r="P203" s="390"/>
      <c r="Q203" s="390"/>
      <c r="R203" s="390"/>
      <c r="S203" s="390"/>
      <c r="T203" s="390"/>
      <c r="U203" s="390"/>
      <c r="V203" s="390"/>
      <c r="W203" s="419"/>
      <c r="X203" s="420"/>
    </row>
    <row r="204" spans="2:24" ht="27" customHeight="1" x14ac:dyDescent="0.45">
      <c r="B204" s="142" t="s">
        <v>374</v>
      </c>
      <c r="C204" s="390"/>
      <c r="D204" s="390"/>
      <c r="E204" s="390"/>
      <c r="F204" s="390"/>
      <c r="G204" s="390"/>
      <c r="H204" s="390"/>
      <c r="I204" s="390"/>
      <c r="J204" s="390"/>
      <c r="K204" s="390"/>
      <c r="L204" s="390"/>
      <c r="M204" s="390"/>
      <c r="N204" s="390"/>
      <c r="O204" s="390"/>
      <c r="P204" s="390"/>
      <c r="Q204" s="390"/>
      <c r="R204" s="390"/>
      <c r="S204" s="390"/>
      <c r="T204" s="390"/>
      <c r="U204" s="390"/>
      <c r="V204" s="390"/>
      <c r="W204" s="419"/>
      <c r="X204" s="420"/>
    </row>
    <row r="205" spans="2:24" ht="27" customHeight="1" x14ac:dyDescent="0.45">
      <c r="B205" s="142" t="s">
        <v>375</v>
      </c>
      <c r="C205" s="390"/>
      <c r="D205" s="390"/>
      <c r="E205" s="390"/>
      <c r="F205" s="390"/>
      <c r="G205" s="390"/>
      <c r="H205" s="390"/>
      <c r="I205" s="390"/>
      <c r="J205" s="390"/>
      <c r="K205" s="390"/>
      <c r="L205" s="390"/>
      <c r="M205" s="390"/>
      <c r="N205" s="390"/>
      <c r="O205" s="390"/>
      <c r="P205" s="390"/>
      <c r="Q205" s="390"/>
      <c r="R205" s="390"/>
      <c r="S205" s="390"/>
      <c r="T205" s="390"/>
      <c r="U205" s="390"/>
      <c r="V205" s="390"/>
      <c r="W205" s="419"/>
      <c r="X205" s="420"/>
    </row>
    <row r="206" spans="2:24" ht="27" customHeight="1" x14ac:dyDescent="0.45">
      <c r="B206" s="143" t="s">
        <v>376</v>
      </c>
      <c r="C206" s="416"/>
      <c r="D206" s="416"/>
      <c r="E206" s="416"/>
      <c r="F206" s="416"/>
      <c r="G206" s="416"/>
      <c r="H206" s="416"/>
      <c r="I206" s="416"/>
      <c r="J206" s="416"/>
      <c r="K206" s="416"/>
      <c r="L206" s="416"/>
      <c r="M206" s="416"/>
      <c r="N206" s="416"/>
      <c r="O206" s="416"/>
      <c r="P206" s="416"/>
      <c r="Q206" s="416"/>
      <c r="R206" s="416"/>
      <c r="S206" s="416"/>
      <c r="T206" s="416"/>
      <c r="U206" s="416"/>
      <c r="V206" s="416"/>
      <c r="W206" s="421"/>
      <c r="X206" s="422"/>
    </row>
    <row r="207" spans="2:24" x14ac:dyDescent="0.45">
      <c r="B207" s="35"/>
      <c r="C207" s="36"/>
    </row>
  </sheetData>
  <sheetProtection password="DFA8" sheet="1" objects="1" scenarios="1" selectLockedCells="1" selectUnlockedCells="1"/>
  <mergeCells count="423">
    <mergeCell ref="H27:O27"/>
    <mergeCell ref="H118:O118"/>
    <mergeCell ref="W205:X205"/>
    <mergeCell ref="W206:X206"/>
    <mergeCell ref="O205:T205"/>
    <mergeCell ref="U205:V205"/>
    <mergeCell ref="C206:G206"/>
    <mergeCell ref="H206:N206"/>
    <mergeCell ref="O206:T206"/>
    <mergeCell ref="U206:V206"/>
    <mergeCell ref="C205:G205"/>
    <mergeCell ref="H205:N205"/>
    <mergeCell ref="W186:X186"/>
    <mergeCell ref="W187:X187"/>
    <mergeCell ref="W188:X188"/>
    <mergeCell ref="W189:X189"/>
    <mergeCell ref="W190:X190"/>
    <mergeCell ref="W191:X191"/>
    <mergeCell ref="W192:X192"/>
    <mergeCell ref="W193:X193"/>
    <mergeCell ref="W194:X194"/>
    <mergeCell ref="C204:G204"/>
    <mergeCell ref="H204:N204"/>
    <mergeCell ref="O204:T204"/>
    <mergeCell ref="U204:V204"/>
    <mergeCell ref="C202:G202"/>
    <mergeCell ref="H202:N202"/>
    <mergeCell ref="W195:X195"/>
    <mergeCell ref="W196:X196"/>
    <mergeCell ref="W197:X197"/>
    <mergeCell ref="W198:X198"/>
    <mergeCell ref="W199:X199"/>
    <mergeCell ref="W200:X200"/>
    <mergeCell ref="W201:X201"/>
    <mergeCell ref="W202:X202"/>
    <mergeCell ref="W203:X203"/>
    <mergeCell ref="W204:X204"/>
    <mergeCell ref="C201:G201"/>
    <mergeCell ref="H201:N201"/>
    <mergeCell ref="O201:T201"/>
    <mergeCell ref="U201:V201"/>
    <mergeCell ref="C199:G199"/>
    <mergeCell ref="H199:N199"/>
    <mergeCell ref="O202:T202"/>
    <mergeCell ref="U202:V202"/>
    <mergeCell ref="C203:G203"/>
    <mergeCell ref="H203:N203"/>
    <mergeCell ref="O203:T203"/>
    <mergeCell ref="U203:V203"/>
    <mergeCell ref="C198:G198"/>
    <mergeCell ref="H198:N198"/>
    <mergeCell ref="O198:T198"/>
    <mergeCell ref="U198:V198"/>
    <mergeCell ref="C196:G196"/>
    <mergeCell ref="H196:N196"/>
    <mergeCell ref="O199:T199"/>
    <mergeCell ref="U199:V199"/>
    <mergeCell ref="C200:G200"/>
    <mergeCell ref="H200:N200"/>
    <mergeCell ref="O200:T200"/>
    <mergeCell ref="U200:V200"/>
    <mergeCell ref="C195:G195"/>
    <mergeCell ref="H195:N195"/>
    <mergeCell ref="O195:T195"/>
    <mergeCell ref="U195:V195"/>
    <mergeCell ref="C193:G193"/>
    <mergeCell ref="H193:N193"/>
    <mergeCell ref="O196:T196"/>
    <mergeCell ref="U196:V196"/>
    <mergeCell ref="C197:G197"/>
    <mergeCell ref="H197:N197"/>
    <mergeCell ref="O197:T197"/>
    <mergeCell ref="U197:V197"/>
    <mergeCell ref="C192:G192"/>
    <mergeCell ref="H192:N192"/>
    <mergeCell ref="O192:T192"/>
    <mergeCell ref="U192:V192"/>
    <mergeCell ref="C190:G190"/>
    <mergeCell ref="H190:N190"/>
    <mergeCell ref="O193:T193"/>
    <mergeCell ref="U193:V193"/>
    <mergeCell ref="C194:G194"/>
    <mergeCell ref="H194:N194"/>
    <mergeCell ref="O194:T194"/>
    <mergeCell ref="U194:V194"/>
    <mergeCell ref="C189:G189"/>
    <mergeCell ref="H189:N189"/>
    <mergeCell ref="O189:T189"/>
    <mergeCell ref="U189:V189"/>
    <mergeCell ref="C187:G187"/>
    <mergeCell ref="H187:N187"/>
    <mergeCell ref="O190:T190"/>
    <mergeCell ref="U190:V190"/>
    <mergeCell ref="C191:G191"/>
    <mergeCell ref="H191:N191"/>
    <mergeCell ref="O191:T191"/>
    <mergeCell ref="U191:V191"/>
    <mergeCell ref="C186:G186"/>
    <mergeCell ref="H186:N186"/>
    <mergeCell ref="O186:T186"/>
    <mergeCell ref="U186:V186"/>
    <mergeCell ref="C183:G183"/>
    <mergeCell ref="H183:N183"/>
    <mergeCell ref="O187:T187"/>
    <mergeCell ref="U187:V187"/>
    <mergeCell ref="C188:G188"/>
    <mergeCell ref="H188:N188"/>
    <mergeCell ref="O188:T188"/>
    <mergeCell ref="U188:V188"/>
    <mergeCell ref="C182:G182"/>
    <mergeCell ref="H182:N182"/>
    <mergeCell ref="O182:T182"/>
    <mergeCell ref="U182:V182"/>
    <mergeCell ref="O183:T183"/>
    <mergeCell ref="U183:V183"/>
    <mergeCell ref="C184:G184"/>
    <mergeCell ref="H184:N184"/>
    <mergeCell ref="O184:T184"/>
    <mergeCell ref="U184:V184"/>
    <mergeCell ref="C179:G179"/>
    <mergeCell ref="H179:N179"/>
    <mergeCell ref="O179:T179"/>
    <mergeCell ref="U179:V179"/>
    <mergeCell ref="C180:G180"/>
    <mergeCell ref="H180:N180"/>
    <mergeCell ref="O180:T180"/>
    <mergeCell ref="U180:V180"/>
    <mergeCell ref="C181:G181"/>
    <mergeCell ref="H181:N181"/>
    <mergeCell ref="O181:T181"/>
    <mergeCell ref="U181:V181"/>
    <mergeCell ref="C176:G176"/>
    <mergeCell ref="H176:N176"/>
    <mergeCell ref="O176:T176"/>
    <mergeCell ref="U176:V176"/>
    <mergeCell ref="C177:G177"/>
    <mergeCell ref="H177:N177"/>
    <mergeCell ref="O177:T177"/>
    <mergeCell ref="U177:V177"/>
    <mergeCell ref="C178:G178"/>
    <mergeCell ref="H178:N178"/>
    <mergeCell ref="O178:T178"/>
    <mergeCell ref="U178:V178"/>
    <mergeCell ref="C173:G173"/>
    <mergeCell ref="H173:N173"/>
    <mergeCell ref="O173:T173"/>
    <mergeCell ref="U173:V173"/>
    <mergeCell ref="C174:G174"/>
    <mergeCell ref="H174:N174"/>
    <mergeCell ref="O174:T174"/>
    <mergeCell ref="U174:V174"/>
    <mergeCell ref="C175:G175"/>
    <mergeCell ref="H175:N175"/>
    <mergeCell ref="O175:T175"/>
    <mergeCell ref="U175:V175"/>
    <mergeCell ref="C170:G170"/>
    <mergeCell ref="H170:N170"/>
    <mergeCell ref="O170:T170"/>
    <mergeCell ref="U170:V170"/>
    <mergeCell ref="C171:G171"/>
    <mergeCell ref="H171:N171"/>
    <mergeCell ref="O171:T171"/>
    <mergeCell ref="U171:V171"/>
    <mergeCell ref="C172:G172"/>
    <mergeCell ref="H172:N172"/>
    <mergeCell ref="O172:T172"/>
    <mergeCell ref="U172:V172"/>
    <mergeCell ref="C167:G167"/>
    <mergeCell ref="H167:N167"/>
    <mergeCell ref="O167:T167"/>
    <mergeCell ref="U167:V167"/>
    <mergeCell ref="C168:G168"/>
    <mergeCell ref="H168:N168"/>
    <mergeCell ref="O168:T168"/>
    <mergeCell ref="U168:V168"/>
    <mergeCell ref="C169:G169"/>
    <mergeCell ref="H169:N169"/>
    <mergeCell ref="O169:T169"/>
    <mergeCell ref="U169:V169"/>
    <mergeCell ref="F118:G118"/>
    <mergeCell ref="C165:G165"/>
    <mergeCell ref="H165:N165"/>
    <mergeCell ref="O165:T165"/>
    <mergeCell ref="U165:V165"/>
    <mergeCell ref="C166:G166"/>
    <mergeCell ref="H166:N166"/>
    <mergeCell ref="O166:T166"/>
    <mergeCell ref="U166:V166"/>
    <mergeCell ref="C111:G111"/>
    <mergeCell ref="H111:N111"/>
    <mergeCell ref="O111:T111"/>
    <mergeCell ref="U111:V111"/>
    <mergeCell ref="C112:G112"/>
    <mergeCell ref="H112:N112"/>
    <mergeCell ref="O112:T112"/>
    <mergeCell ref="U112:V112"/>
    <mergeCell ref="C164:G164"/>
    <mergeCell ref="H164:N164"/>
    <mergeCell ref="O164:T164"/>
    <mergeCell ref="U164:V164"/>
    <mergeCell ref="B123:C123"/>
    <mergeCell ref="B143:C143"/>
    <mergeCell ref="B142:C142"/>
    <mergeCell ref="B121:C121"/>
    <mergeCell ref="B122:C122"/>
    <mergeCell ref="B124:C124"/>
    <mergeCell ref="B115:F115"/>
    <mergeCell ref="B125:C125"/>
    <mergeCell ref="B149:B151"/>
    <mergeCell ref="B144:C144"/>
    <mergeCell ref="B145:C145"/>
    <mergeCell ref="B146:C146"/>
    <mergeCell ref="C108:G108"/>
    <mergeCell ref="H108:N108"/>
    <mergeCell ref="O108:T108"/>
    <mergeCell ref="U108:V108"/>
    <mergeCell ref="C109:G109"/>
    <mergeCell ref="H109:N109"/>
    <mergeCell ref="O109:T109"/>
    <mergeCell ref="U109:V109"/>
    <mergeCell ref="C110:G110"/>
    <mergeCell ref="H110:N110"/>
    <mergeCell ref="O110:T110"/>
    <mergeCell ref="U110:V110"/>
    <mergeCell ref="C105:G105"/>
    <mergeCell ref="H105:N105"/>
    <mergeCell ref="O105:T105"/>
    <mergeCell ref="U105:V105"/>
    <mergeCell ref="C106:G106"/>
    <mergeCell ref="H106:N106"/>
    <mergeCell ref="O106:T106"/>
    <mergeCell ref="U106:V106"/>
    <mergeCell ref="C107:G107"/>
    <mergeCell ref="H107:N107"/>
    <mergeCell ref="O107:T107"/>
    <mergeCell ref="U107:V107"/>
    <mergeCell ref="O102:T102"/>
    <mergeCell ref="U102:V102"/>
    <mergeCell ref="C103:G103"/>
    <mergeCell ref="H103:N103"/>
    <mergeCell ref="O103:T103"/>
    <mergeCell ref="U103:V103"/>
    <mergeCell ref="C104:G104"/>
    <mergeCell ref="H104:N104"/>
    <mergeCell ref="O104:T104"/>
    <mergeCell ref="U104:V104"/>
    <mergeCell ref="C102:G102"/>
    <mergeCell ref="H102:N102"/>
    <mergeCell ref="C100:G100"/>
    <mergeCell ref="H100:N100"/>
    <mergeCell ref="O100:T100"/>
    <mergeCell ref="U100:V100"/>
    <mergeCell ref="C101:G101"/>
    <mergeCell ref="H101:N101"/>
    <mergeCell ref="O101:T101"/>
    <mergeCell ref="U101:V101"/>
    <mergeCell ref="C99:G99"/>
    <mergeCell ref="H99:N99"/>
    <mergeCell ref="C97:G97"/>
    <mergeCell ref="H97:N97"/>
    <mergeCell ref="O97:T97"/>
    <mergeCell ref="U97:V97"/>
    <mergeCell ref="C98:G98"/>
    <mergeCell ref="H98:N98"/>
    <mergeCell ref="O98:T98"/>
    <mergeCell ref="U98:V98"/>
    <mergeCell ref="O99:T99"/>
    <mergeCell ref="U99:V99"/>
    <mergeCell ref="W108:X108"/>
    <mergeCell ref="W109:X109"/>
    <mergeCell ref="W110:X110"/>
    <mergeCell ref="W111:X111"/>
    <mergeCell ref="W112:X112"/>
    <mergeCell ref="C92:G92"/>
    <mergeCell ref="H92:N92"/>
    <mergeCell ref="O92:T92"/>
    <mergeCell ref="U92:V92"/>
    <mergeCell ref="C93:G93"/>
    <mergeCell ref="H93:N93"/>
    <mergeCell ref="O93:T93"/>
    <mergeCell ref="U93:V93"/>
    <mergeCell ref="C94:G94"/>
    <mergeCell ref="H94:N94"/>
    <mergeCell ref="O94:T94"/>
    <mergeCell ref="U94:V94"/>
    <mergeCell ref="C95:G95"/>
    <mergeCell ref="H95:N95"/>
    <mergeCell ref="O95:T95"/>
    <mergeCell ref="U95:V95"/>
    <mergeCell ref="C96:G96"/>
    <mergeCell ref="H96:N96"/>
    <mergeCell ref="O96:T96"/>
    <mergeCell ref="W99:X99"/>
    <mergeCell ref="W100:X100"/>
    <mergeCell ref="W101:X101"/>
    <mergeCell ref="W102:X102"/>
    <mergeCell ref="W103:X103"/>
    <mergeCell ref="W104:X104"/>
    <mergeCell ref="W105:X105"/>
    <mergeCell ref="W106:X106"/>
    <mergeCell ref="W107:X107"/>
    <mergeCell ref="W92:X92"/>
    <mergeCell ref="W93:X93"/>
    <mergeCell ref="W94:X94"/>
    <mergeCell ref="W95:X95"/>
    <mergeCell ref="W96:X96"/>
    <mergeCell ref="W97:X97"/>
    <mergeCell ref="W98:X98"/>
    <mergeCell ref="U96:V96"/>
    <mergeCell ref="H82:N82"/>
    <mergeCell ref="H83:N83"/>
    <mergeCell ref="C78:G78"/>
    <mergeCell ref="C88:G88"/>
    <mergeCell ref="C89:G89"/>
    <mergeCell ref="C90:G90"/>
    <mergeCell ref="H80:N80"/>
    <mergeCell ref="U75:V75"/>
    <mergeCell ref="U76:V76"/>
    <mergeCell ref="U77:V77"/>
    <mergeCell ref="U78:V78"/>
    <mergeCell ref="U79:V79"/>
    <mergeCell ref="U80:V80"/>
    <mergeCell ref="U81:V81"/>
    <mergeCell ref="U82:V82"/>
    <mergeCell ref="U83:V83"/>
    <mergeCell ref="U84:V84"/>
    <mergeCell ref="U85:V85"/>
    <mergeCell ref="U86:V86"/>
    <mergeCell ref="U87:V87"/>
    <mergeCell ref="U88:V88"/>
    <mergeCell ref="U89:V89"/>
    <mergeCell ref="U90:V90"/>
    <mergeCell ref="H75:N75"/>
    <mergeCell ref="H76:N76"/>
    <mergeCell ref="H77:N77"/>
    <mergeCell ref="H71:N71"/>
    <mergeCell ref="H72:N72"/>
    <mergeCell ref="H78:N78"/>
    <mergeCell ref="H79:N79"/>
    <mergeCell ref="H90:N90"/>
    <mergeCell ref="C79:G79"/>
    <mergeCell ref="O75:T75"/>
    <mergeCell ref="O76:T76"/>
    <mergeCell ref="O77:T77"/>
    <mergeCell ref="O78:T78"/>
    <mergeCell ref="O79:T79"/>
    <mergeCell ref="O80:T80"/>
    <mergeCell ref="O81:T81"/>
    <mergeCell ref="O82:T82"/>
    <mergeCell ref="O83:T83"/>
    <mergeCell ref="O84:T84"/>
    <mergeCell ref="O85:T85"/>
    <mergeCell ref="O86:T86"/>
    <mergeCell ref="O87:T87"/>
    <mergeCell ref="O88:T88"/>
    <mergeCell ref="O89:T89"/>
    <mergeCell ref="O90:T90"/>
    <mergeCell ref="C77:G77"/>
    <mergeCell ref="H81:N81"/>
    <mergeCell ref="B52:C52"/>
    <mergeCell ref="B53:C53"/>
    <mergeCell ref="H84:N84"/>
    <mergeCell ref="H85:N85"/>
    <mergeCell ref="H86:N86"/>
    <mergeCell ref="H87:N87"/>
    <mergeCell ref="H88:N88"/>
    <mergeCell ref="H89:N89"/>
    <mergeCell ref="U70:V70"/>
    <mergeCell ref="O70:T70"/>
    <mergeCell ref="C70:G70"/>
    <mergeCell ref="H70:N70"/>
    <mergeCell ref="C71:G71"/>
    <mergeCell ref="C72:G72"/>
    <mergeCell ref="C73:G73"/>
    <mergeCell ref="C74:G74"/>
    <mergeCell ref="O71:T71"/>
    <mergeCell ref="O72:T72"/>
    <mergeCell ref="O73:T73"/>
    <mergeCell ref="O74:T74"/>
    <mergeCell ref="U71:V71"/>
    <mergeCell ref="U72:V72"/>
    <mergeCell ref="U73:V73"/>
    <mergeCell ref="U74:V74"/>
    <mergeCell ref="B42:C42"/>
    <mergeCell ref="B44:C44"/>
    <mergeCell ref="B46:C46"/>
    <mergeCell ref="B47:C47"/>
    <mergeCell ref="B48:C48"/>
    <mergeCell ref="B49:C49"/>
    <mergeCell ref="B30:C30"/>
    <mergeCell ref="B31:C31"/>
    <mergeCell ref="B33:C33"/>
    <mergeCell ref="B34:C34"/>
    <mergeCell ref="B35:C35"/>
    <mergeCell ref="B45:C45"/>
    <mergeCell ref="B32:C32"/>
    <mergeCell ref="B36:C36"/>
    <mergeCell ref="B37:C37"/>
    <mergeCell ref="B43:C43"/>
    <mergeCell ref="F27:G27"/>
    <mergeCell ref="G115:H115"/>
    <mergeCell ref="B133:B134"/>
    <mergeCell ref="B154:B155"/>
    <mergeCell ref="B152:C152"/>
    <mergeCell ref="B153:C153"/>
    <mergeCell ref="B131:C131"/>
    <mergeCell ref="B132:C132"/>
    <mergeCell ref="B147:B148"/>
    <mergeCell ref="B126:B127"/>
    <mergeCell ref="B128:B130"/>
    <mergeCell ref="C80:G80"/>
    <mergeCell ref="C81:G81"/>
    <mergeCell ref="C82:G82"/>
    <mergeCell ref="C83:G83"/>
    <mergeCell ref="C84:G84"/>
    <mergeCell ref="C85:G85"/>
    <mergeCell ref="C86:G86"/>
    <mergeCell ref="C87:G87"/>
    <mergeCell ref="C75:G75"/>
    <mergeCell ref="C76:G76"/>
    <mergeCell ref="B41:C41"/>
    <mergeCell ref="H73:N73"/>
    <mergeCell ref="H74:N74"/>
  </mergeCells>
  <phoneticPr fontId="12"/>
  <conditionalFormatting sqref="D49:W49">
    <cfRule type="expression" dxfId="244" priority="22">
      <formula>D56=1</formula>
    </cfRule>
    <cfRule type="expression" dxfId="243" priority="37">
      <formula>D49="---"</formula>
    </cfRule>
    <cfRule type="expression" dxfId="242" priority="57">
      <formula>D49&gt;0.4</formula>
    </cfRule>
  </conditionalFormatting>
  <conditionalFormatting sqref="D50:W50">
    <cfRule type="expression" dxfId="241" priority="17">
      <formula>OR(D44="継続",D50="")</formula>
    </cfRule>
    <cfRule type="expression" dxfId="240" priority="33">
      <formula>AND(D50&lt;&gt;"継続",D50&lt;40)</formula>
    </cfRule>
  </conditionalFormatting>
  <conditionalFormatting sqref="D51:W51">
    <cfRule type="expression" dxfId="239" priority="18">
      <formula>OR(D44="継続",D51="")</formula>
    </cfRule>
    <cfRule type="expression" dxfId="238" priority="35">
      <formula>AND(D44&lt;&gt;"継続",D51&lt;40)</formula>
    </cfRule>
  </conditionalFormatting>
  <conditionalFormatting sqref="H27">
    <cfRule type="expression" dxfId="237" priority="4">
      <formula>$H$27="換気設備の導入は必須です。換気設備について入力してください。"</formula>
    </cfRule>
    <cfRule type="expression" dxfId="236" priority="5">
      <formula>H27="旧設備の入力をご確認ください。"</formula>
    </cfRule>
    <cfRule type="expression" dxfId="235" priority="58">
      <formula>H27="新設備の入力をご確認ください。"</formula>
    </cfRule>
  </conditionalFormatting>
  <conditionalFormatting sqref="D45:W45">
    <cfRule type="expression" dxfId="234" priority="21">
      <formula>D$59=1</formula>
    </cfRule>
  </conditionalFormatting>
  <conditionalFormatting sqref="D121:W121">
    <cfRule type="expression" dxfId="233" priority="26">
      <formula>OR(D138=1,D139=1)</formula>
    </cfRule>
  </conditionalFormatting>
  <conditionalFormatting sqref="D142:W142">
    <cfRule type="expression" dxfId="232" priority="30">
      <formula>OR(D159=1,D160=1)</formula>
    </cfRule>
  </conditionalFormatting>
  <conditionalFormatting sqref="D122:W122">
    <cfRule type="expression" dxfId="231" priority="27">
      <formula>D137=1</formula>
    </cfRule>
  </conditionalFormatting>
  <conditionalFormatting sqref="D124:W124">
    <cfRule type="expression" dxfId="230" priority="28">
      <formula>D137=1</formula>
    </cfRule>
  </conditionalFormatting>
  <conditionalFormatting sqref="D130:W130">
    <cfRule type="expression" dxfId="229" priority="29">
      <formula>D137=1</formula>
    </cfRule>
  </conditionalFormatting>
  <conditionalFormatting sqref="D143:W143">
    <cfRule type="expression" dxfId="228" priority="25">
      <formula>D158=1</formula>
    </cfRule>
  </conditionalFormatting>
  <conditionalFormatting sqref="D145:W145">
    <cfRule type="expression" dxfId="227" priority="24">
      <formula>D158=1</formula>
    </cfRule>
  </conditionalFormatting>
  <conditionalFormatting sqref="D151:W151">
    <cfRule type="expression" dxfId="226" priority="23">
      <formula>D158=1</formula>
    </cfRule>
  </conditionalFormatting>
  <conditionalFormatting sqref="H118">
    <cfRule type="expression" dxfId="225" priority="6">
      <formula>$H$118="新設備の入力をご確認ください。"</formula>
    </cfRule>
    <cfRule type="expression" dxfId="224" priority="8">
      <formula>$H$118="旧設備の入力をご確認ください。"</formula>
    </cfRule>
  </conditionalFormatting>
  <conditionalFormatting sqref="D30:W30">
    <cfRule type="expression" dxfId="223" priority="11">
      <formula>D38=1</formula>
    </cfRule>
  </conditionalFormatting>
  <conditionalFormatting sqref="D41:W41">
    <cfRule type="expression" dxfId="222" priority="15">
      <formula>D64=1</formula>
    </cfRule>
  </conditionalFormatting>
  <conditionalFormatting sqref="W93">
    <cfRule type="expression" dxfId="221" priority="77">
      <formula>$D$58=2</formula>
    </cfRule>
  </conditionalFormatting>
  <conditionalFormatting sqref="H27">
    <cfRule type="expression" dxfId="220" priority="74">
      <formula>$H$27="換気設備導入の要件を満たしていないため、申請できません。"</formula>
    </cfRule>
  </conditionalFormatting>
  <conditionalFormatting sqref="H118">
    <cfRule type="expression" dxfId="219" priority="7">
      <formula>$H$118="省エネ設備更新の要件を満たしていないため、申請できません。"</formula>
    </cfRule>
  </conditionalFormatting>
  <conditionalFormatting sqref="X153">
    <cfRule type="expression" dxfId="218" priority="19">
      <formula>AND($AE$160&lt;&gt;0,$X$132&lt;=$X$153)</formula>
    </cfRule>
  </conditionalFormatting>
  <conditionalFormatting sqref="D42:W45">
    <cfRule type="expression" dxfId="217" priority="32">
      <formula>D$43="給気"</formula>
    </cfRule>
    <cfRule type="expression" dxfId="216" priority="109">
      <formula>D$43="給気・排気"</formula>
    </cfRule>
    <cfRule type="expression" dxfId="215" priority="110">
      <formula>OR(D$43="補器（排気）",D$43="補器（給気）")</formula>
    </cfRule>
  </conditionalFormatting>
  <conditionalFormatting sqref="D31:W32">
    <cfRule type="expression" dxfId="214" priority="2">
      <formula>D$32="給気・排気"</formula>
    </cfRule>
    <cfRule type="expression" dxfId="213" priority="75">
      <formula>D$32="給気"</formula>
    </cfRule>
    <cfRule type="expression" dxfId="212" priority="76">
      <formula>OR(D$32="補器（排気）",D$32="補器（給気）")</formula>
    </cfRule>
  </conditionalFormatting>
  <conditionalFormatting sqref="W94">
    <cfRule type="expression" dxfId="211" priority="78">
      <formula>$E$58=2</formula>
    </cfRule>
  </conditionalFormatting>
  <conditionalFormatting sqref="W95">
    <cfRule type="expression" dxfId="210" priority="79">
      <formula>$F$58=2</formula>
    </cfRule>
  </conditionalFormatting>
  <conditionalFormatting sqref="W96">
    <cfRule type="expression" dxfId="209" priority="80">
      <formula>$G$58=2</formula>
    </cfRule>
  </conditionalFormatting>
  <conditionalFormatting sqref="W97">
    <cfRule type="expression" dxfId="208" priority="81">
      <formula>$H$58=2</formula>
    </cfRule>
  </conditionalFormatting>
  <conditionalFormatting sqref="W98">
    <cfRule type="expression" dxfId="207" priority="82">
      <formula>$I$58=2</formula>
    </cfRule>
  </conditionalFormatting>
  <conditionalFormatting sqref="W99">
    <cfRule type="expression" dxfId="206" priority="83">
      <formula>$J$58=2</formula>
    </cfRule>
  </conditionalFormatting>
  <conditionalFormatting sqref="W100">
    <cfRule type="expression" dxfId="205" priority="84">
      <formula>$K$58=2</formula>
    </cfRule>
  </conditionalFormatting>
  <conditionalFormatting sqref="W101">
    <cfRule type="expression" dxfId="204" priority="85">
      <formula>$L$58=2</formula>
    </cfRule>
  </conditionalFormatting>
  <conditionalFormatting sqref="W102">
    <cfRule type="expression" dxfId="203" priority="86">
      <formula>$M$58=2</formula>
    </cfRule>
  </conditionalFormatting>
  <conditionalFormatting sqref="W103">
    <cfRule type="expression" dxfId="202" priority="87">
      <formula>$N$58=2</formula>
    </cfRule>
  </conditionalFormatting>
  <conditionalFormatting sqref="W104">
    <cfRule type="expression" dxfId="201" priority="88">
      <formula>$O$58=2</formula>
    </cfRule>
  </conditionalFormatting>
  <conditionalFormatting sqref="W105">
    <cfRule type="expression" dxfId="200" priority="90">
      <formula>$P$58=2</formula>
    </cfRule>
  </conditionalFormatting>
  <conditionalFormatting sqref="W106">
    <cfRule type="expression" dxfId="199" priority="91">
      <formula>$Q$58=2</formula>
    </cfRule>
  </conditionalFormatting>
  <conditionalFormatting sqref="W107">
    <cfRule type="expression" dxfId="198" priority="93">
      <formula>$R$58=2</formula>
    </cfRule>
  </conditionalFormatting>
  <conditionalFormatting sqref="W108">
    <cfRule type="expression" dxfId="197" priority="94">
      <formula>$S$58=2</formula>
    </cfRule>
  </conditionalFormatting>
  <conditionalFormatting sqref="W109">
    <cfRule type="expression" dxfId="196" priority="100">
      <formula>$T$58=2</formula>
    </cfRule>
  </conditionalFormatting>
  <conditionalFormatting sqref="W110">
    <cfRule type="expression" dxfId="195" priority="101">
      <formula>$U$58=2</formula>
    </cfRule>
  </conditionalFormatting>
  <conditionalFormatting sqref="W111">
    <cfRule type="expression" dxfId="194" priority="102">
      <formula>$V$58=2</formula>
    </cfRule>
  </conditionalFormatting>
  <conditionalFormatting sqref="W112">
    <cfRule type="expression" dxfId="193" priority="103">
      <formula>$W$58=2</formula>
    </cfRule>
  </conditionalFormatting>
  <conditionalFormatting sqref="X47:Y47">
    <cfRule type="expression" dxfId="192" priority="16">
      <formula>AND($X$65="不適合",$AA$64&lt;&gt;20)</formula>
    </cfRule>
  </conditionalFormatting>
  <conditionalFormatting sqref="H27:O27">
    <cfRule type="expression" dxfId="191" priority="73">
      <formula>$H$27="新設備の導入がない計画は申請できません。"</formula>
    </cfRule>
  </conditionalFormatting>
  <conditionalFormatting sqref="C166:V184 C188:X206 D122:X134 D143:X155">
    <cfRule type="expression" dxfId="190" priority="3">
      <formula>$G$115&lt;&gt;"はい"</formula>
    </cfRule>
  </conditionalFormatting>
  <conditionalFormatting sqref="D42:W42 D44:W44">
    <cfRule type="expression" dxfId="189" priority="1">
      <formula>D$54=1</formula>
    </cfRule>
    <cfRule type="expression" dxfId="188" priority="31">
      <formula>D$59=1</formula>
    </cfRule>
  </conditionalFormatting>
  <dataValidations count="4">
    <dataValidation allowBlank="1" showErrorMessage="1" sqref="D126:W127 D147:W150 D144:W144 D133:W134 D123:W123 D154:W155"/>
    <dataValidation allowBlank="1" showErrorMessage="1" promptTitle="『機器仕様入力書』　記入時のご注意" prompt="本シートご利用の場合は、省エネ計算シートの設備欄には記入しないでください。" sqref="D152:W153 D128:W129 D131:W132 D33:W37 D46:W53"/>
    <dataValidation allowBlank="1" sqref="C21:C22"/>
    <dataValidation type="list" allowBlank="1" showInputMessage="1" showErrorMessage="1" sqref="G115">
      <formula1>"実施を選択,はい,いいえ"</formula1>
    </dataValidation>
  </dataValidations>
  <pageMargins left="0.6692913385826772" right="0.31496062992125984" top="0.46" bottom="0.22" header="0.22" footer="0.16"/>
  <pageSetup paperSize="9" scale="34" fitToHeight="0" orientation="portrait" r:id="rId1"/>
  <headerFooter>
    <oddHeader>&amp;C&amp;20換気量・省エネ計算シート</oddHeader>
  </headerFooter>
  <rowBreaks count="1" manualBreakCount="1">
    <brk id="113" max="2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promptTitle="『機器仕様入力書』　記入時のご注意" prompt="本シートご利用の場合は、省エネ計算シートの設備欄には記入しないでください。">
          <x14:formula1>
            <xm:f>計算!$X$4:$X$6</xm:f>
          </x14:formula1>
          <xm:sqref>D151:W151 D130:W130</xm:sqref>
        </x14:dataValidation>
        <x14:dataValidation type="list" allowBlank="1" showInputMessage="1" showErrorMessage="1">
          <x14:formula1>
            <xm:f>計算!$T$4:$T$7</xm:f>
          </x14:formula1>
          <xm:sqref>D44:W44</xm:sqref>
        </x14:dataValidation>
        <x14:dataValidation type="list" allowBlank="1" showInputMessage="1" showErrorMessage="1">
          <x14:formula1>
            <xm:f>計算!$U$4:$U$6</xm:f>
          </x14:formula1>
          <xm:sqref>D143:W143 D122:W122</xm:sqref>
        </x14:dataValidation>
        <x14:dataValidation type="list" allowBlank="1" showErrorMessage="1">
          <x14:formula1>
            <xm:f>計算!$AA$4:$AA$6</xm:f>
          </x14:formula1>
          <xm:sqref>D124:W124 D145:W145</xm:sqref>
        </x14:dataValidation>
        <x14:dataValidation type="list" allowBlank="1" showInputMessage="1" showErrorMessage="1">
          <x14:formula1>
            <xm:f>計算!$V$4:$V$6</xm:f>
          </x14:formula1>
          <xm:sqref>W93:X112 Y165:Y184 W188:X206</xm:sqref>
        </x14:dataValidation>
        <x14:dataValidation type="list" allowBlank="1" showErrorMessage="1">
          <x14:formula1>
            <xm:f>計算!$Z$3:$Z$14</xm:f>
          </x14:formula1>
          <xm:sqref>D45:W45</xm:sqref>
        </x14:dataValidation>
        <x14:dataValidation type="list" allowBlank="1" showErrorMessage="1">
          <x14:formula1>
            <xm:f>計算!$Z$4:$Z$14</xm:f>
          </x14:formula1>
          <xm:sqref>D146:W146 D125:W125</xm:sqref>
        </x14:dataValidation>
        <x14:dataValidation type="list" allowBlank="1" showErrorMessage="1">
          <x14:formula1>
            <xm:f>計算!$T$20:$T$24</xm:f>
          </x14:formula1>
          <xm:sqref>D32:W32 D43:W43</xm:sqref>
        </x14:dataValidation>
        <x14:dataValidation type="list" allowBlank="1">
          <x14:formula1>
            <xm:f>計算!$R$4:$R$8</xm:f>
          </x14:formula1>
          <xm:sqref>D42:W42</xm:sqref>
        </x14:dataValidation>
        <x14:dataValidation type="list" allowBlank="1" showErrorMessage="1">
          <x14:formula1>
            <xm:f>計算!$S$4:$S$8</xm:f>
          </x14:formula1>
          <xm:sqref>D31:W31</xm:sqref>
        </x14:dataValidation>
        <x14:dataValidation type="list" allowBlank="1" showInputMessage="1" showErrorMessage="1">
          <x14:formula1>
            <xm:f>'\\fs00001\総務部\東京都地球温暖化防止活動推進センター\事業支援チーム\Ｒ４\200_個人用\和田\[◆換気量・省エネ計算シート（R4_Ver5.5）_記入例.xlsx]計算'!#REF!</xm:f>
          </x14:formula1>
          <xm:sqref>W187:X187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K207"/>
  <sheetViews>
    <sheetView zoomScale="70" zoomScaleNormal="70" zoomScaleSheetLayoutView="80" workbookViewId="0">
      <selection activeCell="B17" sqref="B17"/>
    </sheetView>
  </sheetViews>
  <sheetFormatPr defaultColWidth="8.796875" defaultRowHeight="19.5" x14ac:dyDescent="0.45"/>
  <cols>
    <col min="1" max="1" width="10.69921875" style="23" customWidth="1"/>
    <col min="2" max="2" width="11.3984375" style="24" customWidth="1"/>
    <col min="3" max="3" width="4.69921875" style="24" customWidth="1"/>
    <col min="4" max="4" width="8.796875" style="23" customWidth="1"/>
    <col min="5" max="15" width="8.796875" style="23"/>
    <col min="16" max="25" width="8.796875" style="23" customWidth="1"/>
    <col min="26" max="26" width="3.8984375" style="191" customWidth="1"/>
    <col min="27" max="28" width="5" style="191" customWidth="1"/>
    <col min="29" max="39" width="5" style="23" customWidth="1"/>
    <col min="40" max="69" width="3.8984375" style="23" customWidth="1"/>
    <col min="70" max="16384" width="8.796875" style="23"/>
  </cols>
  <sheetData>
    <row r="1" spans="2:28" s="135" customFormat="1" ht="19.5" customHeight="1" x14ac:dyDescent="0.45">
      <c r="B1" s="136"/>
      <c r="C1" s="136"/>
      <c r="D1" s="136"/>
      <c r="E1" s="136"/>
      <c r="F1" s="136"/>
      <c r="G1" s="136"/>
      <c r="H1" s="136"/>
      <c r="I1" s="136"/>
      <c r="J1" s="136"/>
      <c r="K1" s="136"/>
      <c r="L1" s="136"/>
      <c r="M1" s="136"/>
      <c r="N1" s="136"/>
      <c r="O1" s="136"/>
      <c r="P1" s="136"/>
      <c r="Q1" s="136"/>
      <c r="R1" s="136"/>
      <c r="S1" s="136"/>
      <c r="T1" s="136"/>
      <c r="U1" s="136"/>
      <c r="V1" s="136"/>
      <c r="W1" s="136"/>
      <c r="X1" s="136"/>
      <c r="Y1" s="137"/>
      <c r="Z1" s="189"/>
      <c r="AA1" s="190"/>
      <c r="AB1" s="190"/>
    </row>
    <row r="2" spans="2:28" x14ac:dyDescent="0.45">
      <c r="B2" s="53" t="s">
        <v>166</v>
      </c>
      <c r="C2" s="23"/>
    </row>
    <row r="3" spans="2:28" s="64" customFormat="1" x14ac:dyDescent="0.45">
      <c r="B3" s="128" t="s">
        <v>480</v>
      </c>
      <c r="K3" s="23"/>
      <c r="Z3" s="66"/>
      <c r="AA3" s="66"/>
      <c r="AB3" s="66"/>
    </row>
    <row r="4" spans="2:28" s="64" customFormat="1" x14ac:dyDescent="0.45">
      <c r="B4" s="128" t="s">
        <v>511</v>
      </c>
      <c r="K4" s="23"/>
      <c r="Z4" s="66"/>
      <c r="AA4" s="66"/>
      <c r="AB4" s="66"/>
    </row>
    <row r="5" spans="2:28" s="64" customFormat="1" x14ac:dyDescent="0.45">
      <c r="B5" s="128" t="s">
        <v>631</v>
      </c>
      <c r="K5" s="23"/>
      <c r="Z5" s="66"/>
      <c r="AA5" s="66"/>
      <c r="AB5" s="66"/>
    </row>
    <row r="6" spans="2:28" s="64" customFormat="1" x14ac:dyDescent="0.45">
      <c r="B6" s="128" t="s">
        <v>531</v>
      </c>
      <c r="K6" s="23"/>
      <c r="Z6" s="66"/>
      <c r="AA6" s="66"/>
      <c r="AB6" s="66"/>
    </row>
    <row r="7" spans="2:28" s="64" customFormat="1" x14ac:dyDescent="0.45">
      <c r="B7" s="128" t="s">
        <v>525</v>
      </c>
      <c r="K7" s="23"/>
      <c r="Z7" s="66"/>
      <c r="AA7" s="66"/>
      <c r="AB7" s="66"/>
    </row>
    <row r="8" spans="2:28" s="64" customFormat="1" x14ac:dyDescent="0.45">
      <c r="B8" s="128" t="s">
        <v>508</v>
      </c>
      <c r="K8" s="23"/>
      <c r="Z8" s="66"/>
      <c r="AA8" s="66"/>
      <c r="AB8" s="66"/>
    </row>
    <row r="9" spans="2:28" s="64" customFormat="1" x14ac:dyDescent="0.45">
      <c r="B9" s="128" t="s">
        <v>526</v>
      </c>
      <c r="K9" s="23"/>
      <c r="Z9" s="66"/>
      <c r="AA9" s="66"/>
      <c r="AB9" s="66"/>
    </row>
    <row r="10" spans="2:28" s="64" customFormat="1" x14ac:dyDescent="0.45">
      <c r="B10" s="128" t="s">
        <v>527</v>
      </c>
      <c r="K10" s="23"/>
      <c r="Z10" s="66"/>
      <c r="AA10" s="66"/>
      <c r="AB10" s="66"/>
    </row>
    <row r="11" spans="2:28" s="64" customFormat="1" x14ac:dyDescent="0.45">
      <c r="B11" s="128" t="s">
        <v>528</v>
      </c>
      <c r="G11" s="111"/>
      <c r="H11" s="111"/>
      <c r="K11" s="23"/>
      <c r="Z11" s="66"/>
      <c r="AA11" s="66"/>
      <c r="AB11" s="66"/>
    </row>
    <row r="12" spans="2:28" s="64" customFormat="1" hidden="1" x14ac:dyDescent="0.45">
      <c r="B12" s="179" t="s">
        <v>507</v>
      </c>
      <c r="C12" s="111"/>
      <c r="D12" s="111"/>
      <c r="E12" s="111"/>
      <c r="F12" s="111"/>
      <c r="G12" s="111"/>
      <c r="H12" s="111"/>
      <c r="I12" s="126"/>
      <c r="J12" s="126"/>
      <c r="K12" s="127"/>
      <c r="L12" s="126"/>
      <c r="Z12" s="66"/>
      <c r="AA12" s="66"/>
      <c r="AB12" s="66"/>
    </row>
    <row r="13" spans="2:28" s="64" customFormat="1" hidden="1" x14ac:dyDescent="0.45">
      <c r="B13" s="159" t="s">
        <v>268</v>
      </c>
      <c r="C13" s="126"/>
      <c r="D13" s="126"/>
      <c r="E13" s="126"/>
      <c r="F13" s="126"/>
      <c r="G13" s="126"/>
      <c r="H13" s="126"/>
      <c r="I13" s="126"/>
      <c r="J13" s="126"/>
      <c r="K13" s="127"/>
      <c r="L13" s="126"/>
      <c r="Z13" s="66"/>
      <c r="AA13" s="66"/>
      <c r="AB13" s="66"/>
    </row>
    <row r="14" spans="2:28" s="64" customFormat="1" x14ac:dyDescent="0.45">
      <c r="B14" s="128" t="s">
        <v>529</v>
      </c>
      <c r="K14" s="23"/>
      <c r="Z14" s="66"/>
      <c r="AA14" s="66"/>
      <c r="AB14" s="66"/>
    </row>
    <row r="15" spans="2:28" s="64" customFormat="1" x14ac:dyDescent="0.45">
      <c r="B15" s="128" t="s">
        <v>410</v>
      </c>
      <c r="K15" s="23"/>
      <c r="Z15" s="66"/>
      <c r="AA15" s="66"/>
      <c r="AB15" s="66"/>
    </row>
    <row r="16" spans="2:28" s="64" customFormat="1" x14ac:dyDescent="0.45">
      <c r="B16" s="128" t="s">
        <v>209</v>
      </c>
      <c r="K16" s="23"/>
      <c r="Z16" s="66"/>
      <c r="AA16" s="66"/>
      <c r="AB16" s="66"/>
    </row>
    <row r="17" spans="2:28" s="64" customFormat="1" x14ac:dyDescent="0.45">
      <c r="B17" s="128" t="s">
        <v>640</v>
      </c>
      <c r="K17" s="23"/>
      <c r="Z17" s="66"/>
      <c r="AA17" s="66"/>
      <c r="AB17" s="66"/>
    </row>
    <row r="18" spans="2:28" s="64" customFormat="1" x14ac:dyDescent="0.45">
      <c r="B18" s="128" t="s">
        <v>210</v>
      </c>
      <c r="K18" s="23"/>
      <c r="Z18" s="66"/>
      <c r="AA18" s="66"/>
      <c r="AB18" s="66"/>
    </row>
    <row r="19" spans="2:28" s="64" customFormat="1" x14ac:dyDescent="0.45">
      <c r="B19" s="128" t="s">
        <v>530</v>
      </c>
      <c r="K19" s="23"/>
      <c r="Z19" s="66"/>
      <c r="AA19" s="66"/>
      <c r="AB19" s="66"/>
    </row>
    <row r="20" spans="2:28" s="64" customFormat="1" x14ac:dyDescent="0.45">
      <c r="B20" s="79"/>
      <c r="K20" s="23"/>
      <c r="Z20" s="66"/>
      <c r="AA20" s="66"/>
      <c r="AB20" s="66"/>
    </row>
    <row r="21" spans="2:28" ht="19.5" customHeight="1" x14ac:dyDescent="0.45">
      <c r="B21" s="94" t="s">
        <v>167</v>
      </c>
      <c r="C21" s="25"/>
      <c r="D21" s="56" t="s">
        <v>633</v>
      </c>
    </row>
    <row r="22" spans="2:28" ht="19.5" customHeight="1" x14ac:dyDescent="0.45">
      <c r="C22" s="26"/>
      <c r="D22" s="56" t="s">
        <v>637</v>
      </c>
    </row>
    <row r="23" spans="2:28" ht="19.5" customHeight="1" x14ac:dyDescent="0.45">
      <c r="C23" s="27"/>
      <c r="D23" s="52" t="s">
        <v>634</v>
      </c>
    </row>
    <row r="24" spans="2:28" ht="19.5" customHeight="1" x14ac:dyDescent="0.45">
      <c r="D24" s="24"/>
    </row>
    <row r="25" spans="2:28" x14ac:dyDescent="0.45">
      <c r="B25" s="24" t="str">
        <f>'1.換気～比較表（適合）'!B19</f>
        <v>R4_Ver8.2</v>
      </c>
    </row>
    <row r="26" spans="2:28" ht="20.25" thickBot="1" x14ac:dyDescent="0.5"/>
    <row r="27" spans="2:28" ht="42.75" customHeight="1" thickTop="1" thickBot="1" x14ac:dyDescent="0.5">
      <c r="B27" s="28" t="s">
        <v>190</v>
      </c>
      <c r="C27" s="29"/>
      <c r="F27" s="373" t="s">
        <v>417</v>
      </c>
      <c r="G27" s="374"/>
      <c r="H27" s="440" t="str">
        <f>IF(X38="入力確認","旧設備の入力をご確認ください。",IF(X64="入力確認","新設備の入力をご確認ください。",IF(AND(AC54=0,AC56=0,AC57=0,AC60=0,AC62=0),"換気設備の導入は必須です。換気設備について入力してください。",IF(X55="非適合","新設備の導入がない計画は申請できません。",IF(AND(X54="適合",X55="適合",X56="適合",X57="適合",X59="適合",X61="適合",X63="適合",X65="適合"),"換気設備導入の要件を満たしています。","換気設備導入の要件を満たしていないため、申請できません。")))))</f>
        <v>旧設備の入力をご確認ください。</v>
      </c>
      <c r="I27" s="441"/>
      <c r="J27" s="441"/>
      <c r="K27" s="441"/>
      <c r="L27" s="441"/>
      <c r="M27" s="441"/>
      <c r="N27" s="441"/>
      <c r="O27" s="442"/>
      <c r="X27" s="122"/>
    </row>
    <row r="28" spans="2:28" ht="18.75" customHeight="1" thickTop="1" x14ac:dyDescent="0.45">
      <c r="B28" s="28"/>
      <c r="C28" s="29"/>
    </row>
    <row r="29" spans="2:28" ht="42" customHeight="1" thickBot="1" x14ac:dyDescent="0.5">
      <c r="B29" s="188" t="s">
        <v>431</v>
      </c>
      <c r="C29" s="30"/>
    </row>
    <row r="30" spans="2:28" ht="21" thickTop="1" thickBot="1" x14ac:dyDescent="0.5">
      <c r="B30" s="401" t="s">
        <v>122</v>
      </c>
      <c r="C30" s="402"/>
      <c r="D30" s="276" t="s">
        <v>142</v>
      </c>
      <c r="E30" s="327" t="s">
        <v>143</v>
      </c>
      <c r="F30" s="328" t="s">
        <v>144</v>
      </c>
      <c r="G30" s="277" t="s">
        <v>145</v>
      </c>
      <c r="H30" s="31" t="s">
        <v>146</v>
      </c>
      <c r="I30" s="31" t="s">
        <v>147</v>
      </c>
      <c r="J30" s="31" t="s">
        <v>148</v>
      </c>
      <c r="K30" s="31" t="s">
        <v>149</v>
      </c>
      <c r="L30" s="31" t="s">
        <v>150</v>
      </c>
      <c r="M30" s="31" t="s">
        <v>151</v>
      </c>
      <c r="N30" s="31" t="s">
        <v>346</v>
      </c>
      <c r="O30" s="31" t="s">
        <v>152</v>
      </c>
      <c r="P30" s="31" t="s">
        <v>153</v>
      </c>
      <c r="Q30" s="31" t="s">
        <v>154</v>
      </c>
      <c r="R30" s="31" t="s">
        <v>155</v>
      </c>
      <c r="S30" s="31" t="s">
        <v>156</v>
      </c>
      <c r="T30" s="31" t="s">
        <v>157</v>
      </c>
      <c r="U30" s="31" t="s">
        <v>158</v>
      </c>
      <c r="V30" s="31" t="s">
        <v>159</v>
      </c>
      <c r="W30" s="212" t="s">
        <v>160</v>
      </c>
      <c r="X30" s="218" t="s">
        <v>484</v>
      </c>
      <c r="Y30" s="219" t="s">
        <v>485</v>
      </c>
      <c r="AA30" s="79" t="s">
        <v>433</v>
      </c>
    </row>
    <row r="31" spans="2:28" ht="63" customHeight="1" thickTop="1" x14ac:dyDescent="0.45">
      <c r="B31" s="394" t="s">
        <v>1</v>
      </c>
      <c r="C31" s="394"/>
      <c r="D31" s="275" t="s">
        <v>536</v>
      </c>
      <c r="E31" s="275" t="s">
        <v>536</v>
      </c>
      <c r="F31" s="275" t="s">
        <v>194</v>
      </c>
      <c r="G31" s="275" t="s">
        <v>536</v>
      </c>
      <c r="H31" s="89"/>
      <c r="I31" s="89"/>
      <c r="J31" s="89"/>
      <c r="K31" s="89"/>
      <c r="L31" s="89"/>
      <c r="M31" s="89"/>
      <c r="N31" s="89"/>
      <c r="O31" s="89"/>
      <c r="P31" s="89"/>
      <c r="Q31" s="89"/>
      <c r="R31" s="89"/>
      <c r="S31" s="89"/>
      <c r="T31" s="89"/>
      <c r="U31" s="89"/>
      <c r="V31" s="89"/>
      <c r="W31" s="213"/>
      <c r="X31" s="220" t="s">
        <v>10</v>
      </c>
      <c r="Y31" s="221" t="s">
        <v>10</v>
      </c>
      <c r="AA31" s="23"/>
      <c r="AB31" s="225" t="s">
        <v>490</v>
      </c>
    </row>
    <row r="32" spans="2:28" ht="26.25" customHeight="1" thickBot="1" x14ac:dyDescent="0.5">
      <c r="B32" s="397" t="s">
        <v>488</v>
      </c>
      <c r="C32" s="397"/>
      <c r="D32" s="224" t="s">
        <v>482</v>
      </c>
      <c r="E32" s="224" t="s">
        <v>483</v>
      </c>
      <c r="F32" s="224" t="s">
        <v>524</v>
      </c>
      <c r="G32" s="224" t="s">
        <v>505</v>
      </c>
      <c r="H32" s="224"/>
      <c r="I32" s="224"/>
      <c r="J32" s="224"/>
      <c r="K32" s="224"/>
      <c r="L32" s="224"/>
      <c r="M32" s="224"/>
      <c r="N32" s="224"/>
      <c r="O32" s="224"/>
      <c r="P32" s="224"/>
      <c r="Q32" s="224"/>
      <c r="R32" s="224"/>
      <c r="S32" s="224"/>
      <c r="T32" s="224"/>
      <c r="U32" s="224"/>
      <c r="V32" s="224"/>
      <c r="W32" s="224"/>
      <c r="X32" s="216" t="s">
        <v>10</v>
      </c>
      <c r="Y32" s="217" t="s">
        <v>10</v>
      </c>
    </row>
    <row r="33" spans="2:37" ht="27" customHeight="1" thickBot="1" x14ac:dyDescent="0.5">
      <c r="B33" s="397" t="s">
        <v>3</v>
      </c>
      <c r="C33" s="397"/>
      <c r="D33" s="301">
        <v>3</v>
      </c>
      <c r="E33" s="301">
        <v>1</v>
      </c>
      <c r="F33" s="301">
        <v>2</v>
      </c>
      <c r="G33" s="301">
        <v>2</v>
      </c>
      <c r="H33" s="204"/>
      <c r="I33" s="204"/>
      <c r="J33" s="204"/>
      <c r="K33" s="204"/>
      <c r="L33" s="204"/>
      <c r="M33" s="204"/>
      <c r="N33" s="204"/>
      <c r="O33" s="204"/>
      <c r="P33" s="204"/>
      <c r="Q33" s="204"/>
      <c r="R33" s="204"/>
      <c r="S33" s="204"/>
      <c r="T33" s="204"/>
      <c r="U33" s="204"/>
      <c r="V33" s="204"/>
      <c r="W33" s="214"/>
      <c r="X33" s="209">
        <f>IF(AND(AC38=0,AD38=0,AE38=0),"",AB36+AD36)</f>
        <v>5</v>
      </c>
      <c r="Y33" s="210">
        <f>IF(AND(AC38=0,AD38=0,AE38=0),"",AC36)</f>
        <v>1</v>
      </c>
      <c r="AB33" s="225" t="s">
        <v>548</v>
      </c>
    </row>
    <row r="34" spans="2:37" ht="27" customHeight="1" thickTop="1" thickBot="1" x14ac:dyDescent="0.5">
      <c r="B34" s="398" t="s">
        <v>4</v>
      </c>
      <c r="C34" s="399"/>
      <c r="D34" s="175">
        <v>500</v>
      </c>
      <c r="E34" s="346">
        <v>850</v>
      </c>
      <c r="F34" s="348"/>
      <c r="G34" s="169">
        <v>200</v>
      </c>
      <c r="H34" s="169"/>
      <c r="I34" s="169"/>
      <c r="J34" s="169"/>
      <c r="K34" s="169"/>
      <c r="L34" s="169"/>
      <c r="M34" s="169"/>
      <c r="N34" s="169"/>
      <c r="O34" s="169"/>
      <c r="P34" s="169"/>
      <c r="Q34" s="169"/>
      <c r="R34" s="169"/>
      <c r="S34" s="169"/>
      <c r="T34" s="169"/>
      <c r="U34" s="169"/>
      <c r="V34" s="169"/>
      <c r="W34" s="211"/>
      <c r="X34" s="235">
        <f>IF(AND(AC38=0,AE38=0),"",X36+AA36)</f>
        <v>1500</v>
      </c>
      <c r="Y34" s="236">
        <f>IF(AND(AD38=0,AE38=0),"",Y36+AA36)</f>
        <v>850</v>
      </c>
      <c r="AB34" s="225" t="s">
        <v>532</v>
      </c>
    </row>
    <row r="35" spans="2:37" ht="27" customHeight="1" thickTop="1" thickBot="1" x14ac:dyDescent="0.5">
      <c r="B35" s="397" t="s">
        <v>5</v>
      </c>
      <c r="C35" s="395"/>
      <c r="D35" s="171">
        <v>25</v>
      </c>
      <c r="E35" s="171">
        <v>40</v>
      </c>
      <c r="F35" s="347">
        <v>10</v>
      </c>
      <c r="G35" s="171">
        <v>50</v>
      </c>
      <c r="H35" s="170"/>
      <c r="I35" s="171"/>
      <c r="J35" s="170"/>
      <c r="K35" s="171"/>
      <c r="L35" s="170"/>
      <c r="M35" s="171"/>
      <c r="N35" s="171"/>
      <c r="O35" s="171"/>
      <c r="P35" s="171"/>
      <c r="Q35" s="171"/>
      <c r="R35" s="171"/>
      <c r="S35" s="171"/>
      <c r="T35" s="171"/>
      <c r="U35" s="171"/>
      <c r="V35" s="171"/>
      <c r="W35" s="215"/>
      <c r="X35" s="237">
        <f>IF(AND(AC38=0,AE38=0),"",X37+AA37)</f>
        <v>95</v>
      </c>
      <c r="Y35" s="238">
        <f>IF(AND(AD38=0,AE38=0),"",Y37+AA37)</f>
        <v>60</v>
      </c>
    </row>
    <row r="36" spans="2:37" ht="27" hidden="1" customHeight="1" thickTop="1" x14ac:dyDescent="0.45">
      <c r="B36" s="398" t="s">
        <v>486</v>
      </c>
      <c r="C36" s="398"/>
      <c r="D36" s="302">
        <f>D33*D34</f>
        <v>1500</v>
      </c>
      <c r="E36" s="302">
        <f t="shared" ref="E36:W36" si="0">E33*E34</f>
        <v>850</v>
      </c>
      <c r="F36" s="302">
        <f t="shared" si="0"/>
        <v>0</v>
      </c>
      <c r="G36" s="302">
        <f t="shared" si="0"/>
        <v>400</v>
      </c>
      <c r="H36" s="169">
        <f t="shared" si="0"/>
        <v>0</v>
      </c>
      <c r="I36" s="169">
        <f t="shared" si="0"/>
        <v>0</v>
      </c>
      <c r="J36" s="169">
        <f t="shared" si="0"/>
        <v>0</v>
      </c>
      <c r="K36" s="169">
        <f t="shared" si="0"/>
        <v>0</v>
      </c>
      <c r="L36" s="169">
        <f t="shared" si="0"/>
        <v>0</v>
      </c>
      <c r="M36" s="169">
        <f t="shared" si="0"/>
        <v>0</v>
      </c>
      <c r="N36" s="169">
        <f t="shared" si="0"/>
        <v>0</v>
      </c>
      <c r="O36" s="169">
        <f t="shared" si="0"/>
        <v>0</v>
      </c>
      <c r="P36" s="169">
        <f t="shared" si="0"/>
        <v>0</v>
      </c>
      <c r="Q36" s="169">
        <f t="shared" si="0"/>
        <v>0</v>
      </c>
      <c r="R36" s="169">
        <f t="shared" si="0"/>
        <v>0</v>
      </c>
      <c r="S36" s="169">
        <f t="shared" si="0"/>
        <v>0</v>
      </c>
      <c r="T36" s="169">
        <f t="shared" si="0"/>
        <v>0</v>
      </c>
      <c r="U36" s="169">
        <f t="shared" si="0"/>
        <v>0</v>
      </c>
      <c r="V36" s="169">
        <f t="shared" si="0"/>
        <v>0</v>
      </c>
      <c r="W36" s="211">
        <f t="shared" si="0"/>
        <v>0</v>
      </c>
      <c r="X36" s="228">
        <f>IF(SUMIF($D$32:$W$32,"排気",$D$36:$W$36)=0,0,SUMIF($D$32:$W$32,"排気",$D$36:$W$36))</f>
        <v>1500</v>
      </c>
      <c r="Y36" s="229">
        <f>IF(SUMIF($D$32:$W$32,"給気",$D$36:$W$36)=0,0,SUMIF($D$32:$W$32,"給気",$D$36:$W$36))</f>
        <v>850</v>
      </c>
      <c r="AA36" s="191">
        <f>IF(SUMIF($D$32:$W$32,"給気・排気",$D$36:$W$36)=0,0,SUMIF($D$32:$W$32,"給気・排気",$D$36:$W$36))</f>
        <v>0</v>
      </c>
      <c r="AB36" s="317">
        <f>IF(SUMIF($D$32:$W$32,"排気",$D$33:$W$33)=0,0,SUMIF($D$32:$W$32,"排気",$D$33:$W$33))</f>
        <v>3</v>
      </c>
      <c r="AC36" s="317">
        <f>IF(SUMIF($D$32:$W$32,"給気",$D$33:$W$33)=0,0,SUMIF($D$32:$W$32,"給気",$D$33:$W$33))</f>
        <v>1</v>
      </c>
      <c r="AD36" s="317">
        <f>IF(SUMIF($D$32:$W$32,"給気・排気",$D$33:$W$33)=0,0,SUMIF($D$32:$W$32,"給気・排気",$D$33:$W$33))</f>
        <v>2</v>
      </c>
      <c r="AE36" s="317"/>
      <c r="AF36" s="317" t="s">
        <v>549</v>
      </c>
      <c r="AG36" s="318"/>
      <c r="AH36" s="318"/>
      <c r="AI36" s="318"/>
      <c r="AJ36" s="318"/>
      <c r="AK36" s="318"/>
    </row>
    <row r="37" spans="2:37" ht="27" hidden="1" customHeight="1" thickBot="1" x14ac:dyDescent="0.5">
      <c r="B37" s="397" t="s">
        <v>487</v>
      </c>
      <c r="C37" s="397"/>
      <c r="D37" s="169">
        <f t="shared" ref="D37:W37" si="1">D33*D35</f>
        <v>75</v>
      </c>
      <c r="E37" s="169">
        <f t="shared" si="1"/>
        <v>40</v>
      </c>
      <c r="F37" s="169">
        <f t="shared" si="1"/>
        <v>20</v>
      </c>
      <c r="G37" s="169">
        <f t="shared" si="1"/>
        <v>100</v>
      </c>
      <c r="H37" s="169">
        <f t="shared" si="1"/>
        <v>0</v>
      </c>
      <c r="I37" s="169">
        <f t="shared" si="1"/>
        <v>0</v>
      </c>
      <c r="J37" s="169">
        <f t="shared" si="1"/>
        <v>0</v>
      </c>
      <c r="K37" s="169">
        <f t="shared" si="1"/>
        <v>0</v>
      </c>
      <c r="L37" s="169">
        <f t="shared" si="1"/>
        <v>0</v>
      </c>
      <c r="M37" s="169">
        <f t="shared" si="1"/>
        <v>0</v>
      </c>
      <c r="N37" s="169">
        <f t="shared" si="1"/>
        <v>0</v>
      </c>
      <c r="O37" s="169">
        <f t="shared" si="1"/>
        <v>0</v>
      </c>
      <c r="P37" s="169">
        <f t="shared" si="1"/>
        <v>0</v>
      </c>
      <c r="Q37" s="169">
        <f t="shared" si="1"/>
        <v>0</v>
      </c>
      <c r="R37" s="169">
        <f t="shared" si="1"/>
        <v>0</v>
      </c>
      <c r="S37" s="169">
        <f t="shared" si="1"/>
        <v>0</v>
      </c>
      <c r="T37" s="169">
        <f t="shared" si="1"/>
        <v>0</v>
      </c>
      <c r="U37" s="169">
        <f t="shared" si="1"/>
        <v>0</v>
      </c>
      <c r="V37" s="169">
        <f t="shared" si="1"/>
        <v>0</v>
      </c>
      <c r="W37" s="211">
        <f t="shared" si="1"/>
        <v>0</v>
      </c>
      <c r="X37" s="230">
        <f>IF(SUMIF($D$32:$W$32,"排気",$D$37:$W$37)=0,0,SUMIF($D$32:$W$32,"排気",$D$37:$W$37))</f>
        <v>75</v>
      </c>
      <c r="Y37" s="231">
        <f>IF(SUMIF($D$32:$W$32,"給気",$D$37:$W$37)=0,0,SUMIF($D$32:$W$32,"給気",$D$37:$W$37))</f>
        <v>40</v>
      </c>
      <c r="AA37" s="191">
        <f>IF(SUMIF($D$32:$W$32,"給気・排気",$D$37:$W$37)=0,0,SUMIF($D$32:$W$32,"給気・排気",$D$37:$W$37))</f>
        <v>20</v>
      </c>
    </row>
    <row r="38" spans="2:37" ht="20.25" hidden="1" thickTop="1" x14ac:dyDescent="0.45">
      <c r="B38" s="110" t="s">
        <v>443</v>
      </c>
      <c r="C38" s="108"/>
      <c r="D38" s="108">
        <f t="shared" ref="D38:W38" si="2">IF(AND(D31="",D32="",D33="",D34="",D35=""),2,IF(AND(D31&lt;&gt;"",D32&lt;&gt;"",D33&lt;&gt;"",D34&lt;&gt;"",D35&lt;&gt;""),0,1))</f>
        <v>0</v>
      </c>
      <c r="E38" s="108">
        <f t="shared" si="2"/>
        <v>0</v>
      </c>
      <c r="F38" s="108">
        <f t="shared" si="2"/>
        <v>1</v>
      </c>
      <c r="G38" s="108">
        <f t="shared" si="2"/>
        <v>0</v>
      </c>
      <c r="H38" s="108">
        <f t="shared" si="2"/>
        <v>2</v>
      </c>
      <c r="I38" s="108">
        <f t="shared" si="2"/>
        <v>2</v>
      </c>
      <c r="J38" s="108">
        <f t="shared" si="2"/>
        <v>2</v>
      </c>
      <c r="K38" s="108">
        <f t="shared" si="2"/>
        <v>2</v>
      </c>
      <c r="L38" s="108">
        <f t="shared" si="2"/>
        <v>2</v>
      </c>
      <c r="M38" s="108">
        <f t="shared" si="2"/>
        <v>2</v>
      </c>
      <c r="N38" s="108">
        <f t="shared" si="2"/>
        <v>2</v>
      </c>
      <c r="O38" s="108">
        <f t="shared" si="2"/>
        <v>2</v>
      </c>
      <c r="P38" s="108">
        <f t="shared" si="2"/>
        <v>2</v>
      </c>
      <c r="Q38" s="108">
        <f t="shared" si="2"/>
        <v>2</v>
      </c>
      <c r="R38" s="108">
        <f t="shared" si="2"/>
        <v>2</v>
      </c>
      <c r="S38" s="108">
        <f t="shared" si="2"/>
        <v>2</v>
      </c>
      <c r="T38" s="108">
        <f t="shared" si="2"/>
        <v>2</v>
      </c>
      <c r="U38" s="108">
        <f t="shared" si="2"/>
        <v>2</v>
      </c>
      <c r="V38" s="108">
        <f t="shared" si="2"/>
        <v>2</v>
      </c>
      <c r="W38" s="108">
        <f t="shared" si="2"/>
        <v>2</v>
      </c>
      <c r="X38" s="108" t="str">
        <f>IF(Z38&gt;0,"入力確認",IF(AB38=Y38,"適合","不適合"))</f>
        <v>入力確認</v>
      </c>
      <c r="Y38" s="23">
        <f>COUNTIF($D38:$W38,0)</f>
        <v>3</v>
      </c>
      <c r="Z38" s="191">
        <f>COUNTIF($D38:$W38,1)</f>
        <v>1</v>
      </c>
      <c r="AA38" s="191">
        <f>COUNTIF($D38:$W38,2)</f>
        <v>16</v>
      </c>
      <c r="AB38" s="23">
        <f>20-COUNTIF($D$31:$W$31,"")</f>
        <v>4</v>
      </c>
      <c r="AC38" s="23">
        <f>COUNTIF($D$32:$W$32,"排気")</f>
        <v>1</v>
      </c>
      <c r="AD38" s="23">
        <f>COUNTIF($D$32:$W$32,"給気")</f>
        <v>1</v>
      </c>
      <c r="AE38" s="23">
        <f>COUNTIF($D$32:$W$32,"給気・排気")</f>
        <v>1</v>
      </c>
      <c r="AF38" s="118">
        <v>34</v>
      </c>
    </row>
    <row r="40" spans="2:37" ht="42" customHeight="1" thickBot="1" x14ac:dyDescent="0.5">
      <c r="B40" s="188" t="s">
        <v>432</v>
      </c>
      <c r="C40" s="30"/>
    </row>
    <row r="41" spans="2:37" ht="21" thickTop="1" thickBot="1" x14ac:dyDescent="0.5">
      <c r="B41" s="391" t="s">
        <v>121</v>
      </c>
      <c r="C41" s="392"/>
      <c r="D41" s="282" t="s">
        <v>283</v>
      </c>
      <c r="E41" s="282" t="s">
        <v>284</v>
      </c>
      <c r="F41" s="282" t="s">
        <v>285</v>
      </c>
      <c r="G41" s="282" t="s">
        <v>286</v>
      </c>
      <c r="H41" s="325" t="s">
        <v>287</v>
      </c>
      <c r="I41" s="326" t="s">
        <v>288</v>
      </c>
      <c r="J41" s="31" t="s">
        <v>289</v>
      </c>
      <c r="K41" s="31" t="s">
        <v>290</v>
      </c>
      <c r="L41" s="31" t="s">
        <v>291</v>
      </c>
      <c r="M41" s="31" t="s">
        <v>292</v>
      </c>
      <c r="N41" s="31" t="s">
        <v>347</v>
      </c>
      <c r="O41" s="31" t="s">
        <v>348</v>
      </c>
      <c r="P41" s="31" t="s">
        <v>349</v>
      </c>
      <c r="Q41" s="31" t="s">
        <v>350</v>
      </c>
      <c r="R41" s="31" t="s">
        <v>351</v>
      </c>
      <c r="S41" s="31" t="s">
        <v>352</v>
      </c>
      <c r="T41" s="31" t="s">
        <v>353</v>
      </c>
      <c r="U41" s="31" t="s">
        <v>354</v>
      </c>
      <c r="V41" s="31" t="s">
        <v>355</v>
      </c>
      <c r="W41" s="31" t="s">
        <v>356</v>
      </c>
      <c r="X41" s="218" t="s">
        <v>484</v>
      </c>
      <c r="Y41" s="219" t="s">
        <v>485</v>
      </c>
      <c r="Z41" s="23"/>
      <c r="AA41" s="79" t="s">
        <v>434</v>
      </c>
    </row>
    <row r="42" spans="2:37" ht="63" customHeight="1" thickTop="1" x14ac:dyDescent="0.45">
      <c r="B42" s="394" t="s">
        <v>1</v>
      </c>
      <c r="C42" s="394"/>
      <c r="D42" s="275" t="s">
        <v>193</v>
      </c>
      <c r="E42" s="275" t="s">
        <v>193</v>
      </c>
      <c r="F42" s="275" t="s">
        <v>193</v>
      </c>
      <c r="G42" s="275" t="s">
        <v>193</v>
      </c>
      <c r="H42" s="275" t="s">
        <v>194</v>
      </c>
      <c r="I42" s="275" t="s">
        <v>536</v>
      </c>
      <c r="J42" s="89"/>
      <c r="K42" s="89"/>
      <c r="L42" s="89"/>
      <c r="M42" s="89"/>
      <c r="N42" s="89"/>
      <c r="O42" s="89"/>
      <c r="P42" s="89"/>
      <c r="Q42" s="89"/>
      <c r="R42" s="89"/>
      <c r="S42" s="89"/>
      <c r="T42" s="89"/>
      <c r="U42" s="89"/>
      <c r="V42" s="89"/>
      <c r="W42" s="89"/>
      <c r="X42" s="220" t="s">
        <v>10</v>
      </c>
      <c r="Y42" s="221" t="s">
        <v>10</v>
      </c>
      <c r="Z42" s="23"/>
    </row>
    <row r="43" spans="2:37" ht="26.25" customHeight="1" x14ac:dyDescent="0.45">
      <c r="B43" s="397" t="s">
        <v>488</v>
      </c>
      <c r="C43" s="397"/>
      <c r="D43" s="224" t="s">
        <v>482</v>
      </c>
      <c r="E43" s="224" t="s">
        <v>482</v>
      </c>
      <c r="F43" s="224" t="s">
        <v>482</v>
      </c>
      <c r="G43" s="224" t="s">
        <v>483</v>
      </c>
      <c r="H43" s="224" t="s">
        <v>524</v>
      </c>
      <c r="I43" s="224" t="s">
        <v>505</v>
      </c>
      <c r="J43" s="224"/>
      <c r="K43" s="224"/>
      <c r="L43" s="224"/>
      <c r="M43" s="224"/>
      <c r="N43" s="224"/>
      <c r="O43" s="224"/>
      <c r="P43" s="224"/>
      <c r="Q43" s="224"/>
      <c r="R43" s="224"/>
      <c r="S43" s="224"/>
      <c r="T43" s="224"/>
      <c r="U43" s="224"/>
      <c r="V43" s="224"/>
      <c r="W43" s="224"/>
      <c r="X43" s="220" t="s">
        <v>10</v>
      </c>
      <c r="Y43" s="221" t="s">
        <v>10</v>
      </c>
      <c r="AA43" s="79"/>
      <c r="AB43" s="225" t="s">
        <v>490</v>
      </c>
    </row>
    <row r="44" spans="2:37" ht="27" customHeight="1" x14ac:dyDescent="0.45">
      <c r="B44" s="395" t="s">
        <v>9</v>
      </c>
      <c r="C44" s="396"/>
      <c r="D44" s="1" t="s">
        <v>85</v>
      </c>
      <c r="E44" s="1" t="s">
        <v>84</v>
      </c>
      <c r="F44" s="1" t="s">
        <v>83</v>
      </c>
      <c r="G44" s="1" t="s">
        <v>85</v>
      </c>
      <c r="H44" s="1" t="s">
        <v>85</v>
      </c>
      <c r="I44" s="1" t="s">
        <v>86</v>
      </c>
      <c r="J44" s="1"/>
      <c r="K44" s="1"/>
      <c r="L44" s="1"/>
      <c r="M44" s="1"/>
      <c r="N44" s="1"/>
      <c r="O44" s="1"/>
      <c r="P44" s="1"/>
      <c r="Q44" s="1"/>
      <c r="R44" s="1"/>
      <c r="S44" s="1"/>
      <c r="T44" s="1"/>
      <c r="U44" s="1"/>
      <c r="V44" s="1"/>
      <c r="W44" s="1"/>
      <c r="X44" s="220" t="s">
        <v>10</v>
      </c>
      <c r="Y44" s="221" t="s">
        <v>10</v>
      </c>
      <c r="Z44" s="23"/>
      <c r="AA44" s="79"/>
    </row>
    <row r="45" spans="2:37" ht="27" customHeight="1" thickBot="1" x14ac:dyDescent="0.5">
      <c r="B45" s="403" t="s">
        <v>108</v>
      </c>
      <c r="C45" s="404"/>
      <c r="D45" s="224" t="s">
        <v>90</v>
      </c>
      <c r="E45" s="224" t="s">
        <v>90</v>
      </c>
      <c r="F45" s="224" t="s">
        <v>90</v>
      </c>
      <c r="G45" s="224" t="s">
        <v>90</v>
      </c>
      <c r="H45" s="224" t="s">
        <v>100</v>
      </c>
      <c r="I45" s="224" t="s">
        <v>90</v>
      </c>
      <c r="J45" s="224"/>
      <c r="K45" s="224"/>
      <c r="L45" s="224"/>
      <c r="M45" s="224"/>
      <c r="N45" s="224"/>
      <c r="O45" s="224"/>
      <c r="P45" s="224"/>
      <c r="Q45" s="224"/>
      <c r="R45" s="224"/>
      <c r="S45" s="224"/>
      <c r="T45" s="224"/>
      <c r="U45" s="224"/>
      <c r="V45" s="224"/>
      <c r="W45" s="224"/>
      <c r="X45" s="216" t="s">
        <v>10</v>
      </c>
      <c r="Y45" s="217" t="s">
        <v>10</v>
      </c>
      <c r="Z45" s="23"/>
      <c r="AA45" s="79"/>
    </row>
    <row r="46" spans="2:37" ht="27" customHeight="1" thickBot="1" x14ac:dyDescent="0.5">
      <c r="B46" s="397" t="s">
        <v>3</v>
      </c>
      <c r="C46" s="397"/>
      <c r="D46" s="301">
        <v>1</v>
      </c>
      <c r="E46" s="301">
        <v>1</v>
      </c>
      <c r="F46" s="301">
        <v>1</v>
      </c>
      <c r="G46" s="301">
        <v>1</v>
      </c>
      <c r="H46" s="301">
        <v>2</v>
      </c>
      <c r="I46" s="301">
        <v>2</v>
      </c>
      <c r="J46" s="204"/>
      <c r="K46" s="204"/>
      <c r="L46" s="204"/>
      <c r="M46" s="204"/>
      <c r="N46" s="204"/>
      <c r="O46" s="204"/>
      <c r="P46" s="204"/>
      <c r="Q46" s="204"/>
      <c r="R46" s="204"/>
      <c r="S46" s="204"/>
      <c r="T46" s="204"/>
      <c r="U46" s="204"/>
      <c r="V46" s="204"/>
      <c r="W46" s="204"/>
      <c r="X46" s="209">
        <f>IF(AND(AC65=0,AD65=0,AE65=0),"",AB52+AD52)</f>
        <v>5</v>
      </c>
      <c r="Y46" s="210">
        <f>IF(AND(AC65=0,AD65=0,AE65=0),"",AC52)</f>
        <v>1</v>
      </c>
      <c r="Z46" s="23"/>
      <c r="AB46" s="225" t="s">
        <v>548</v>
      </c>
    </row>
    <row r="47" spans="2:37" ht="27" customHeight="1" thickTop="1" x14ac:dyDescent="0.45">
      <c r="B47" s="398" t="s">
        <v>4</v>
      </c>
      <c r="C47" s="399"/>
      <c r="D47" s="303">
        <v>600</v>
      </c>
      <c r="E47" s="307">
        <v>520</v>
      </c>
      <c r="F47" s="307">
        <v>550</v>
      </c>
      <c r="G47" s="307">
        <v>1000</v>
      </c>
      <c r="H47" s="320">
        <v>350</v>
      </c>
      <c r="I47" s="322">
        <v>200</v>
      </c>
      <c r="J47" s="169"/>
      <c r="K47" s="169"/>
      <c r="L47" s="169"/>
      <c r="M47" s="169"/>
      <c r="N47" s="169"/>
      <c r="O47" s="169"/>
      <c r="P47" s="169"/>
      <c r="Q47" s="169"/>
      <c r="R47" s="169"/>
      <c r="S47" s="169"/>
      <c r="T47" s="169"/>
      <c r="U47" s="169"/>
      <c r="V47" s="169"/>
      <c r="W47" s="169"/>
      <c r="X47" s="235">
        <f>IF(AND(AC65=0,AE65=0),"",X52+AA52)</f>
        <v>2370</v>
      </c>
      <c r="Y47" s="236">
        <f>IF(AND(AD65=0,AE65=0),"",Y52+AA52)</f>
        <v>1700</v>
      </c>
      <c r="Z47" s="23"/>
      <c r="AB47" s="225" t="s">
        <v>532</v>
      </c>
    </row>
    <row r="48" spans="2:37" ht="27" customHeight="1" thickBot="1" x14ac:dyDescent="0.5">
      <c r="B48" s="397" t="s">
        <v>5</v>
      </c>
      <c r="C48" s="395"/>
      <c r="D48" s="305">
        <v>50</v>
      </c>
      <c r="E48" s="308">
        <v>32</v>
      </c>
      <c r="F48" s="308">
        <v>40</v>
      </c>
      <c r="G48" s="308">
        <v>120</v>
      </c>
      <c r="H48" s="321">
        <v>250</v>
      </c>
      <c r="I48" s="306">
        <v>50</v>
      </c>
      <c r="J48" s="170"/>
      <c r="K48" s="171"/>
      <c r="L48" s="171"/>
      <c r="M48" s="171"/>
      <c r="N48" s="171"/>
      <c r="O48" s="171"/>
      <c r="P48" s="171"/>
      <c r="Q48" s="171"/>
      <c r="R48" s="171"/>
      <c r="S48" s="171"/>
      <c r="T48" s="171"/>
      <c r="U48" s="171"/>
      <c r="V48" s="171"/>
      <c r="W48" s="171"/>
      <c r="X48" s="237">
        <f>IF(AND(AC65=0,AE65=0),"",X53+AA53)</f>
        <v>622</v>
      </c>
      <c r="Y48" s="238">
        <f>IF(AND(AD65=0,AE65=0),"",Y53+AA53)</f>
        <v>620</v>
      </c>
      <c r="Z48" s="23"/>
      <c r="AB48" s="79" t="s">
        <v>533</v>
      </c>
    </row>
    <row r="49" spans="2:37" ht="27" customHeight="1" thickTop="1" thickBot="1" x14ac:dyDescent="0.5">
      <c r="B49" s="400" t="s">
        <v>13</v>
      </c>
      <c r="C49" s="400"/>
      <c r="D49" s="309">
        <f t="shared" ref="D49:W49" si="3">IF(D42="高効率換気設備",IF(ISERROR(D48/D47),"",D48/D47),"---")</f>
        <v>8.3333333333333329E-2</v>
      </c>
      <c r="E49" s="310">
        <f t="shared" si="3"/>
        <v>6.1538461538461542E-2</v>
      </c>
      <c r="F49" s="310">
        <f t="shared" si="3"/>
        <v>7.2727272727272724E-2</v>
      </c>
      <c r="G49" s="310">
        <f t="shared" si="3"/>
        <v>0.12</v>
      </c>
      <c r="H49" s="310" t="str">
        <f t="shared" si="3"/>
        <v>---</v>
      </c>
      <c r="I49" s="310" t="str">
        <f t="shared" si="3"/>
        <v>---</v>
      </c>
      <c r="J49" s="33" t="str">
        <f t="shared" si="3"/>
        <v>---</v>
      </c>
      <c r="K49" s="33" t="str">
        <f t="shared" si="3"/>
        <v>---</v>
      </c>
      <c r="L49" s="33" t="str">
        <f t="shared" si="3"/>
        <v>---</v>
      </c>
      <c r="M49" s="33" t="str">
        <f t="shared" si="3"/>
        <v>---</v>
      </c>
      <c r="N49" s="33" t="str">
        <f t="shared" si="3"/>
        <v>---</v>
      </c>
      <c r="O49" s="33" t="str">
        <f t="shared" si="3"/>
        <v>---</v>
      </c>
      <c r="P49" s="33" t="str">
        <f t="shared" si="3"/>
        <v>---</v>
      </c>
      <c r="Q49" s="33" t="str">
        <f t="shared" si="3"/>
        <v>---</v>
      </c>
      <c r="R49" s="33" t="str">
        <f t="shared" si="3"/>
        <v>---</v>
      </c>
      <c r="S49" s="33" t="str">
        <f t="shared" si="3"/>
        <v>---</v>
      </c>
      <c r="T49" s="33" t="str">
        <f t="shared" si="3"/>
        <v>---</v>
      </c>
      <c r="U49" s="33" t="str">
        <f t="shared" si="3"/>
        <v>---</v>
      </c>
      <c r="V49" s="33" t="str">
        <f t="shared" si="3"/>
        <v>---</v>
      </c>
      <c r="W49" s="33" t="str">
        <f t="shared" si="3"/>
        <v>---</v>
      </c>
      <c r="X49" s="222" t="s">
        <v>10</v>
      </c>
      <c r="Y49" s="223" t="s">
        <v>10</v>
      </c>
      <c r="Z49" s="23"/>
    </row>
    <row r="50" spans="2:37" ht="27" customHeight="1" thickTop="1" x14ac:dyDescent="0.45">
      <c r="B50" s="46" t="s">
        <v>87</v>
      </c>
      <c r="C50" s="297" t="s">
        <v>7</v>
      </c>
      <c r="D50" s="311"/>
      <c r="E50" s="312"/>
      <c r="F50" s="312"/>
      <c r="G50" s="312"/>
      <c r="H50" s="323">
        <v>65</v>
      </c>
      <c r="I50" s="313"/>
      <c r="J50" s="116"/>
      <c r="K50" s="117"/>
      <c r="L50" s="117"/>
      <c r="M50" s="117"/>
      <c r="N50" s="117"/>
      <c r="O50" s="117"/>
      <c r="P50" s="117"/>
      <c r="Q50" s="117"/>
      <c r="R50" s="117"/>
      <c r="S50" s="117"/>
      <c r="T50" s="117"/>
      <c r="U50" s="117"/>
      <c r="V50" s="117"/>
      <c r="W50" s="117"/>
      <c r="X50" s="220" t="s">
        <v>10</v>
      </c>
      <c r="Y50" s="221" t="s">
        <v>10</v>
      </c>
      <c r="Z50" s="23"/>
      <c r="AB50" s="79" t="s">
        <v>440</v>
      </c>
    </row>
    <row r="51" spans="2:37" ht="27" customHeight="1" thickBot="1" x14ac:dyDescent="0.5">
      <c r="B51" s="47" t="s">
        <v>12</v>
      </c>
      <c r="C51" s="297" t="s">
        <v>8</v>
      </c>
      <c r="D51" s="314"/>
      <c r="E51" s="315"/>
      <c r="F51" s="315"/>
      <c r="G51" s="315"/>
      <c r="H51" s="324">
        <v>68</v>
      </c>
      <c r="I51" s="316"/>
      <c r="J51" s="116"/>
      <c r="K51" s="117"/>
      <c r="L51" s="117"/>
      <c r="M51" s="117"/>
      <c r="N51" s="117"/>
      <c r="O51" s="117"/>
      <c r="P51" s="117"/>
      <c r="Q51" s="117"/>
      <c r="R51" s="117"/>
      <c r="S51" s="117"/>
      <c r="T51" s="117"/>
      <c r="U51" s="117"/>
      <c r="V51" s="117"/>
      <c r="W51" s="117"/>
      <c r="X51" s="220" t="s">
        <v>10</v>
      </c>
      <c r="Y51" s="221" t="s">
        <v>10</v>
      </c>
      <c r="Z51" s="23"/>
    </row>
    <row r="52" spans="2:37" ht="27" hidden="1" customHeight="1" thickTop="1" x14ac:dyDescent="0.45">
      <c r="B52" s="398" t="s">
        <v>486</v>
      </c>
      <c r="C52" s="398"/>
      <c r="D52" s="302">
        <f>D46*D47</f>
        <v>600</v>
      </c>
      <c r="E52" s="302">
        <f t="shared" ref="E52:W52" si="4">E46*E47</f>
        <v>520</v>
      </c>
      <c r="F52" s="302">
        <f t="shared" si="4"/>
        <v>550</v>
      </c>
      <c r="G52" s="302">
        <f t="shared" si="4"/>
        <v>1000</v>
      </c>
      <c r="H52" s="302">
        <f t="shared" si="4"/>
        <v>700</v>
      </c>
      <c r="I52" s="302">
        <f t="shared" si="4"/>
        <v>400</v>
      </c>
      <c r="J52" s="169">
        <f t="shared" si="4"/>
        <v>0</v>
      </c>
      <c r="K52" s="169">
        <f t="shared" si="4"/>
        <v>0</v>
      </c>
      <c r="L52" s="169">
        <f t="shared" si="4"/>
        <v>0</v>
      </c>
      <c r="M52" s="169">
        <f t="shared" si="4"/>
        <v>0</v>
      </c>
      <c r="N52" s="169">
        <f t="shared" si="4"/>
        <v>0</v>
      </c>
      <c r="O52" s="169">
        <f t="shared" si="4"/>
        <v>0</v>
      </c>
      <c r="P52" s="169">
        <f t="shared" si="4"/>
        <v>0</v>
      </c>
      <c r="Q52" s="169">
        <f t="shared" si="4"/>
        <v>0</v>
      </c>
      <c r="R52" s="169">
        <f t="shared" si="4"/>
        <v>0</v>
      </c>
      <c r="S52" s="169">
        <f t="shared" si="4"/>
        <v>0</v>
      </c>
      <c r="T52" s="169">
        <f t="shared" si="4"/>
        <v>0</v>
      </c>
      <c r="U52" s="169">
        <f t="shared" si="4"/>
        <v>0</v>
      </c>
      <c r="V52" s="169">
        <f t="shared" si="4"/>
        <v>0</v>
      </c>
      <c r="W52" s="169">
        <f t="shared" si="4"/>
        <v>0</v>
      </c>
      <c r="X52" s="220">
        <f>IF(SUMIF($D$43:$W$43,"排気",$D$52:$W$52)=0,0,SUMIF($D$43:$W$43,"排気",$D$52:$W$52))</f>
        <v>1670</v>
      </c>
      <c r="Y52" s="221">
        <f>IF(SUMIF($D$43:$W$43,"給気",$D$52:$W$52)=0,0,SUMIF($D$43:$W$43,"給気",$D$52:$W$52))</f>
        <v>1000</v>
      </c>
      <c r="AA52" s="191">
        <f>IF(SUMIF($D$43:$W$43,"給気・排気",$D$52:$W$52)=0,0,SUMIF($D$43:$W$43,"給気・排気",$D$52:$W$52))</f>
        <v>700</v>
      </c>
      <c r="AB52" s="317">
        <f>IF(SUMIF($D$43:$W$43,"排気",$D$46:$W$46)=0,0,SUMIF($D$43:$W$43,"排気",$D$46:$W$46))</f>
        <v>3</v>
      </c>
      <c r="AC52" s="317">
        <f>IF(SUMIF($D$43:$W$43,"給気",$D$46:$W$46)=0,0,SUMIF($D$43:$W$43,"給気",$D$46:$W$46))</f>
        <v>1</v>
      </c>
      <c r="AD52" s="317">
        <f>IF(SUMIF($D$43:$W$43,"給気・排気",$D$46:$W$46)=0,0,SUMIF($D$43:$W$43,"給気・排気",$D$46:$W$46))</f>
        <v>2</v>
      </c>
      <c r="AE52" s="317"/>
      <c r="AF52" s="317" t="s">
        <v>549</v>
      </c>
      <c r="AG52" s="318"/>
      <c r="AH52" s="318"/>
      <c r="AI52" s="318"/>
      <c r="AJ52" s="318"/>
      <c r="AK52" s="318"/>
    </row>
    <row r="53" spans="2:37" ht="27" hidden="1" customHeight="1" thickBot="1" x14ac:dyDescent="0.5">
      <c r="B53" s="397" t="s">
        <v>487</v>
      </c>
      <c r="C53" s="397"/>
      <c r="D53" s="169">
        <f>D46*D48</f>
        <v>50</v>
      </c>
      <c r="E53" s="169">
        <f t="shared" ref="E53:W53" si="5">E46*E48</f>
        <v>32</v>
      </c>
      <c r="F53" s="169">
        <f t="shared" si="5"/>
        <v>40</v>
      </c>
      <c r="G53" s="169">
        <f t="shared" si="5"/>
        <v>120</v>
      </c>
      <c r="H53" s="169">
        <f t="shared" si="5"/>
        <v>500</v>
      </c>
      <c r="I53" s="169">
        <f t="shared" si="5"/>
        <v>100</v>
      </c>
      <c r="J53" s="169">
        <f t="shared" si="5"/>
        <v>0</v>
      </c>
      <c r="K53" s="169">
        <f t="shared" si="5"/>
        <v>0</v>
      </c>
      <c r="L53" s="169">
        <f t="shared" si="5"/>
        <v>0</v>
      </c>
      <c r="M53" s="169">
        <f t="shared" si="5"/>
        <v>0</v>
      </c>
      <c r="N53" s="169">
        <f t="shared" si="5"/>
        <v>0</v>
      </c>
      <c r="O53" s="169">
        <f t="shared" si="5"/>
        <v>0</v>
      </c>
      <c r="P53" s="169">
        <f t="shared" si="5"/>
        <v>0</v>
      </c>
      <c r="Q53" s="169">
        <f t="shared" si="5"/>
        <v>0</v>
      </c>
      <c r="R53" s="169">
        <f t="shared" si="5"/>
        <v>0</v>
      </c>
      <c r="S53" s="169">
        <f t="shared" si="5"/>
        <v>0</v>
      </c>
      <c r="T53" s="169">
        <f t="shared" si="5"/>
        <v>0</v>
      </c>
      <c r="U53" s="169">
        <f t="shared" si="5"/>
        <v>0</v>
      </c>
      <c r="V53" s="169">
        <f t="shared" si="5"/>
        <v>0</v>
      </c>
      <c r="W53" s="169">
        <f t="shared" si="5"/>
        <v>0</v>
      </c>
      <c r="X53" s="216">
        <f>IF(SUMIF($D$43:$W$43,"排気",$D$53:$W$53)=0,0,SUMIF($D$43:$W$43,"排気",$D$53:$W$53))</f>
        <v>122</v>
      </c>
      <c r="Y53" s="217">
        <f>IF(SUMIF($D$43:$W$43,"給気",$D$53:$W$53)=0,0,SUMIF($D$43:$W$43,"給気",$D$53:$W$53))</f>
        <v>120</v>
      </c>
      <c r="AA53" s="191">
        <f>IF(SUMIF($D$43:$W$43,"給気・排気",$D$53:$W$53)=0,0,SUMIF($D$43:$W$43,"給気・排気",$D$53:$W$53))</f>
        <v>500</v>
      </c>
    </row>
    <row r="54" spans="2:37" ht="20.25" hidden="1" thickTop="1" x14ac:dyDescent="0.45">
      <c r="B54" s="129" t="s">
        <v>274</v>
      </c>
      <c r="C54" s="129"/>
      <c r="D54" s="129">
        <f>IF(D$42&lt;&gt;"機械換気（換気扇等）",2,IF(AND(D$42="機械換気（換気扇等）",D$44="継続"),0,1))</f>
        <v>2</v>
      </c>
      <c r="E54" s="129">
        <f t="shared" ref="E54:W54" si="6">IF(E$42&lt;&gt;"機械換気（換気扇等）",2,IF(AND(E$42="機械換気（換気扇等）",E$44="継続"),0,1))</f>
        <v>2</v>
      </c>
      <c r="F54" s="129">
        <f t="shared" si="6"/>
        <v>2</v>
      </c>
      <c r="G54" s="129">
        <f t="shared" si="6"/>
        <v>2</v>
      </c>
      <c r="H54" s="129">
        <f t="shared" si="6"/>
        <v>2</v>
      </c>
      <c r="I54" s="129">
        <f t="shared" si="6"/>
        <v>0</v>
      </c>
      <c r="J54" s="129">
        <f t="shared" si="6"/>
        <v>2</v>
      </c>
      <c r="K54" s="129">
        <f t="shared" si="6"/>
        <v>2</v>
      </c>
      <c r="L54" s="129">
        <f t="shared" si="6"/>
        <v>2</v>
      </c>
      <c r="M54" s="129">
        <f t="shared" si="6"/>
        <v>2</v>
      </c>
      <c r="N54" s="129">
        <f t="shared" si="6"/>
        <v>2</v>
      </c>
      <c r="O54" s="129">
        <f t="shared" si="6"/>
        <v>2</v>
      </c>
      <c r="P54" s="129">
        <f t="shared" si="6"/>
        <v>2</v>
      </c>
      <c r="Q54" s="129">
        <f t="shared" si="6"/>
        <v>2</v>
      </c>
      <c r="R54" s="129">
        <f t="shared" si="6"/>
        <v>2</v>
      </c>
      <c r="S54" s="129">
        <f t="shared" si="6"/>
        <v>2</v>
      </c>
      <c r="T54" s="129">
        <f t="shared" si="6"/>
        <v>2</v>
      </c>
      <c r="U54" s="129">
        <f t="shared" si="6"/>
        <v>2</v>
      </c>
      <c r="V54" s="129">
        <f t="shared" si="6"/>
        <v>2</v>
      </c>
      <c r="W54" s="129">
        <f t="shared" si="6"/>
        <v>2</v>
      </c>
      <c r="X54" s="108" t="str">
        <f>IF(AC54=Y54,"適合","非適合")</f>
        <v>適合</v>
      </c>
      <c r="Y54" s="23">
        <f>COUNTIF($D54:$W54,0)</f>
        <v>1</v>
      </c>
      <c r="Z54" s="191">
        <f>COUNTIF($D54:$W54,1)</f>
        <v>0</v>
      </c>
      <c r="AA54" s="191">
        <f>COUNTIF($D54:$W54,2)</f>
        <v>19</v>
      </c>
      <c r="AB54" s="23"/>
      <c r="AC54" s="23">
        <f>COUNTIF($D$42:$W$42,"機械換気（換気扇等）")</f>
        <v>1</v>
      </c>
      <c r="AF54" s="118">
        <v>50</v>
      </c>
    </row>
    <row r="55" spans="2:37" ht="20.25" hidden="1" thickTop="1" x14ac:dyDescent="0.45">
      <c r="B55" s="201" t="s">
        <v>462</v>
      </c>
      <c r="C55" s="201"/>
      <c r="D55" s="201">
        <f>IF(OR(D43="補器（排気）",D43="補器（給気）",D44="継続"),0,IF(D44="新設",1,IF(D44="増設",2,IF(D44="更新",3,9))))</f>
        <v>3</v>
      </c>
      <c r="E55" s="201">
        <f t="shared" ref="E55:W55" si="7">IF(OR(E43="補器（排気）",E43="補器（給気）",E44="継続"),0,IF(E44="新設",1,IF(E44="増設",2,IF(E44="更新",3,9))))</f>
        <v>2</v>
      </c>
      <c r="F55" s="201">
        <f t="shared" si="7"/>
        <v>1</v>
      </c>
      <c r="G55" s="201">
        <f t="shared" si="7"/>
        <v>3</v>
      </c>
      <c r="H55" s="201">
        <f t="shared" si="7"/>
        <v>3</v>
      </c>
      <c r="I55" s="201">
        <f t="shared" si="7"/>
        <v>0</v>
      </c>
      <c r="J55" s="201">
        <f t="shared" si="7"/>
        <v>9</v>
      </c>
      <c r="K55" s="201">
        <f t="shared" si="7"/>
        <v>9</v>
      </c>
      <c r="L55" s="201">
        <f t="shared" si="7"/>
        <v>9</v>
      </c>
      <c r="M55" s="201">
        <f t="shared" si="7"/>
        <v>9</v>
      </c>
      <c r="N55" s="201">
        <f t="shared" si="7"/>
        <v>9</v>
      </c>
      <c r="O55" s="201">
        <f t="shared" si="7"/>
        <v>9</v>
      </c>
      <c r="P55" s="201">
        <f t="shared" si="7"/>
        <v>9</v>
      </c>
      <c r="Q55" s="201">
        <f t="shared" si="7"/>
        <v>9</v>
      </c>
      <c r="R55" s="201">
        <f t="shared" si="7"/>
        <v>9</v>
      </c>
      <c r="S55" s="201">
        <f t="shared" si="7"/>
        <v>9</v>
      </c>
      <c r="T55" s="201">
        <f t="shared" si="7"/>
        <v>9</v>
      </c>
      <c r="U55" s="201">
        <f t="shared" si="7"/>
        <v>9</v>
      </c>
      <c r="V55" s="201">
        <f t="shared" si="7"/>
        <v>9</v>
      </c>
      <c r="W55" s="201">
        <f t="shared" si="7"/>
        <v>9</v>
      </c>
      <c r="X55" s="108" t="str">
        <f>IF(Y55=AD55,"非適合","適合")</f>
        <v>適合</v>
      </c>
      <c r="Y55" s="23">
        <f>COUNTIF($D55:$W55,0)</f>
        <v>1</v>
      </c>
      <c r="Z55" s="191">
        <f>COUNTIF($D55:$W55,1)</f>
        <v>1</v>
      </c>
      <c r="AA55" s="191">
        <f>COUNTIF($D55:$W55,2)</f>
        <v>1</v>
      </c>
      <c r="AB55" s="191">
        <f>COUNTIF($D55:$W55,3)</f>
        <v>3</v>
      </c>
      <c r="AC55" s="191">
        <f>COUNTIF($D55:$W55,9)</f>
        <v>14</v>
      </c>
      <c r="AD55" s="23">
        <f>20-COUNTIF($D$42:$W$42,"")</f>
        <v>6</v>
      </c>
      <c r="AF55" s="118">
        <v>52</v>
      </c>
    </row>
    <row r="56" spans="2:37" ht="20.25" hidden="1" thickTop="1" x14ac:dyDescent="0.45">
      <c r="B56" s="110" t="s">
        <v>267</v>
      </c>
      <c r="C56" s="108"/>
      <c r="D56" s="108">
        <f t="shared" ref="D56:W56" si="8">IF(D49="---",2,IF(AND(D42="高効率換気設備",D49&lt;=0.4),0,1))</f>
        <v>0</v>
      </c>
      <c r="E56" s="108">
        <f t="shared" si="8"/>
        <v>0</v>
      </c>
      <c r="F56" s="108">
        <f t="shared" si="8"/>
        <v>0</v>
      </c>
      <c r="G56" s="108">
        <f t="shared" si="8"/>
        <v>0</v>
      </c>
      <c r="H56" s="108">
        <f t="shared" si="8"/>
        <v>2</v>
      </c>
      <c r="I56" s="108">
        <f t="shared" si="8"/>
        <v>2</v>
      </c>
      <c r="J56" s="108">
        <f t="shared" si="8"/>
        <v>2</v>
      </c>
      <c r="K56" s="108">
        <f t="shared" si="8"/>
        <v>2</v>
      </c>
      <c r="L56" s="108">
        <f t="shared" si="8"/>
        <v>2</v>
      </c>
      <c r="M56" s="108">
        <f t="shared" si="8"/>
        <v>2</v>
      </c>
      <c r="N56" s="108">
        <f t="shared" si="8"/>
        <v>2</v>
      </c>
      <c r="O56" s="108">
        <f t="shared" si="8"/>
        <v>2</v>
      </c>
      <c r="P56" s="108">
        <f t="shared" si="8"/>
        <v>2</v>
      </c>
      <c r="Q56" s="108">
        <f t="shared" si="8"/>
        <v>2</v>
      </c>
      <c r="R56" s="108">
        <f t="shared" si="8"/>
        <v>2</v>
      </c>
      <c r="S56" s="108">
        <f t="shared" si="8"/>
        <v>2</v>
      </c>
      <c r="T56" s="108">
        <f t="shared" si="8"/>
        <v>2</v>
      </c>
      <c r="U56" s="108">
        <f t="shared" si="8"/>
        <v>2</v>
      </c>
      <c r="V56" s="108">
        <f t="shared" si="8"/>
        <v>2</v>
      </c>
      <c r="W56" s="108">
        <f t="shared" si="8"/>
        <v>2</v>
      </c>
      <c r="X56" s="108" t="str">
        <f>IF(AC56=Y56,"適合","非適合")</f>
        <v>適合</v>
      </c>
      <c r="Y56" s="23">
        <f>COUNTIF($D56:$W56,0)</f>
        <v>4</v>
      </c>
      <c r="Z56" s="191">
        <f>COUNTIF($D56:$W56,1)</f>
        <v>0</v>
      </c>
      <c r="AA56" s="191">
        <f>COUNTIF($D56:$W56,2)</f>
        <v>16</v>
      </c>
      <c r="AB56" s="191">
        <f>COUNTIF($D$49:$W$49,"---")</f>
        <v>16</v>
      </c>
      <c r="AC56" s="23">
        <f>COUNTIF($D$42:$W$42,"高効率換気設備")</f>
        <v>4</v>
      </c>
      <c r="AF56" s="118">
        <v>53</v>
      </c>
    </row>
    <row r="57" spans="2:37" ht="20.25" hidden="1" thickTop="1" x14ac:dyDescent="0.45">
      <c r="B57" s="108" t="s">
        <v>251</v>
      </c>
      <c r="C57" s="108"/>
      <c r="D57" s="108">
        <f>IF(D$42&lt;&gt;"換気・空調一体型設備",2,IF(D$42="換気・空調一体型設備",0,1))</f>
        <v>2</v>
      </c>
      <c r="E57" s="108">
        <f t="shared" ref="E57:W57" si="9">IF(E$42&lt;&gt;"換気・空調一体型設備",2,IF(E$42="換気・空調一体型設備",0,1))</f>
        <v>2</v>
      </c>
      <c r="F57" s="108">
        <f t="shared" si="9"/>
        <v>2</v>
      </c>
      <c r="G57" s="108">
        <f t="shared" si="9"/>
        <v>2</v>
      </c>
      <c r="H57" s="108">
        <f t="shared" si="9"/>
        <v>2</v>
      </c>
      <c r="I57" s="108">
        <f t="shared" si="9"/>
        <v>2</v>
      </c>
      <c r="J57" s="108">
        <f t="shared" si="9"/>
        <v>2</v>
      </c>
      <c r="K57" s="108">
        <f t="shared" si="9"/>
        <v>2</v>
      </c>
      <c r="L57" s="108">
        <f t="shared" si="9"/>
        <v>2</v>
      </c>
      <c r="M57" s="108">
        <f t="shared" si="9"/>
        <v>2</v>
      </c>
      <c r="N57" s="108">
        <f t="shared" si="9"/>
        <v>2</v>
      </c>
      <c r="O57" s="108">
        <f t="shared" si="9"/>
        <v>2</v>
      </c>
      <c r="P57" s="108">
        <f t="shared" si="9"/>
        <v>2</v>
      </c>
      <c r="Q57" s="108">
        <f t="shared" si="9"/>
        <v>2</v>
      </c>
      <c r="R57" s="108">
        <f t="shared" si="9"/>
        <v>2</v>
      </c>
      <c r="S57" s="108">
        <f t="shared" si="9"/>
        <v>2</v>
      </c>
      <c r="T57" s="108">
        <f t="shared" si="9"/>
        <v>2</v>
      </c>
      <c r="U57" s="108">
        <f t="shared" si="9"/>
        <v>2</v>
      </c>
      <c r="V57" s="108">
        <f t="shared" si="9"/>
        <v>2</v>
      </c>
      <c r="W57" s="108">
        <f t="shared" si="9"/>
        <v>2</v>
      </c>
      <c r="X57" s="108" t="str">
        <f>IF(AC57=Y57,"適合","非適合")</f>
        <v>適合</v>
      </c>
      <c r="Y57" s="23">
        <f>COUNTIF($D57:$W57,0)</f>
        <v>0</v>
      </c>
      <c r="Z57" s="191">
        <f>COUNTIF($D57:$W57,1)</f>
        <v>0</v>
      </c>
      <c r="AA57" s="191">
        <f>COUNTIF($D57:$W57,2)</f>
        <v>20</v>
      </c>
      <c r="AC57" s="23">
        <f>COUNTIF($D$42:$W$42,"換気・空調一体型設備")</f>
        <v>0</v>
      </c>
      <c r="AF57" s="118">
        <v>54</v>
      </c>
    </row>
    <row r="58" spans="2:37" ht="20.25" hidden="1" thickTop="1" x14ac:dyDescent="0.45">
      <c r="B58" s="108" t="s">
        <v>281</v>
      </c>
      <c r="C58" s="108"/>
      <c r="D58" s="108">
        <f t="shared" ref="D58:W58" si="10">IF(AND(D57=0,OR(D44="新設",D44="増設",D44="更新")),0,2)</f>
        <v>2</v>
      </c>
      <c r="E58" s="108">
        <f t="shared" si="10"/>
        <v>2</v>
      </c>
      <c r="F58" s="108">
        <f t="shared" si="10"/>
        <v>2</v>
      </c>
      <c r="G58" s="108">
        <f t="shared" si="10"/>
        <v>2</v>
      </c>
      <c r="H58" s="108">
        <f t="shared" si="10"/>
        <v>2</v>
      </c>
      <c r="I58" s="108">
        <f t="shared" si="10"/>
        <v>2</v>
      </c>
      <c r="J58" s="108">
        <f t="shared" si="10"/>
        <v>2</v>
      </c>
      <c r="K58" s="108">
        <f t="shared" si="10"/>
        <v>2</v>
      </c>
      <c r="L58" s="108">
        <f t="shared" si="10"/>
        <v>2</v>
      </c>
      <c r="M58" s="108">
        <f t="shared" si="10"/>
        <v>2</v>
      </c>
      <c r="N58" s="108">
        <f t="shared" si="10"/>
        <v>2</v>
      </c>
      <c r="O58" s="108">
        <f t="shared" si="10"/>
        <v>2</v>
      </c>
      <c r="P58" s="108">
        <f t="shared" si="10"/>
        <v>2</v>
      </c>
      <c r="Q58" s="108">
        <f t="shared" si="10"/>
        <v>2</v>
      </c>
      <c r="R58" s="108">
        <f t="shared" si="10"/>
        <v>2</v>
      </c>
      <c r="S58" s="108">
        <f t="shared" si="10"/>
        <v>2</v>
      </c>
      <c r="T58" s="108">
        <f t="shared" si="10"/>
        <v>2</v>
      </c>
      <c r="U58" s="108">
        <f t="shared" si="10"/>
        <v>2</v>
      </c>
      <c r="V58" s="108">
        <f t="shared" si="10"/>
        <v>2</v>
      </c>
      <c r="W58" s="108">
        <f t="shared" si="10"/>
        <v>2</v>
      </c>
      <c r="X58" s="108"/>
      <c r="AF58" s="118">
        <v>55</v>
      </c>
    </row>
    <row r="59" spans="2:37" ht="20.25" hidden="1" thickTop="1" x14ac:dyDescent="0.45">
      <c r="B59" s="129" t="s">
        <v>275</v>
      </c>
      <c r="C59" s="129"/>
      <c r="D59" s="129">
        <f>IF(AND(D$42&lt;&gt;"熱交換型換気設備",D$42&lt;&gt;"顕熱交換器"),2,IF(OR(D$42="熱交換型換気設備",D$42="顕熱交換器"),0,1))</f>
        <v>2</v>
      </c>
      <c r="E59" s="129">
        <f t="shared" ref="E59:W59" si="11">IF(AND(E$42&lt;&gt;"熱交換型換気設備",E$42&lt;&gt;"顕熱交換器"),2,IF(OR(E$42="熱交換型換気設備",E$42="顕熱交換器"),0,1))</f>
        <v>2</v>
      </c>
      <c r="F59" s="129">
        <f t="shared" si="11"/>
        <v>2</v>
      </c>
      <c r="G59" s="129">
        <f t="shared" si="11"/>
        <v>2</v>
      </c>
      <c r="H59" s="129">
        <f t="shared" si="11"/>
        <v>0</v>
      </c>
      <c r="I59" s="129">
        <f t="shared" si="11"/>
        <v>2</v>
      </c>
      <c r="J59" s="129">
        <f t="shared" si="11"/>
        <v>2</v>
      </c>
      <c r="K59" s="129">
        <f t="shared" si="11"/>
        <v>2</v>
      </c>
      <c r="L59" s="129">
        <f t="shared" si="11"/>
        <v>2</v>
      </c>
      <c r="M59" s="129">
        <f t="shared" si="11"/>
        <v>2</v>
      </c>
      <c r="N59" s="129">
        <f t="shared" si="11"/>
        <v>2</v>
      </c>
      <c r="O59" s="129">
        <f t="shared" si="11"/>
        <v>2</v>
      </c>
      <c r="P59" s="129">
        <f t="shared" si="11"/>
        <v>2</v>
      </c>
      <c r="Q59" s="129">
        <f t="shared" si="11"/>
        <v>2</v>
      </c>
      <c r="R59" s="129">
        <f t="shared" si="11"/>
        <v>2</v>
      </c>
      <c r="S59" s="129">
        <f t="shared" si="11"/>
        <v>2</v>
      </c>
      <c r="T59" s="129">
        <f t="shared" si="11"/>
        <v>2</v>
      </c>
      <c r="U59" s="129">
        <f t="shared" si="11"/>
        <v>2</v>
      </c>
      <c r="V59" s="129">
        <f t="shared" si="11"/>
        <v>2</v>
      </c>
      <c r="W59" s="129">
        <f t="shared" si="11"/>
        <v>2</v>
      </c>
      <c r="X59" s="108" t="str">
        <f>IF(AB59+AC59=Y59,"適合","非適合")</f>
        <v>適合</v>
      </c>
      <c r="Y59" s="23">
        <f t="shared" ref="Y59:Y64" si="12">COUNTIF($D59:$W59,0)</f>
        <v>1</v>
      </c>
      <c r="Z59" s="191">
        <f t="shared" ref="Z59:Z64" si="13">COUNTIF($D59:$W59,1)</f>
        <v>0</v>
      </c>
      <c r="AA59" s="191">
        <f t="shared" ref="AA59:AA64" si="14">COUNTIF($D59:$W59,2)</f>
        <v>19</v>
      </c>
      <c r="AB59" s="191">
        <f>COUNTIF($D$42:$W$42,"熱交換型換気設備")</f>
        <v>1</v>
      </c>
      <c r="AC59" s="23">
        <f>COUNTIF($D$42:$W$42,"顕熱交換器")</f>
        <v>0</v>
      </c>
      <c r="AF59" s="118">
        <v>56</v>
      </c>
    </row>
    <row r="60" spans="2:37" ht="20.25" hidden="1" thickTop="1" x14ac:dyDescent="0.45">
      <c r="B60" s="108" t="s">
        <v>253</v>
      </c>
      <c r="C60" s="108"/>
      <c r="D60" s="108">
        <f>IF(D$42&lt;&gt;"顕熱交換器",2,IF(AND(D$42="顕熱交換器",D50&gt;=40),0,1))</f>
        <v>2</v>
      </c>
      <c r="E60" s="108">
        <f t="shared" ref="E60:W61" si="15">IF(E$42&lt;&gt;"顕熱交換器",2,IF(AND(E$42="顕熱交換器",E50&gt;=40),0,1))</f>
        <v>2</v>
      </c>
      <c r="F60" s="108">
        <f t="shared" si="15"/>
        <v>2</v>
      </c>
      <c r="G60" s="108">
        <f t="shared" si="15"/>
        <v>2</v>
      </c>
      <c r="H60" s="108">
        <f t="shared" si="15"/>
        <v>2</v>
      </c>
      <c r="I60" s="108">
        <f t="shared" si="15"/>
        <v>2</v>
      </c>
      <c r="J60" s="108">
        <f t="shared" si="15"/>
        <v>2</v>
      </c>
      <c r="K60" s="108">
        <f t="shared" si="15"/>
        <v>2</v>
      </c>
      <c r="L60" s="108">
        <f t="shared" si="15"/>
        <v>2</v>
      </c>
      <c r="M60" s="108">
        <f t="shared" si="15"/>
        <v>2</v>
      </c>
      <c r="N60" s="108">
        <f t="shared" si="15"/>
        <v>2</v>
      </c>
      <c r="O60" s="108">
        <f t="shared" si="15"/>
        <v>2</v>
      </c>
      <c r="P60" s="108">
        <f t="shared" si="15"/>
        <v>2</v>
      </c>
      <c r="Q60" s="108">
        <f t="shared" si="15"/>
        <v>2</v>
      </c>
      <c r="R60" s="108">
        <f t="shared" si="15"/>
        <v>2</v>
      </c>
      <c r="S60" s="108">
        <f t="shared" si="15"/>
        <v>2</v>
      </c>
      <c r="T60" s="108">
        <f t="shared" si="15"/>
        <v>2</v>
      </c>
      <c r="U60" s="108">
        <f t="shared" si="15"/>
        <v>2</v>
      </c>
      <c r="V60" s="108">
        <f t="shared" si="15"/>
        <v>2</v>
      </c>
      <c r="W60" s="108">
        <f t="shared" si="15"/>
        <v>2</v>
      </c>
      <c r="X60" s="108"/>
      <c r="Y60" s="23">
        <f t="shared" si="12"/>
        <v>0</v>
      </c>
      <c r="Z60" s="191">
        <f t="shared" si="13"/>
        <v>0</v>
      </c>
      <c r="AA60" s="191">
        <f t="shared" si="14"/>
        <v>20</v>
      </c>
      <c r="AC60" s="23">
        <f>COUNTIF($D$42:$W$42,"顕熱交換器")</f>
        <v>0</v>
      </c>
      <c r="AF60" s="118">
        <v>57</v>
      </c>
    </row>
    <row r="61" spans="2:37" ht="20.25" hidden="1" thickTop="1" x14ac:dyDescent="0.45">
      <c r="B61" s="108" t="s">
        <v>254</v>
      </c>
      <c r="C61" s="108"/>
      <c r="D61" s="108">
        <f>IF(D$42&lt;&gt;"顕熱交換器",2,IF(AND(D$42="顕熱交換器",D51&gt;=40),0,1))</f>
        <v>2</v>
      </c>
      <c r="E61" s="108">
        <f t="shared" si="15"/>
        <v>2</v>
      </c>
      <c r="F61" s="108">
        <f t="shared" si="15"/>
        <v>2</v>
      </c>
      <c r="G61" s="108">
        <f t="shared" si="15"/>
        <v>2</v>
      </c>
      <c r="H61" s="108">
        <f t="shared" si="15"/>
        <v>2</v>
      </c>
      <c r="I61" s="108">
        <f t="shared" si="15"/>
        <v>2</v>
      </c>
      <c r="J61" s="108">
        <f t="shared" si="15"/>
        <v>2</v>
      </c>
      <c r="K61" s="108">
        <f t="shared" si="15"/>
        <v>2</v>
      </c>
      <c r="L61" s="108">
        <f t="shared" si="15"/>
        <v>2</v>
      </c>
      <c r="M61" s="108">
        <f t="shared" si="15"/>
        <v>2</v>
      </c>
      <c r="N61" s="108">
        <f t="shared" si="15"/>
        <v>2</v>
      </c>
      <c r="O61" s="108">
        <f t="shared" si="15"/>
        <v>2</v>
      </c>
      <c r="P61" s="108">
        <f t="shared" si="15"/>
        <v>2</v>
      </c>
      <c r="Q61" s="108">
        <f t="shared" si="15"/>
        <v>2</v>
      </c>
      <c r="R61" s="108">
        <f t="shared" si="15"/>
        <v>2</v>
      </c>
      <c r="S61" s="108">
        <f t="shared" si="15"/>
        <v>2</v>
      </c>
      <c r="T61" s="108">
        <f t="shared" si="15"/>
        <v>2</v>
      </c>
      <c r="U61" s="108">
        <f t="shared" si="15"/>
        <v>2</v>
      </c>
      <c r="V61" s="108">
        <f t="shared" si="15"/>
        <v>2</v>
      </c>
      <c r="W61" s="108">
        <f t="shared" si="15"/>
        <v>2</v>
      </c>
      <c r="X61" s="108" t="str">
        <f>IF(AND(AC60=Y60,AC60=Y61),"適合","非適合")</f>
        <v>適合</v>
      </c>
      <c r="Y61" s="23">
        <f t="shared" si="12"/>
        <v>0</v>
      </c>
      <c r="Z61" s="191">
        <f t="shared" si="13"/>
        <v>0</v>
      </c>
      <c r="AA61" s="191">
        <f t="shared" si="14"/>
        <v>20</v>
      </c>
      <c r="AF61" s="118">
        <v>58</v>
      </c>
    </row>
    <row r="62" spans="2:37" ht="20.25" hidden="1" thickTop="1" x14ac:dyDescent="0.45">
      <c r="B62" s="110" t="s">
        <v>249</v>
      </c>
      <c r="C62" s="108"/>
      <c r="D62" s="108">
        <f>IF(D$42&lt;&gt;"熱交換型換気設備",2,IF(AND(D$42="熱交換型換気設備",D50&gt;=40),0,1))</f>
        <v>2</v>
      </c>
      <c r="E62" s="108">
        <f t="shared" ref="E62:W63" si="16">IF(E$42&lt;&gt;"熱交換型換気設備",2,IF(AND(E$42="熱交換型換気設備",E50&gt;=40),0,1))</f>
        <v>2</v>
      </c>
      <c r="F62" s="108">
        <f t="shared" si="16"/>
        <v>2</v>
      </c>
      <c r="G62" s="108">
        <f t="shared" si="16"/>
        <v>2</v>
      </c>
      <c r="H62" s="108">
        <f t="shared" si="16"/>
        <v>0</v>
      </c>
      <c r="I62" s="108">
        <f t="shared" si="16"/>
        <v>2</v>
      </c>
      <c r="J62" s="108">
        <f t="shared" si="16"/>
        <v>2</v>
      </c>
      <c r="K62" s="108">
        <f t="shared" si="16"/>
        <v>2</v>
      </c>
      <c r="L62" s="108">
        <f t="shared" si="16"/>
        <v>2</v>
      </c>
      <c r="M62" s="108">
        <f t="shared" si="16"/>
        <v>2</v>
      </c>
      <c r="N62" s="108">
        <f t="shared" si="16"/>
        <v>2</v>
      </c>
      <c r="O62" s="108">
        <f t="shared" si="16"/>
        <v>2</v>
      </c>
      <c r="P62" s="108">
        <f t="shared" si="16"/>
        <v>2</v>
      </c>
      <c r="Q62" s="108">
        <f t="shared" si="16"/>
        <v>2</v>
      </c>
      <c r="R62" s="108">
        <f t="shared" si="16"/>
        <v>2</v>
      </c>
      <c r="S62" s="108">
        <f t="shared" si="16"/>
        <v>2</v>
      </c>
      <c r="T62" s="108">
        <f t="shared" si="16"/>
        <v>2</v>
      </c>
      <c r="U62" s="108">
        <f t="shared" si="16"/>
        <v>2</v>
      </c>
      <c r="V62" s="108">
        <f t="shared" si="16"/>
        <v>2</v>
      </c>
      <c r="W62" s="108">
        <f t="shared" si="16"/>
        <v>2</v>
      </c>
      <c r="X62" s="108"/>
      <c r="Y62" s="23">
        <f t="shared" si="12"/>
        <v>1</v>
      </c>
      <c r="Z62" s="191">
        <f t="shared" si="13"/>
        <v>0</v>
      </c>
      <c r="AA62" s="191">
        <f>COUNTIF($D62:$W62,2)</f>
        <v>19</v>
      </c>
      <c r="AB62" s="191">
        <f>COUNT($D50:$W50)</f>
        <v>1</v>
      </c>
      <c r="AC62" s="23">
        <f>COUNTIF($D$42:$W$42,"熱交換型換気設備")</f>
        <v>1</v>
      </c>
      <c r="AF62" s="118">
        <v>59</v>
      </c>
    </row>
    <row r="63" spans="2:37" ht="20.25" hidden="1" thickTop="1" x14ac:dyDescent="0.45">
      <c r="B63" s="110" t="s">
        <v>250</v>
      </c>
      <c r="C63" s="108"/>
      <c r="D63" s="108">
        <f>IF(D$42&lt;&gt;"熱交換型換気設備",2,IF(AND(D$42="熱交換型換気設備",D51&gt;=40),0,1))</f>
        <v>2</v>
      </c>
      <c r="E63" s="108">
        <f t="shared" si="16"/>
        <v>2</v>
      </c>
      <c r="F63" s="108">
        <f t="shared" si="16"/>
        <v>2</v>
      </c>
      <c r="G63" s="108">
        <f t="shared" si="16"/>
        <v>2</v>
      </c>
      <c r="H63" s="108">
        <f t="shared" si="16"/>
        <v>0</v>
      </c>
      <c r="I63" s="108">
        <f t="shared" si="16"/>
        <v>2</v>
      </c>
      <c r="J63" s="108">
        <f t="shared" si="16"/>
        <v>2</v>
      </c>
      <c r="K63" s="108">
        <f t="shared" si="16"/>
        <v>2</v>
      </c>
      <c r="L63" s="108">
        <f t="shared" si="16"/>
        <v>2</v>
      </c>
      <c r="M63" s="108">
        <f t="shared" si="16"/>
        <v>2</v>
      </c>
      <c r="N63" s="108">
        <f t="shared" si="16"/>
        <v>2</v>
      </c>
      <c r="O63" s="108">
        <f t="shared" si="16"/>
        <v>2</v>
      </c>
      <c r="P63" s="108">
        <f t="shared" si="16"/>
        <v>2</v>
      </c>
      <c r="Q63" s="108">
        <f t="shared" si="16"/>
        <v>2</v>
      </c>
      <c r="R63" s="108">
        <f t="shared" si="16"/>
        <v>2</v>
      </c>
      <c r="S63" s="108">
        <f t="shared" si="16"/>
        <v>2</v>
      </c>
      <c r="T63" s="108">
        <f t="shared" si="16"/>
        <v>2</v>
      </c>
      <c r="U63" s="108">
        <f t="shared" si="16"/>
        <v>2</v>
      </c>
      <c r="V63" s="108">
        <f t="shared" si="16"/>
        <v>2</v>
      </c>
      <c r="W63" s="108">
        <f t="shared" si="16"/>
        <v>2</v>
      </c>
      <c r="X63" s="108" t="str">
        <f>IF(AND(AC62=Y62,AC62=Y63),"適合","非適合")</f>
        <v>適合</v>
      </c>
      <c r="Y63" s="23">
        <f t="shared" si="12"/>
        <v>1</v>
      </c>
      <c r="Z63" s="191">
        <f t="shared" si="13"/>
        <v>0</v>
      </c>
      <c r="AA63" s="191">
        <f t="shared" si="14"/>
        <v>19</v>
      </c>
      <c r="AB63" s="191">
        <f>COUNT($D51:$W51)</f>
        <v>1</v>
      </c>
      <c r="AF63" s="118">
        <v>60</v>
      </c>
    </row>
    <row r="64" spans="2:37" ht="20.25" hidden="1" thickTop="1" x14ac:dyDescent="0.45">
      <c r="B64" s="110" t="s">
        <v>252</v>
      </c>
      <c r="C64" s="108"/>
      <c r="D64" s="108">
        <f t="shared" ref="D64:W64" si="17">IF(AND(D42="",D43="",D44="",D45="",D46="",D47="",D48="",D50="",D51=""),2,IF(AND(D42&lt;&gt;"",D43&lt;&gt;"",D44&lt;&gt;"",D45&lt;&gt;"",D46&lt;&gt;"",D47&lt;&gt;"",D48&lt;&gt;"",D50&lt;&gt;"",D51&lt;&gt;"",OR(D$42="顕熱交換器",D$42="熱交換型換気設備")),0,IF(AND(D42&lt;&gt;"",D44&lt;&gt;"",D45&lt;&gt;"",D46&lt;&gt;"",D47&lt;&gt;"",D48&lt;&gt;"",D50="",D51="",D$42&lt;&gt;"顕熱交換器",D$42&lt;&gt;"熱交換型換気設備"),0,1)))</f>
        <v>0</v>
      </c>
      <c r="E64" s="108">
        <f t="shared" si="17"/>
        <v>0</v>
      </c>
      <c r="F64" s="108">
        <f t="shared" si="17"/>
        <v>0</v>
      </c>
      <c r="G64" s="108">
        <f t="shared" si="17"/>
        <v>0</v>
      </c>
      <c r="H64" s="108">
        <f t="shared" si="17"/>
        <v>0</v>
      </c>
      <c r="I64" s="108">
        <f t="shared" si="17"/>
        <v>0</v>
      </c>
      <c r="J64" s="108">
        <f t="shared" si="17"/>
        <v>2</v>
      </c>
      <c r="K64" s="108">
        <f t="shared" si="17"/>
        <v>2</v>
      </c>
      <c r="L64" s="108">
        <f t="shared" si="17"/>
        <v>2</v>
      </c>
      <c r="M64" s="108">
        <f t="shared" si="17"/>
        <v>2</v>
      </c>
      <c r="N64" s="108">
        <f t="shared" si="17"/>
        <v>2</v>
      </c>
      <c r="O64" s="108">
        <f t="shared" si="17"/>
        <v>2</v>
      </c>
      <c r="P64" s="108">
        <f t="shared" si="17"/>
        <v>2</v>
      </c>
      <c r="Q64" s="108">
        <f t="shared" si="17"/>
        <v>2</v>
      </c>
      <c r="R64" s="108">
        <f t="shared" si="17"/>
        <v>2</v>
      </c>
      <c r="S64" s="108">
        <f t="shared" si="17"/>
        <v>2</v>
      </c>
      <c r="T64" s="108">
        <f t="shared" si="17"/>
        <v>2</v>
      </c>
      <c r="U64" s="108">
        <f t="shared" si="17"/>
        <v>2</v>
      </c>
      <c r="V64" s="108">
        <f t="shared" si="17"/>
        <v>2</v>
      </c>
      <c r="W64" s="108">
        <f t="shared" si="17"/>
        <v>2</v>
      </c>
      <c r="X64" s="108" t="str">
        <f>IF(OR((AC60+AC62)&lt;&gt;AB62,(AC60+AC62)&lt;&gt;AB63,Z64&gt;0),"入力確認",IF(AC64=Y64,"適合","不適合"))</f>
        <v>適合</v>
      </c>
      <c r="Y64" s="23">
        <f t="shared" si="12"/>
        <v>6</v>
      </c>
      <c r="Z64" s="191">
        <f t="shared" si="13"/>
        <v>0</v>
      </c>
      <c r="AA64" s="191">
        <f t="shared" si="14"/>
        <v>14</v>
      </c>
      <c r="AC64" s="23">
        <f>20-COUNTIF($D$42:$W$42,"")</f>
        <v>6</v>
      </c>
      <c r="AF64" s="118">
        <v>61</v>
      </c>
    </row>
    <row r="65" spans="2:32" ht="20.25" hidden="1" thickTop="1" x14ac:dyDescent="0.45">
      <c r="B65" s="110" t="s">
        <v>498</v>
      </c>
      <c r="C65" s="108"/>
      <c r="D65" s="108"/>
      <c r="E65" s="108"/>
      <c r="F65" s="108"/>
      <c r="G65" s="108"/>
      <c r="H65" s="108"/>
      <c r="I65" s="108"/>
      <c r="J65" s="108"/>
      <c r="K65" s="108"/>
      <c r="L65" s="108"/>
      <c r="M65" s="108"/>
      <c r="N65" s="108"/>
      <c r="O65" s="108"/>
      <c r="P65" s="108"/>
      <c r="Q65" s="232" t="s">
        <v>499</v>
      </c>
      <c r="R65" s="108">
        <f>IF(OR(X36=0,Y36=0),X36+Y36+AA36,MAX(X36+AA36,Y36+AA36))</f>
        <v>1500</v>
      </c>
      <c r="S65" s="108"/>
      <c r="T65" s="233" t="s">
        <v>500</v>
      </c>
      <c r="U65" s="108">
        <f>IF(OR(X52=0,Y52=0),X52+Y52+AA52,MAX(X52+AA52,Y52+AA52))</f>
        <v>2370</v>
      </c>
      <c r="V65" s="108"/>
      <c r="W65" s="108"/>
      <c r="X65" s="108" t="str">
        <f>IF(OR(Z65=0,AA65=0),"適合","不適合")</f>
        <v>適合</v>
      </c>
      <c r="Z65" s="191">
        <f>IF(AND(X36=0,X52=0),2,IF(R65&lt;=U65,0,1))</f>
        <v>0</v>
      </c>
      <c r="AA65" s="191">
        <f>IF(AND(Y36=0,Y52=0),2,IF(R65&lt;=U65,0,1))</f>
        <v>0</v>
      </c>
      <c r="AC65" s="23">
        <f>COUNTIF($D$43:$W$43,"排気")</f>
        <v>3</v>
      </c>
      <c r="AD65" s="23">
        <f>COUNTIF($D$43:$W$43,"給気")</f>
        <v>1</v>
      </c>
      <c r="AE65" s="23">
        <f>COUNTIF($D$43:$W$43,"給気・排気")</f>
        <v>1</v>
      </c>
      <c r="AF65" s="118">
        <v>62</v>
      </c>
    </row>
    <row r="66" spans="2:32" ht="27" customHeight="1" thickTop="1" x14ac:dyDescent="0.45">
      <c r="B66" s="35" t="s">
        <v>247</v>
      </c>
      <c r="C66" s="36"/>
    </row>
    <row r="67" spans="2:32" x14ac:dyDescent="0.45">
      <c r="B67" s="35"/>
      <c r="C67" s="36"/>
      <c r="E67" s="138"/>
    </row>
    <row r="68" spans="2:32" ht="42.75" customHeight="1" x14ac:dyDescent="0.45">
      <c r="B68" s="28" t="s">
        <v>272</v>
      </c>
      <c r="C68" s="36"/>
    </row>
    <row r="69" spans="2:32" ht="9" customHeight="1" thickBot="1" x14ac:dyDescent="0.5">
      <c r="B69" s="23"/>
      <c r="C69" s="36"/>
    </row>
    <row r="70" spans="2:32" ht="27" customHeight="1" thickTop="1" x14ac:dyDescent="0.45">
      <c r="B70" s="279" t="s">
        <v>180</v>
      </c>
      <c r="C70" s="408" t="s">
        <v>123</v>
      </c>
      <c r="D70" s="409"/>
      <c r="E70" s="409"/>
      <c r="F70" s="409"/>
      <c r="G70" s="409"/>
      <c r="H70" s="410" t="s">
        <v>124</v>
      </c>
      <c r="I70" s="410"/>
      <c r="J70" s="410"/>
      <c r="K70" s="410"/>
      <c r="L70" s="410"/>
      <c r="M70" s="410"/>
      <c r="N70" s="410"/>
      <c r="O70" s="407" t="s">
        <v>2</v>
      </c>
      <c r="P70" s="407"/>
      <c r="Q70" s="407"/>
      <c r="R70" s="407"/>
      <c r="S70" s="407"/>
      <c r="T70" s="407"/>
      <c r="U70" s="405" t="s">
        <v>179</v>
      </c>
      <c r="V70" s="406"/>
      <c r="W70" s="99"/>
    </row>
    <row r="71" spans="2:32" ht="27" customHeight="1" x14ac:dyDescent="0.45">
      <c r="B71" s="280" t="s">
        <v>142</v>
      </c>
      <c r="C71" s="411" t="s">
        <v>558</v>
      </c>
      <c r="D71" s="412"/>
      <c r="E71" s="412"/>
      <c r="F71" s="412"/>
      <c r="G71" s="412"/>
      <c r="H71" s="412" t="s">
        <v>550</v>
      </c>
      <c r="I71" s="412"/>
      <c r="J71" s="412"/>
      <c r="K71" s="412"/>
      <c r="L71" s="412"/>
      <c r="M71" s="412"/>
      <c r="N71" s="412"/>
      <c r="O71" s="412" t="s">
        <v>539</v>
      </c>
      <c r="P71" s="412"/>
      <c r="Q71" s="412"/>
      <c r="R71" s="412"/>
      <c r="S71" s="412"/>
      <c r="T71" s="412"/>
      <c r="U71" s="414" t="s">
        <v>541</v>
      </c>
      <c r="V71" s="414"/>
      <c r="W71" s="99"/>
    </row>
    <row r="72" spans="2:32" ht="27" customHeight="1" x14ac:dyDescent="0.45">
      <c r="B72" s="330" t="s">
        <v>143</v>
      </c>
      <c r="C72" s="413" t="s">
        <v>551</v>
      </c>
      <c r="D72" s="393"/>
      <c r="E72" s="393"/>
      <c r="F72" s="393"/>
      <c r="G72" s="393"/>
      <c r="H72" s="393" t="s">
        <v>555</v>
      </c>
      <c r="I72" s="393"/>
      <c r="J72" s="393"/>
      <c r="K72" s="393"/>
      <c r="L72" s="393"/>
      <c r="M72" s="393"/>
      <c r="N72" s="393"/>
      <c r="O72" s="393" t="s">
        <v>540</v>
      </c>
      <c r="P72" s="393"/>
      <c r="Q72" s="393"/>
      <c r="R72" s="393"/>
      <c r="S72" s="393"/>
      <c r="T72" s="393"/>
      <c r="U72" s="415" t="s">
        <v>541</v>
      </c>
      <c r="V72" s="415"/>
      <c r="W72" s="99"/>
    </row>
    <row r="73" spans="2:32" ht="27" customHeight="1" x14ac:dyDescent="0.45">
      <c r="B73" s="329" t="s">
        <v>144</v>
      </c>
      <c r="C73" s="413" t="s">
        <v>538</v>
      </c>
      <c r="D73" s="393"/>
      <c r="E73" s="393"/>
      <c r="F73" s="393"/>
      <c r="G73" s="393"/>
      <c r="H73" s="393" t="s">
        <v>556</v>
      </c>
      <c r="I73" s="393"/>
      <c r="J73" s="393"/>
      <c r="K73" s="393"/>
      <c r="L73" s="393"/>
      <c r="M73" s="393"/>
      <c r="N73" s="393"/>
      <c r="O73" s="393" t="s">
        <v>554</v>
      </c>
      <c r="P73" s="393"/>
      <c r="Q73" s="393"/>
      <c r="R73" s="393"/>
      <c r="S73" s="393"/>
      <c r="T73" s="393"/>
      <c r="U73" s="415" t="s">
        <v>541</v>
      </c>
      <c r="V73" s="415"/>
      <c r="W73" s="99"/>
    </row>
    <row r="74" spans="2:32" ht="27" customHeight="1" thickBot="1" x14ac:dyDescent="0.5">
      <c r="B74" s="281" t="s">
        <v>145</v>
      </c>
      <c r="C74" s="413" t="s">
        <v>552</v>
      </c>
      <c r="D74" s="393"/>
      <c r="E74" s="393"/>
      <c r="F74" s="393"/>
      <c r="G74" s="393"/>
      <c r="H74" s="393" t="s">
        <v>557</v>
      </c>
      <c r="I74" s="393"/>
      <c r="J74" s="393"/>
      <c r="K74" s="393"/>
      <c r="L74" s="393"/>
      <c r="M74" s="393"/>
      <c r="N74" s="393"/>
      <c r="O74" s="393" t="s">
        <v>553</v>
      </c>
      <c r="P74" s="393"/>
      <c r="Q74" s="393"/>
      <c r="R74" s="393"/>
      <c r="S74" s="393"/>
      <c r="T74" s="393"/>
      <c r="U74" s="415" t="s">
        <v>541</v>
      </c>
      <c r="V74" s="415"/>
      <c r="W74" s="99"/>
    </row>
    <row r="75" spans="2:32" ht="27" customHeight="1" thickTop="1" x14ac:dyDescent="0.45">
      <c r="B75" s="278" t="s">
        <v>146</v>
      </c>
      <c r="C75" s="390"/>
      <c r="D75" s="390"/>
      <c r="E75" s="390"/>
      <c r="F75" s="390"/>
      <c r="G75" s="390"/>
      <c r="H75" s="390"/>
      <c r="I75" s="390"/>
      <c r="J75" s="390"/>
      <c r="K75" s="390"/>
      <c r="L75" s="390"/>
      <c r="M75" s="390"/>
      <c r="N75" s="390"/>
      <c r="O75" s="390"/>
      <c r="P75" s="390"/>
      <c r="Q75" s="390"/>
      <c r="R75" s="390"/>
      <c r="S75" s="390"/>
      <c r="T75" s="390"/>
      <c r="U75" s="390"/>
      <c r="V75" s="390"/>
      <c r="W75" s="99"/>
    </row>
    <row r="76" spans="2:32" ht="27" customHeight="1" x14ac:dyDescent="0.45">
      <c r="B76" s="80" t="s">
        <v>147</v>
      </c>
      <c r="C76" s="390"/>
      <c r="D76" s="390"/>
      <c r="E76" s="390"/>
      <c r="F76" s="390"/>
      <c r="G76" s="390"/>
      <c r="H76" s="390"/>
      <c r="I76" s="390"/>
      <c r="J76" s="390"/>
      <c r="K76" s="390"/>
      <c r="L76" s="390"/>
      <c r="M76" s="390"/>
      <c r="N76" s="390"/>
      <c r="O76" s="390"/>
      <c r="P76" s="390"/>
      <c r="Q76" s="390"/>
      <c r="R76" s="390"/>
      <c r="S76" s="390"/>
      <c r="T76" s="390"/>
      <c r="U76" s="390"/>
      <c r="V76" s="390"/>
      <c r="W76" s="99"/>
    </row>
    <row r="77" spans="2:32" ht="27" customHeight="1" x14ac:dyDescent="0.45">
      <c r="B77" s="80" t="s">
        <v>148</v>
      </c>
      <c r="C77" s="390"/>
      <c r="D77" s="390"/>
      <c r="E77" s="390"/>
      <c r="F77" s="390"/>
      <c r="G77" s="390"/>
      <c r="H77" s="390"/>
      <c r="I77" s="390"/>
      <c r="J77" s="390"/>
      <c r="K77" s="390"/>
      <c r="L77" s="390"/>
      <c r="M77" s="390"/>
      <c r="N77" s="390"/>
      <c r="O77" s="390"/>
      <c r="P77" s="390"/>
      <c r="Q77" s="390"/>
      <c r="R77" s="390"/>
      <c r="S77" s="390"/>
      <c r="T77" s="390"/>
      <c r="U77" s="390"/>
      <c r="V77" s="390"/>
      <c r="W77" s="99"/>
    </row>
    <row r="78" spans="2:32" ht="27" customHeight="1" x14ac:dyDescent="0.45">
      <c r="B78" s="80" t="s">
        <v>149</v>
      </c>
      <c r="C78" s="390"/>
      <c r="D78" s="390"/>
      <c r="E78" s="390"/>
      <c r="F78" s="390"/>
      <c r="G78" s="390"/>
      <c r="H78" s="390"/>
      <c r="I78" s="390"/>
      <c r="J78" s="390"/>
      <c r="K78" s="390"/>
      <c r="L78" s="390"/>
      <c r="M78" s="390"/>
      <c r="N78" s="390"/>
      <c r="O78" s="390"/>
      <c r="P78" s="390"/>
      <c r="Q78" s="390"/>
      <c r="R78" s="390"/>
      <c r="S78" s="390"/>
      <c r="T78" s="390"/>
      <c r="U78" s="390"/>
      <c r="V78" s="390"/>
      <c r="W78" s="99"/>
    </row>
    <row r="79" spans="2:32" ht="27" customHeight="1" x14ac:dyDescent="0.45">
      <c r="B79" s="80" t="s">
        <v>150</v>
      </c>
      <c r="C79" s="390"/>
      <c r="D79" s="390"/>
      <c r="E79" s="390"/>
      <c r="F79" s="390"/>
      <c r="G79" s="390"/>
      <c r="H79" s="390"/>
      <c r="I79" s="390"/>
      <c r="J79" s="390"/>
      <c r="K79" s="390"/>
      <c r="L79" s="390"/>
      <c r="M79" s="390"/>
      <c r="N79" s="390"/>
      <c r="O79" s="390"/>
      <c r="P79" s="390"/>
      <c r="Q79" s="390"/>
      <c r="R79" s="390"/>
      <c r="S79" s="390"/>
      <c r="T79" s="390"/>
      <c r="U79" s="390"/>
      <c r="V79" s="390"/>
      <c r="W79" s="99"/>
    </row>
    <row r="80" spans="2:32" ht="27" customHeight="1" x14ac:dyDescent="0.45">
      <c r="B80" s="80" t="s">
        <v>151</v>
      </c>
      <c r="C80" s="390"/>
      <c r="D80" s="390"/>
      <c r="E80" s="390"/>
      <c r="F80" s="390"/>
      <c r="G80" s="390"/>
      <c r="H80" s="390"/>
      <c r="I80" s="390"/>
      <c r="J80" s="390"/>
      <c r="K80" s="390"/>
      <c r="L80" s="390"/>
      <c r="M80" s="390"/>
      <c r="N80" s="390"/>
      <c r="O80" s="390"/>
      <c r="P80" s="390"/>
      <c r="Q80" s="390"/>
      <c r="R80" s="390"/>
      <c r="S80" s="390"/>
      <c r="T80" s="390"/>
      <c r="U80" s="390"/>
      <c r="V80" s="390"/>
      <c r="W80" s="99"/>
    </row>
    <row r="81" spans="2:24" ht="27" customHeight="1" x14ac:dyDescent="0.45">
      <c r="B81" s="80" t="s">
        <v>346</v>
      </c>
      <c r="C81" s="390"/>
      <c r="D81" s="390"/>
      <c r="E81" s="390"/>
      <c r="F81" s="390"/>
      <c r="G81" s="390"/>
      <c r="H81" s="390"/>
      <c r="I81" s="390"/>
      <c r="J81" s="390"/>
      <c r="K81" s="390"/>
      <c r="L81" s="390"/>
      <c r="M81" s="390"/>
      <c r="N81" s="390"/>
      <c r="O81" s="390"/>
      <c r="P81" s="390"/>
      <c r="Q81" s="390"/>
      <c r="R81" s="390"/>
      <c r="S81" s="390"/>
      <c r="T81" s="390"/>
      <c r="U81" s="390"/>
      <c r="V81" s="390"/>
      <c r="W81" s="99"/>
    </row>
    <row r="82" spans="2:24" ht="27" customHeight="1" x14ac:dyDescent="0.45">
      <c r="B82" s="80" t="s">
        <v>152</v>
      </c>
      <c r="C82" s="390"/>
      <c r="D82" s="390"/>
      <c r="E82" s="390"/>
      <c r="F82" s="390"/>
      <c r="G82" s="390"/>
      <c r="H82" s="390"/>
      <c r="I82" s="390"/>
      <c r="J82" s="390"/>
      <c r="K82" s="390"/>
      <c r="L82" s="390"/>
      <c r="M82" s="390"/>
      <c r="N82" s="390"/>
      <c r="O82" s="390"/>
      <c r="P82" s="390"/>
      <c r="Q82" s="390"/>
      <c r="R82" s="390"/>
      <c r="S82" s="390"/>
      <c r="T82" s="390"/>
      <c r="U82" s="390"/>
      <c r="V82" s="390"/>
      <c r="W82" s="99"/>
    </row>
    <row r="83" spans="2:24" ht="27" customHeight="1" x14ac:dyDescent="0.45">
      <c r="B83" s="80" t="s">
        <v>153</v>
      </c>
      <c r="C83" s="390"/>
      <c r="D83" s="390"/>
      <c r="E83" s="390"/>
      <c r="F83" s="390"/>
      <c r="G83" s="390"/>
      <c r="H83" s="390"/>
      <c r="I83" s="390"/>
      <c r="J83" s="390"/>
      <c r="K83" s="390"/>
      <c r="L83" s="390"/>
      <c r="M83" s="390"/>
      <c r="N83" s="390"/>
      <c r="O83" s="390"/>
      <c r="P83" s="390"/>
      <c r="Q83" s="390"/>
      <c r="R83" s="390"/>
      <c r="S83" s="390"/>
      <c r="T83" s="390"/>
      <c r="U83" s="390"/>
      <c r="V83" s="390"/>
      <c r="W83" s="99"/>
    </row>
    <row r="84" spans="2:24" ht="27" customHeight="1" x14ac:dyDescent="0.45">
      <c r="B84" s="80" t="s">
        <v>154</v>
      </c>
      <c r="C84" s="390"/>
      <c r="D84" s="390"/>
      <c r="E84" s="390"/>
      <c r="F84" s="390"/>
      <c r="G84" s="390"/>
      <c r="H84" s="390"/>
      <c r="I84" s="390"/>
      <c r="J84" s="390"/>
      <c r="K84" s="390"/>
      <c r="L84" s="390"/>
      <c r="M84" s="390"/>
      <c r="N84" s="390"/>
      <c r="O84" s="390"/>
      <c r="P84" s="390"/>
      <c r="Q84" s="390"/>
      <c r="R84" s="390"/>
      <c r="S84" s="390"/>
      <c r="T84" s="390"/>
      <c r="U84" s="390"/>
      <c r="V84" s="390"/>
      <c r="W84" s="99"/>
    </row>
    <row r="85" spans="2:24" ht="27" customHeight="1" x14ac:dyDescent="0.45">
      <c r="B85" s="80" t="s">
        <v>155</v>
      </c>
      <c r="C85" s="390"/>
      <c r="D85" s="390"/>
      <c r="E85" s="390"/>
      <c r="F85" s="390"/>
      <c r="G85" s="390"/>
      <c r="H85" s="390"/>
      <c r="I85" s="390"/>
      <c r="J85" s="390"/>
      <c r="K85" s="390"/>
      <c r="L85" s="390"/>
      <c r="M85" s="390"/>
      <c r="N85" s="390"/>
      <c r="O85" s="390"/>
      <c r="P85" s="390"/>
      <c r="Q85" s="390"/>
      <c r="R85" s="390"/>
      <c r="S85" s="390"/>
      <c r="T85" s="390"/>
      <c r="U85" s="390"/>
      <c r="V85" s="390"/>
      <c r="W85" s="99"/>
    </row>
    <row r="86" spans="2:24" ht="27" customHeight="1" x14ac:dyDescent="0.45">
      <c r="B86" s="80" t="s">
        <v>156</v>
      </c>
      <c r="C86" s="390"/>
      <c r="D86" s="390"/>
      <c r="E86" s="390"/>
      <c r="F86" s="390"/>
      <c r="G86" s="390"/>
      <c r="H86" s="390"/>
      <c r="I86" s="390"/>
      <c r="J86" s="390"/>
      <c r="K86" s="390"/>
      <c r="L86" s="390"/>
      <c r="M86" s="390"/>
      <c r="N86" s="390"/>
      <c r="O86" s="390"/>
      <c r="P86" s="390"/>
      <c r="Q86" s="390"/>
      <c r="R86" s="390"/>
      <c r="S86" s="390"/>
      <c r="T86" s="390"/>
      <c r="U86" s="390"/>
      <c r="V86" s="390"/>
      <c r="W86" s="99"/>
    </row>
    <row r="87" spans="2:24" ht="27" customHeight="1" x14ac:dyDescent="0.45">
      <c r="B87" s="80" t="s">
        <v>157</v>
      </c>
      <c r="C87" s="390"/>
      <c r="D87" s="390"/>
      <c r="E87" s="390"/>
      <c r="F87" s="390"/>
      <c r="G87" s="390"/>
      <c r="H87" s="390"/>
      <c r="I87" s="390"/>
      <c r="J87" s="390"/>
      <c r="K87" s="390"/>
      <c r="L87" s="390"/>
      <c r="M87" s="390"/>
      <c r="N87" s="390"/>
      <c r="O87" s="390"/>
      <c r="P87" s="390"/>
      <c r="Q87" s="390"/>
      <c r="R87" s="390"/>
      <c r="S87" s="390"/>
      <c r="T87" s="390"/>
      <c r="U87" s="390"/>
      <c r="V87" s="390"/>
      <c r="W87" s="99"/>
    </row>
    <row r="88" spans="2:24" ht="27" customHeight="1" x14ac:dyDescent="0.45">
      <c r="B88" s="80" t="s">
        <v>158</v>
      </c>
      <c r="C88" s="390"/>
      <c r="D88" s="390"/>
      <c r="E88" s="390"/>
      <c r="F88" s="390"/>
      <c r="G88" s="390"/>
      <c r="H88" s="390"/>
      <c r="I88" s="390"/>
      <c r="J88" s="390"/>
      <c r="K88" s="390"/>
      <c r="L88" s="390"/>
      <c r="M88" s="390"/>
      <c r="N88" s="390"/>
      <c r="O88" s="390"/>
      <c r="P88" s="390"/>
      <c r="Q88" s="390"/>
      <c r="R88" s="390"/>
      <c r="S88" s="390"/>
      <c r="T88" s="390"/>
      <c r="U88" s="390"/>
      <c r="V88" s="390"/>
      <c r="W88" s="99"/>
    </row>
    <row r="89" spans="2:24" ht="27" customHeight="1" x14ac:dyDescent="0.45">
      <c r="B89" s="80" t="s">
        <v>159</v>
      </c>
      <c r="C89" s="390"/>
      <c r="D89" s="390"/>
      <c r="E89" s="390"/>
      <c r="F89" s="390"/>
      <c r="G89" s="390"/>
      <c r="H89" s="390"/>
      <c r="I89" s="390"/>
      <c r="J89" s="390"/>
      <c r="K89" s="390"/>
      <c r="L89" s="390"/>
      <c r="M89" s="390"/>
      <c r="N89" s="390"/>
      <c r="O89" s="390"/>
      <c r="P89" s="390"/>
      <c r="Q89" s="390"/>
      <c r="R89" s="390"/>
      <c r="S89" s="390"/>
      <c r="T89" s="390"/>
      <c r="U89" s="390"/>
      <c r="V89" s="390"/>
      <c r="W89" s="99"/>
    </row>
    <row r="90" spans="2:24" ht="27" customHeight="1" x14ac:dyDescent="0.45">
      <c r="B90" s="80" t="s">
        <v>160</v>
      </c>
      <c r="C90" s="416"/>
      <c r="D90" s="416"/>
      <c r="E90" s="416"/>
      <c r="F90" s="416"/>
      <c r="G90" s="416"/>
      <c r="H90" s="416"/>
      <c r="I90" s="416"/>
      <c r="J90" s="416"/>
      <c r="K90" s="416"/>
      <c r="L90" s="416"/>
      <c r="M90" s="416"/>
      <c r="N90" s="416"/>
      <c r="O90" s="416"/>
      <c r="P90" s="416"/>
      <c r="Q90" s="416"/>
      <c r="R90" s="416"/>
      <c r="S90" s="416"/>
      <c r="T90" s="416"/>
      <c r="U90" s="416"/>
      <c r="V90" s="416"/>
      <c r="W90" s="99"/>
    </row>
    <row r="91" spans="2:24" ht="20.25" thickBot="1" x14ac:dyDescent="0.5">
      <c r="B91" s="212"/>
      <c r="C91" s="150"/>
      <c r="D91" s="150"/>
      <c r="E91" s="150"/>
      <c r="F91" s="150"/>
      <c r="G91" s="150"/>
      <c r="H91" s="150"/>
      <c r="I91" s="151"/>
      <c r="J91" s="151"/>
      <c r="K91" s="151"/>
      <c r="L91" s="151"/>
      <c r="M91" s="139"/>
      <c r="N91" s="147"/>
      <c r="O91" s="147"/>
      <c r="P91" s="147"/>
      <c r="Q91" s="147"/>
      <c r="R91" s="147"/>
      <c r="S91" s="147"/>
      <c r="T91" s="147"/>
      <c r="U91" s="147"/>
      <c r="V91" s="147"/>
      <c r="W91" s="147"/>
    </row>
    <row r="92" spans="2:24" ht="27" customHeight="1" thickTop="1" x14ac:dyDescent="0.45">
      <c r="B92" s="285" t="s">
        <v>181</v>
      </c>
      <c r="C92" s="408" t="s">
        <v>123</v>
      </c>
      <c r="D92" s="409"/>
      <c r="E92" s="409"/>
      <c r="F92" s="409"/>
      <c r="G92" s="409"/>
      <c r="H92" s="410" t="s">
        <v>124</v>
      </c>
      <c r="I92" s="410"/>
      <c r="J92" s="410"/>
      <c r="K92" s="410"/>
      <c r="L92" s="410"/>
      <c r="M92" s="410"/>
      <c r="N92" s="410"/>
      <c r="O92" s="407" t="s">
        <v>2</v>
      </c>
      <c r="P92" s="407"/>
      <c r="Q92" s="407"/>
      <c r="R92" s="407"/>
      <c r="S92" s="407"/>
      <c r="T92" s="407"/>
      <c r="U92" s="405" t="s">
        <v>179</v>
      </c>
      <c r="V92" s="406"/>
      <c r="W92" s="405" t="s">
        <v>198</v>
      </c>
      <c r="X92" s="406"/>
    </row>
    <row r="93" spans="2:24" ht="27" customHeight="1" x14ac:dyDescent="0.45">
      <c r="B93" s="286" t="s">
        <v>283</v>
      </c>
      <c r="C93" s="411" t="s">
        <v>537</v>
      </c>
      <c r="D93" s="412"/>
      <c r="E93" s="412"/>
      <c r="F93" s="412"/>
      <c r="G93" s="412"/>
      <c r="H93" s="412" t="s">
        <v>542</v>
      </c>
      <c r="I93" s="412"/>
      <c r="J93" s="412"/>
      <c r="K93" s="412"/>
      <c r="L93" s="412"/>
      <c r="M93" s="412"/>
      <c r="N93" s="412"/>
      <c r="O93" s="412" t="s">
        <v>543</v>
      </c>
      <c r="P93" s="412"/>
      <c r="Q93" s="412"/>
      <c r="R93" s="412"/>
      <c r="S93" s="412"/>
      <c r="T93" s="412"/>
      <c r="U93" s="412" t="s">
        <v>541</v>
      </c>
      <c r="V93" s="412"/>
      <c r="W93" s="417"/>
      <c r="X93" s="418"/>
    </row>
    <row r="94" spans="2:24" ht="27" customHeight="1" x14ac:dyDescent="0.45">
      <c r="B94" s="287" t="s">
        <v>284</v>
      </c>
      <c r="C94" s="413" t="s">
        <v>551</v>
      </c>
      <c r="D94" s="393"/>
      <c r="E94" s="393"/>
      <c r="F94" s="393"/>
      <c r="G94" s="393"/>
      <c r="H94" s="393" t="s">
        <v>560</v>
      </c>
      <c r="I94" s="393"/>
      <c r="J94" s="393"/>
      <c r="K94" s="393"/>
      <c r="L94" s="393"/>
      <c r="M94" s="393"/>
      <c r="N94" s="393"/>
      <c r="O94" s="393" t="s">
        <v>567</v>
      </c>
      <c r="P94" s="393"/>
      <c r="Q94" s="393"/>
      <c r="R94" s="393"/>
      <c r="S94" s="393"/>
      <c r="T94" s="393"/>
      <c r="U94" s="393" t="s">
        <v>541</v>
      </c>
      <c r="V94" s="393"/>
      <c r="W94" s="419"/>
      <c r="X94" s="420"/>
    </row>
    <row r="95" spans="2:24" ht="27" customHeight="1" x14ac:dyDescent="0.45">
      <c r="B95" s="287" t="s">
        <v>285</v>
      </c>
      <c r="C95" s="413" t="s">
        <v>562</v>
      </c>
      <c r="D95" s="393"/>
      <c r="E95" s="393"/>
      <c r="F95" s="393"/>
      <c r="G95" s="393"/>
      <c r="H95" s="393" t="s">
        <v>561</v>
      </c>
      <c r="I95" s="393"/>
      <c r="J95" s="393"/>
      <c r="K95" s="393"/>
      <c r="L95" s="393"/>
      <c r="M95" s="393"/>
      <c r="N95" s="393"/>
      <c r="O95" s="393" t="s">
        <v>568</v>
      </c>
      <c r="P95" s="393"/>
      <c r="Q95" s="393"/>
      <c r="R95" s="393"/>
      <c r="S95" s="393"/>
      <c r="T95" s="393"/>
      <c r="U95" s="393" t="s">
        <v>541</v>
      </c>
      <c r="V95" s="393"/>
      <c r="W95" s="419"/>
      <c r="X95" s="420"/>
    </row>
    <row r="96" spans="2:24" ht="27" customHeight="1" x14ac:dyDescent="0.45">
      <c r="B96" s="287" t="s">
        <v>286</v>
      </c>
      <c r="C96" s="413" t="s">
        <v>563</v>
      </c>
      <c r="D96" s="393"/>
      <c r="E96" s="393"/>
      <c r="F96" s="393"/>
      <c r="G96" s="393"/>
      <c r="H96" s="393" t="s">
        <v>564</v>
      </c>
      <c r="I96" s="393"/>
      <c r="J96" s="393"/>
      <c r="K96" s="393"/>
      <c r="L96" s="393"/>
      <c r="M96" s="393"/>
      <c r="N96" s="393"/>
      <c r="O96" s="393" t="s">
        <v>544</v>
      </c>
      <c r="P96" s="393"/>
      <c r="Q96" s="393"/>
      <c r="R96" s="393"/>
      <c r="S96" s="393"/>
      <c r="T96" s="393"/>
      <c r="U96" s="393" t="s">
        <v>546</v>
      </c>
      <c r="V96" s="393"/>
      <c r="W96" s="419"/>
      <c r="X96" s="420"/>
    </row>
    <row r="97" spans="2:24" ht="27" customHeight="1" x14ac:dyDescent="0.45">
      <c r="B97" s="331" t="s">
        <v>287</v>
      </c>
      <c r="C97" s="413" t="s">
        <v>565</v>
      </c>
      <c r="D97" s="393"/>
      <c r="E97" s="393"/>
      <c r="F97" s="393"/>
      <c r="G97" s="393"/>
      <c r="H97" s="393" t="s">
        <v>566</v>
      </c>
      <c r="I97" s="393"/>
      <c r="J97" s="393"/>
      <c r="K97" s="393"/>
      <c r="L97" s="393"/>
      <c r="M97" s="393"/>
      <c r="N97" s="393"/>
      <c r="O97" s="393" t="s">
        <v>545</v>
      </c>
      <c r="P97" s="393"/>
      <c r="Q97" s="393"/>
      <c r="R97" s="393"/>
      <c r="S97" s="393"/>
      <c r="T97" s="393"/>
      <c r="U97" s="393" t="s">
        <v>546</v>
      </c>
      <c r="V97" s="393"/>
      <c r="W97" s="419"/>
      <c r="X97" s="420"/>
    </row>
    <row r="98" spans="2:24" ht="27" customHeight="1" thickBot="1" x14ac:dyDescent="0.5">
      <c r="B98" s="332" t="s">
        <v>288</v>
      </c>
      <c r="C98" s="413" t="s">
        <v>559</v>
      </c>
      <c r="D98" s="393"/>
      <c r="E98" s="393"/>
      <c r="F98" s="393"/>
      <c r="G98" s="393"/>
      <c r="H98" s="393" t="s">
        <v>557</v>
      </c>
      <c r="I98" s="393"/>
      <c r="J98" s="393"/>
      <c r="K98" s="393"/>
      <c r="L98" s="393"/>
      <c r="M98" s="393"/>
      <c r="N98" s="393"/>
      <c r="O98" s="393" t="s">
        <v>553</v>
      </c>
      <c r="P98" s="393"/>
      <c r="Q98" s="393"/>
      <c r="R98" s="393"/>
      <c r="S98" s="393"/>
      <c r="T98" s="393"/>
      <c r="U98" s="415" t="s">
        <v>541</v>
      </c>
      <c r="V98" s="415"/>
      <c r="W98" s="419"/>
      <c r="X98" s="420"/>
    </row>
    <row r="99" spans="2:24" ht="27" customHeight="1" thickTop="1" x14ac:dyDescent="0.45">
      <c r="B99" s="284" t="s">
        <v>289</v>
      </c>
      <c r="C99" s="390"/>
      <c r="D99" s="390"/>
      <c r="E99" s="390"/>
      <c r="F99" s="390"/>
      <c r="G99" s="390"/>
      <c r="H99" s="390"/>
      <c r="I99" s="390"/>
      <c r="J99" s="390"/>
      <c r="K99" s="390"/>
      <c r="L99" s="390"/>
      <c r="M99" s="390"/>
      <c r="N99" s="390"/>
      <c r="O99" s="390"/>
      <c r="P99" s="390"/>
      <c r="Q99" s="390"/>
      <c r="R99" s="390"/>
      <c r="S99" s="390"/>
      <c r="T99" s="390"/>
      <c r="U99" s="390"/>
      <c r="V99" s="390"/>
      <c r="W99" s="419"/>
      <c r="X99" s="420"/>
    </row>
    <row r="100" spans="2:24" ht="27" customHeight="1" x14ac:dyDescent="0.45">
      <c r="B100" s="142" t="s">
        <v>290</v>
      </c>
      <c r="C100" s="390"/>
      <c r="D100" s="390"/>
      <c r="E100" s="390"/>
      <c r="F100" s="390"/>
      <c r="G100" s="390"/>
      <c r="H100" s="390"/>
      <c r="I100" s="390"/>
      <c r="J100" s="390"/>
      <c r="K100" s="390"/>
      <c r="L100" s="390"/>
      <c r="M100" s="390"/>
      <c r="N100" s="390"/>
      <c r="O100" s="390"/>
      <c r="P100" s="390"/>
      <c r="Q100" s="390"/>
      <c r="R100" s="390"/>
      <c r="S100" s="390"/>
      <c r="T100" s="390"/>
      <c r="U100" s="390"/>
      <c r="V100" s="390"/>
      <c r="W100" s="419"/>
      <c r="X100" s="420"/>
    </row>
    <row r="101" spans="2:24" ht="27" customHeight="1" x14ac:dyDescent="0.45">
      <c r="B101" s="142" t="s">
        <v>291</v>
      </c>
      <c r="C101" s="390"/>
      <c r="D101" s="390"/>
      <c r="E101" s="390"/>
      <c r="F101" s="390"/>
      <c r="G101" s="390"/>
      <c r="H101" s="390"/>
      <c r="I101" s="390"/>
      <c r="J101" s="390"/>
      <c r="K101" s="390"/>
      <c r="L101" s="390"/>
      <c r="M101" s="390"/>
      <c r="N101" s="390"/>
      <c r="O101" s="390"/>
      <c r="P101" s="390"/>
      <c r="Q101" s="390"/>
      <c r="R101" s="390"/>
      <c r="S101" s="390"/>
      <c r="T101" s="390"/>
      <c r="U101" s="390"/>
      <c r="V101" s="390"/>
      <c r="W101" s="419"/>
      <c r="X101" s="420"/>
    </row>
    <row r="102" spans="2:24" ht="27" customHeight="1" x14ac:dyDescent="0.45">
      <c r="B102" s="142" t="s">
        <v>292</v>
      </c>
      <c r="C102" s="390"/>
      <c r="D102" s="390"/>
      <c r="E102" s="390"/>
      <c r="F102" s="390"/>
      <c r="G102" s="390"/>
      <c r="H102" s="390"/>
      <c r="I102" s="390"/>
      <c r="J102" s="390"/>
      <c r="K102" s="390"/>
      <c r="L102" s="390"/>
      <c r="M102" s="390"/>
      <c r="N102" s="390"/>
      <c r="O102" s="390"/>
      <c r="P102" s="390"/>
      <c r="Q102" s="390"/>
      <c r="R102" s="390"/>
      <c r="S102" s="390"/>
      <c r="T102" s="390"/>
      <c r="U102" s="390"/>
      <c r="V102" s="390"/>
      <c r="W102" s="419"/>
      <c r="X102" s="420"/>
    </row>
    <row r="103" spans="2:24" ht="27" customHeight="1" x14ac:dyDescent="0.45">
      <c r="B103" s="142" t="s">
        <v>347</v>
      </c>
      <c r="C103" s="390"/>
      <c r="D103" s="390"/>
      <c r="E103" s="390"/>
      <c r="F103" s="390"/>
      <c r="G103" s="390"/>
      <c r="H103" s="390"/>
      <c r="I103" s="390"/>
      <c r="J103" s="390"/>
      <c r="K103" s="390"/>
      <c r="L103" s="390"/>
      <c r="M103" s="390"/>
      <c r="N103" s="390"/>
      <c r="O103" s="390"/>
      <c r="P103" s="390"/>
      <c r="Q103" s="390"/>
      <c r="R103" s="390"/>
      <c r="S103" s="390"/>
      <c r="T103" s="390"/>
      <c r="U103" s="390"/>
      <c r="V103" s="390"/>
      <c r="W103" s="419"/>
      <c r="X103" s="420"/>
    </row>
    <row r="104" spans="2:24" ht="27" customHeight="1" x14ac:dyDescent="0.45">
      <c r="B104" s="142" t="s">
        <v>348</v>
      </c>
      <c r="C104" s="390"/>
      <c r="D104" s="390"/>
      <c r="E104" s="390"/>
      <c r="F104" s="390"/>
      <c r="G104" s="390"/>
      <c r="H104" s="390"/>
      <c r="I104" s="390"/>
      <c r="J104" s="390"/>
      <c r="K104" s="390"/>
      <c r="L104" s="390"/>
      <c r="M104" s="390"/>
      <c r="N104" s="390"/>
      <c r="O104" s="390"/>
      <c r="P104" s="390"/>
      <c r="Q104" s="390"/>
      <c r="R104" s="390"/>
      <c r="S104" s="390"/>
      <c r="T104" s="390"/>
      <c r="U104" s="390"/>
      <c r="V104" s="390"/>
      <c r="W104" s="419"/>
      <c r="X104" s="420"/>
    </row>
    <row r="105" spans="2:24" ht="27" customHeight="1" x14ac:dyDescent="0.45">
      <c r="B105" s="142" t="s">
        <v>349</v>
      </c>
      <c r="C105" s="390"/>
      <c r="D105" s="390"/>
      <c r="E105" s="390"/>
      <c r="F105" s="390"/>
      <c r="G105" s="390"/>
      <c r="H105" s="390"/>
      <c r="I105" s="390"/>
      <c r="J105" s="390"/>
      <c r="K105" s="390"/>
      <c r="L105" s="390"/>
      <c r="M105" s="390"/>
      <c r="N105" s="390"/>
      <c r="O105" s="390"/>
      <c r="P105" s="390"/>
      <c r="Q105" s="390"/>
      <c r="R105" s="390"/>
      <c r="S105" s="390"/>
      <c r="T105" s="390"/>
      <c r="U105" s="390"/>
      <c r="V105" s="390"/>
      <c r="W105" s="419"/>
      <c r="X105" s="420"/>
    </row>
    <row r="106" spans="2:24" ht="27" customHeight="1" x14ac:dyDescent="0.45">
      <c r="B106" s="142" t="s">
        <v>350</v>
      </c>
      <c r="C106" s="390"/>
      <c r="D106" s="390"/>
      <c r="E106" s="390"/>
      <c r="F106" s="390"/>
      <c r="G106" s="390"/>
      <c r="H106" s="390"/>
      <c r="I106" s="390"/>
      <c r="J106" s="390"/>
      <c r="K106" s="390"/>
      <c r="L106" s="390"/>
      <c r="M106" s="390"/>
      <c r="N106" s="390"/>
      <c r="O106" s="390"/>
      <c r="P106" s="390"/>
      <c r="Q106" s="390"/>
      <c r="R106" s="390"/>
      <c r="S106" s="390"/>
      <c r="T106" s="390"/>
      <c r="U106" s="390"/>
      <c r="V106" s="390"/>
      <c r="W106" s="419"/>
      <c r="X106" s="420"/>
    </row>
    <row r="107" spans="2:24" ht="27" customHeight="1" x14ac:dyDescent="0.45">
      <c r="B107" s="142" t="s">
        <v>351</v>
      </c>
      <c r="C107" s="390"/>
      <c r="D107" s="390"/>
      <c r="E107" s="390"/>
      <c r="F107" s="390"/>
      <c r="G107" s="390"/>
      <c r="H107" s="390"/>
      <c r="I107" s="390"/>
      <c r="J107" s="390"/>
      <c r="K107" s="390"/>
      <c r="L107" s="390"/>
      <c r="M107" s="390"/>
      <c r="N107" s="390"/>
      <c r="O107" s="390"/>
      <c r="P107" s="390"/>
      <c r="Q107" s="390"/>
      <c r="R107" s="390"/>
      <c r="S107" s="390"/>
      <c r="T107" s="390"/>
      <c r="U107" s="390"/>
      <c r="V107" s="390"/>
      <c r="W107" s="419"/>
      <c r="X107" s="420"/>
    </row>
    <row r="108" spans="2:24" ht="27" customHeight="1" x14ac:dyDescent="0.45">
      <c r="B108" s="142" t="s">
        <v>352</v>
      </c>
      <c r="C108" s="390"/>
      <c r="D108" s="390"/>
      <c r="E108" s="390"/>
      <c r="F108" s="390"/>
      <c r="G108" s="390"/>
      <c r="H108" s="390"/>
      <c r="I108" s="390"/>
      <c r="J108" s="390"/>
      <c r="K108" s="390"/>
      <c r="L108" s="390"/>
      <c r="M108" s="390"/>
      <c r="N108" s="390"/>
      <c r="O108" s="390"/>
      <c r="P108" s="390"/>
      <c r="Q108" s="390"/>
      <c r="R108" s="390"/>
      <c r="S108" s="390"/>
      <c r="T108" s="390"/>
      <c r="U108" s="390"/>
      <c r="V108" s="390"/>
      <c r="W108" s="419"/>
      <c r="X108" s="420"/>
    </row>
    <row r="109" spans="2:24" ht="27" customHeight="1" x14ac:dyDescent="0.45">
      <c r="B109" s="142" t="s">
        <v>353</v>
      </c>
      <c r="C109" s="390"/>
      <c r="D109" s="390"/>
      <c r="E109" s="390"/>
      <c r="F109" s="390"/>
      <c r="G109" s="390"/>
      <c r="H109" s="390"/>
      <c r="I109" s="390"/>
      <c r="J109" s="390"/>
      <c r="K109" s="390"/>
      <c r="L109" s="390"/>
      <c r="M109" s="390"/>
      <c r="N109" s="390"/>
      <c r="O109" s="390"/>
      <c r="P109" s="390"/>
      <c r="Q109" s="390"/>
      <c r="R109" s="390"/>
      <c r="S109" s="390"/>
      <c r="T109" s="390"/>
      <c r="U109" s="390"/>
      <c r="V109" s="390"/>
      <c r="W109" s="419"/>
      <c r="X109" s="420"/>
    </row>
    <row r="110" spans="2:24" ht="27" customHeight="1" x14ac:dyDescent="0.45">
      <c r="B110" s="142" t="s">
        <v>354</v>
      </c>
      <c r="C110" s="390"/>
      <c r="D110" s="390"/>
      <c r="E110" s="390"/>
      <c r="F110" s="390"/>
      <c r="G110" s="390"/>
      <c r="H110" s="390"/>
      <c r="I110" s="390"/>
      <c r="J110" s="390"/>
      <c r="K110" s="390"/>
      <c r="L110" s="390"/>
      <c r="M110" s="390"/>
      <c r="N110" s="390"/>
      <c r="O110" s="390"/>
      <c r="P110" s="390"/>
      <c r="Q110" s="390"/>
      <c r="R110" s="390"/>
      <c r="S110" s="390"/>
      <c r="T110" s="390"/>
      <c r="U110" s="390"/>
      <c r="V110" s="390"/>
      <c r="W110" s="419"/>
      <c r="X110" s="420"/>
    </row>
    <row r="111" spans="2:24" ht="27" customHeight="1" x14ac:dyDescent="0.45">
      <c r="B111" s="142" t="s">
        <v>355</v>
      </c>
      <c r="C111" s="390"/>
      <c r="D111" s="390"/>
      <c r="E111" s="390"/>
      <c r="F111" s="390"/>
      <c r="G111" s="390"/>
      <c r="H111" s="390"/>
      <c r="I111" s="390"/>
      <c r="J111" s="390"/>
      <c r="K111" s="390"/>
      <c r="L111" s="390"/>
      <c r="M111" s="390"/>
      <c r="N111" s="390"/>
      <c r="O111" s="390"/>
      <c r="P111" s="390"/>
      <c r="Q111" s="390"/>
      <c r="R111" s="390"/>
      <c r="S111" s="390"/>
      <c r="T111" s="390"/>
      <c r="U111" s="390"/>
      <c r="V111" s="390"/>
      <c r="W111" s="419"/>
      <c r="X111" s="420"/>
    </row>
    <row r="112" spans="2:24" ht="27" customHeight="1" x14ac:dyDescent="0.45">
      <c r="B112" s="143" t="s">
        <v>356</v>
      </c>
      <c r="C112" s="416"/>
      <c r="D112" s="416"/>
      <c r="E112" s="416"/>
      <c r="F112" s="416"/>
      <c r="G112" s="416"/>
      <c r="H112" s="416"/>
      <c r="I112" s="416"/>
      <c r="J112" s="416"/>
      <c r="K112" s="416"/>
      <c r="L112" s="416"/>
      <c r="M112" s="416"/>
      <c r="N112" s="416"/>
      <c r="O112" s="416"/>
      <c r="P112" s="416"/>
      <c r="Q112" s="416"/>
      <c r="R112" s="416"/>
      <c r="S112" s="416"/>
      <c r="T112" s="416"/>
      <c r="U112" s="416"/>
      <c r="V112" s="416"/>
      <c r="W112" s="421"/>
      <c r="X112" s="422"/>
    </row>
    <row r="113" spans="2:27" x14ac:dyDescent="0.45">
      <c r="B113" s="35"/>
      <c r="C113" s="36"/>
    </row>
    <row r="114" spans="2:27" ht="14.25" customHeight="1" thickBot="1" x14ac:dyDescent="0.5">
      <c r="B114" s="36"/>
      <c r="C114" s="36"/>
    </row>
    <row r="115" spans="2:27" ht="36" customHeight="1" thickBot="1" x14ac:dyDescent="0.5">
      <c r="B115" s="428" t="s">
        <v>212</v>
      </c>
      <c r="C115" s="429"/>
      <c r="D115" s="429"/>
      <c r="E115" s="429"/>
      <c r="F115" s="430"/>
      <c r="G115" s="375" t="s">
        <v>534</v>
      </c>
      <c r="H115" s="376"/>
      <c r="M115" s="43"/>
      <c r="N115" s="43"/>
      <c r="O115" s="43"/>
      <c r="P115" s="43"/>
      <c r="Q115" s="43"/>
      <c r="R115" s="43"/>
      <c r="S115" s="43"/>
      <c r="T115" s="43"/>
      <c r="U115" s="43"/>
      <c r="V115" s="43"/>
      <c r="W115" s="43"/>
    </row>
    <row r="116" spans="2:27" ht="27" customHeight="1" x14ac:dyDescent="0.45">
      <c r="B116" s="109" t="str">
        <f>IF(G115="実施を選択","",IF(G115="はい","※「はい」を選択した場合は、【３．空調設備の新旧仕様入力表】に必要事項を入力してください。","※「いいえ」を選択した場合は、【３．空調設備の新旧仕様表】の入力は不要です。"))</f>
        <v>※「はい」を選択した場合は、【３．空調設備の新旧仕様入力表】に必要事項を入力してください。</v>
      </c>
      <c r="C116" s="29"/>
      <c r="M116" s="43"/>
      <c r="N116" s="43"/>
      <c r="O116" s="43"/>
      <c r="P116" s="43"/>
      <c r="Q116" s="43"/>
      <c r="R116" s="43"/>
      <c r="S116" s="43"/>
      <c r="T116" s="43"/>
      <c r="U116" s="43"/>
      <c r="V116" s="43"/>
      <c r="W116" s="43"/>
    </row>
    <row r="117" spans="2:27" ht="8.25" customHeight="1" thickBot="1" x14ac:dyDescent="0.5">
      <c r="B117" s="109"/>
      <c r="C117" s="29"/>
      <c r="M117" s="43"/>
      <c r="N117" s="43"/>
      <c r="O117" s="43"/>
      <c r="P117" s="43"/>
      <c r="Q117" s="43"/>
      <c r="R117" s="43"/>
      <c r="S117" s="43"/>
      <c r="T117" s="43"/>
      <c r="U117" s="43"/>
      <c r="V117" s="43"/>
      <c r="W117" s="43"/>
    </row>
    <row r="118" spans="2:27" ht="42.75" customHeight="1" thickTop="1" thickBot="1" x14ac:dyDescent="0.5">
      <c r="B118" s="28" t="s">
        <v>197</v>
      </c>
      <c r="C118" s="29"/>
      <c r="F118" s="435" t="s">
        <v>255</v>
      </c>
      <c r="G118" s="436"/>
      <c r="H118" s="443" t="str">
        <f>IF($G$115="実施を選択","実施確認：空調設備の更新＜はい＞又は、＜いいえ＞を選択してください。",IF(OR($G$115="いいえ",$G$115="実施を選択"),"",IF(AND(G115="はい",AE139=0),"旧設備について入力してください。",IF(OR(X137="入力確認",X138="入力確認",X139="入力確認"),"旧設備の入力をご確認ください。",IF(AND(G115="はい",AE160=0),"新設備について入力してください。",IF(OR(X158="入力確認",X159="入力確認",X160="入力確認"),"新設備の入力をご確認ください。",IF(AND(G115&lt;&gt;"はい",X132-X153&lt;&gt;0),"実施確認：空調設備の更新＜はい＞を選択してください。",IF(AND(G115="はい",X132-X153&gt;0),"省エネ設備更新の要件を満たしています。","省エネ設備更新の要件を満たしていないため、申請できません。"))))))))</f>
        <v>旧設備の入力をご確認ください。</v>
      </c>
      <c r="I118" s="444"/>
      <c r="J118" s="444"/>
      <c r="K118" s="444"/>
      <c r="L118" s="444"/>
      <c r="M118" s="444"/>
      <c r="N118" s="444"/>
      <c r="O118" s="445"/>
      <c r="P118" s="43"/>
      <c r="Q118" s="43"/>
      <c r="R118" s="43"/>
      <c r="S118" s="43"/>
      <c r="T118" s="43"/>
      <c r="U118" s="43"/>
      <c r="V118" s="43"/>
      <c r="W118" s="43"/>
    </row>
    <row r="119" spans="2:27" ht="9" customHeight="1" thickTop="1" x14ac:dyDescent="0.45">
      <c r="B119" s="28"/>
      <c r="C119" s="29"/>
      <c r="M119" s="43"/>
      <c r="N119" s="43"/>
      <c r="O119" s="43"/>
      <c r="P119" s="43"/>
      <c r="Q119" s="43"/>
      <c r="R119" s="43"/>
      <c r="S119" s="43"/>
      <c r="T119" s="43"/>
      <c r="U119" s="43"/>
      <c r="V119" s="43"/>
      <c r="W119" s="43"/>
    </row>
    <row r="120" spans="2:27" ht="42" customHeight="1" thickBot="1" x14ac:dyDescent="0.5">
      <c r="B120" s="188" t="s">
        <v>509</v>
      </c>
      <c r="C120" s="30"/>
    </row>
    <row r="121" spans="2:27" ht="27" customHeight="1" thickTop="1" thickBot="1" x14ac:dyDescent="0.5">
      <c r="B121" s="401" t="s">
        <v>122</v>
      </c>
      <c r="C121" s="402"/>
      <c r="D121" s="277" t="s">
        <v>293</v>
      </c>
      <c r="E121" s="31" t="s">
        <v>294</v>
      </c>
      <c r="F121" s="31" t="s">
        <v>295</v>
      </c>
      <c r="G121" s="31" t="s">
        <v>296</v>
      </c>
      <c r="H121" s="31" t="s">
        <v>297</v>
      </c>
      <c r="I121" s="31" t="s">
        <v>298</v>
      </c>
      <c r="J121" s="31" t="s">
        <v>299</v>
      </c>
      <c r="K121" s="31" t="s">
        <v>300</v>
      </c>
      <c r="L121" s="31" t="s">
        <v>301</v>
      </c>
      <c r="M121" s="31" t="s">
        <v>302</v>
      </c>
      <c r="N121" s="31" t="s">
        <v>357</v>
      </c>
      <c r="O121" s="31" t="s">
        <v>358</v>
      </c>
      <c r="P121" s="31" t="s">
        <v>359</v>
      </c>
      <c r="Q121" s="31" t="s">
        <v>360</v>
      </c>
      <c r="R121" s="31" t="s">
        <v>361</v>
      </c>
      <c r="S121" s="31" t="s">
        <v>362</v>
      </c>
      <c r="T121" s="31" t="s">
        <v>363</v>
      </c>
      <c r="U121" s="31" t="s">
        <v>364</v>
      </c>
      <c r="V121" s="31" t="s">
        <v>365</v>
      </c>
      <c r="W121" s="31" t="s">
        <v>366</v>
      </c>
      <c r="X121" s="37" t="s">
        <v>0</v>
      </c>
      <c r="Z121" s="79" t="s">
        <v>433</v>
      </c>
      <c r="AA121" s="192"/>
    </row>
    <row r="122" spans="2:27" ht="63" customHeight="1" thickTop="1" thickBot="1" x14ac:dyDescent="0.5">
      <c r="B122" s="388" t="s">
        <v>271</v>
      </c>
      <c r="C122" s="388"/>
      <c r="D122" s="296" t="s">
        <v>14</v>
      </c>
      <c r="E122" s="2"/>
      <c r="F122" s="2"/>
      <c r="G122" s="2"/>
      <c r="H122" s="2"/>
      <c r="I122" s="2"/>
      <c r="J122" s="2"/>
      <c r="K122" s="2"/>
      <c r="L122" s="2"/>
      <c r="M122" s="2"/>
      <c r="N122" s="2"/>
      <c r="O122" s="2"/>
      <c r="P122" s="2"/>
      <c r="Q122" s="2"/>
      <c r="R122" s="2"/>
      <c r="S122" s="2"/>
      <c r="T122" s="2"/>
      <c r="U122" s="2"/>
      <c r="V122" s="2"/>
      <c r="W122" s="2"/>
      <c r="X122" s="32" t="s">
        <v>10</v>
      </c>
      <c r="Z122" s="79" t="s">
        <v>436</v>
      </c>
      <c r="AA122" s="192"/>
    </row>
    <row r="123" spans="2:27" ht="27" customHeight="1" thickBot="1" x14ac:dyDescent="0.5">
      <c r="B123" s="397" t="s">
        <v>3</v>
      </c>
      <c r="C123" s="397"/>
      <c r="D123" s="203">
        <v>1</v>
      </c>
      <c r="E123" s="203"/>
      <c r="F123" s="203"/>
      <c r="G123" s="203"/>
      <c r="H123" s="203"/>
      <c r="I123" s="203"/>
      <c r="J123" s="203"/>
      <c r="K123" s="203"/>
      <c r="L123" s="203"/>
      <c r="M123" s="203"/>
      <c r="N123" s="203"/>
      <c r="O123" s="203"/>
      <c r="P123" s="203"/>
      <c r="Q123" s="203"/>
      <c r="R123" s="203"/>
      <c r="S123" s="203"/>
      <c r="T123" s="203"/>
      <c r="U123" s="203"/>
      <c r="V123" s="203"/>
      <c r="W123" s="203"/>
      <c r="X123" s="172">
        <f>IF(SUM(D123:W123)=0,"",SUM(D123:W123))</f>
        <v>1</v>
      </c>
      <c r="Z123" s="79"/>
    </row>
    <row r="124" spans="2:27" ht="27" customHeight="1" x14ac:dyDescent="0.45">
      <c r="B124" s="426" t="s">
        <v>16</v>
      </c>
      <c r="C124" s="427"/>
      <c r="D124" s="21" t="s">
        <v>89</v>
      </c>
      <c r="E124" s="21"/>
      <c r="F124" s="21"/>
      <c r="G124" s="21"/>
      <c r="H124" s="21"/>
      <c r="I124" s="21"/>
      <c r="J124" s="21"/>
      <c r="K124" s="21"/>
      <c r="L124" s="21"/>
      <c r="M124" s="21"/>
      <c r="N124" s="21"/>
      <c r="O124" s="21"/>
      <c r="P124" s="21"/>
      <c r="Q124" s="21"/>
      <c r="R124" s="21"/>
      <c r="S124" s="21"/>
      <c r="T124" s="21"/>
      <c r="U124" s="21"/>
      <c r="V124" s="21"/>
      <c r="W124" s="21"/>
      <c r="X124" s="39" t="s">
        <v>10</v>
      </c>
      <c r="Z124" s="79" t="s">
        <v>437</v>
      </c>
    </row>
    <row r="125" spans="2:27" ht="27" customHeight="1" thickBot="1" x14ac:dyDescent="0.5">
      <c r="B125" s="431" t="s">
        <v>108</v>
      </c>
      <c r="C125" s="432"/>
      <c r="D125" s="290"/>
      <c r="E125" s="21"/>
      <c r="F125" s="21"/>
      <c r="G125" s="21"/>
      <c r="H125" s="21"/>
      <c r="I125" s="21"/>
      <c r="J125" s="21"/>
      <c r="K125" s="21"/>
      <c r="L125" s="21"/>
      <c r="M125" s="21"/>
      <c r="N125" s="21"/>
      <c r="O125" s="21"/>
      <c r="P125" s="21"/>
      <c r="Q125" s="21"/>
      <c r="R125" s="21"/>
      <c r="S125" s="21"/>
      <c r="T125" s="21"/>
      <c r="U125" s="21"/>
      <c r="V125" s="21"/>
      <c r="W125" s="21"/>
      <c r="X125" s="39" t="s">
        <v>10</v>
      </c>
      <c r="Z125" s="79" t="s">
        <v>435</v>
      </c>
    </row>
    <row r="126" spans="2:27" ht="27" customHeight="1" thickTop="1" x14ac:dyDescent="0.45">
      <c r="B126" s="387" t="s">
        <v>512</v>
      </c>
      <c r="C126" s="297" t="s">
        <v>7</v>
      </c>
      <c r="D126" s="292">
        <v>10</v>
      </c>
      <c r="E126" s="169"/>
      <c r="F126" s="175"/>
      <c r="G126" s="175"/>
      <c r="H126" s="175"/>
      <c r="I126" s="175"/>
      <c r="J126" s="175"/>
      <c r="K126" s="175"/>
      <c r="L126" s="175"/>
      <c r="M126" s="175"/>
      <c r="N126" s="175"/>
      <c r="O126" s="175"/>
      <c r="P126" s="175"/>
      <c r="Q126" s="175"/>
      <c r="R126" s="175"/>
      <c r="S126" s="175"/>
      <c r="T126" s="175"/>
      <c r="U126" s="175"/>
      <c r="V126" s="175"/>
      <c r="W126" s="175"/>
      <c r="X126" s="39" t="s">
        <v>10</v>
      </c>
      <c r="Z126" s="146"/>
    </row>
    <row r="127" spans="2:27" ht="27" customHeight="1" x14ac:dyDescent="0.45">
      <c r="B127" s="388"/>
      <c r="C127" s="297" t="s">
        <v>8</v>
      </c>
      <c r="D127" s="293">
        <v>11.2</v>
      </c>
      <c r="E127" s="169"/>
      <c r="F127" s="175"/>
      <c r="G127" s="175"/>
      <c r="H127" s="175"/>
      <c r="I127" s="175"/>
      <c r="J127" s="175"/>
      <c r="K127" s="175"/>
      <c r="L127" s="175"/>
      <c r="M127" s="175"/>
      <c r="N127" s="175"/>
      <c r="O127" s="175"/>
      <c r="P127" s="175"/>
      <c r="Q127" s="175"/>
      <c r="R127" s="175"/>
      <c r="S127" s="175"/>
      <c r="T127" s="175"/>
      <c r="U127" s="175"/>
      <c r="V127" s="175"/>
      <c r="W127" s="175"/>
      <c r="X127" s="34" t="s">
        <v>10</v>
      </c>
      <c r="Z127" s="146"/>
    </row>
    <row r="128" spans="2:27" ht="27" customHeight="1" x14ac:dyDescent="0.45">
      <c r="B128" s="387" t="s">
        <v>202</v>
      </c>
      <c r="C128" s="297" t="s">
        <v>7</v>
      </c>
      <c r="D128" s="299">
        <v>3.6</v>
      </c>
      <c r="E128" s="298"/>
      <c r="F128" s="174"/>
      <c r="G128" s="174"/>
      <c r="H128" s="174"/>
      <c r="I128" s="174"/>
      <c r="J128" s="174"/>
      <c r="K128" s="174"/>
      <c r="L128" s="174"/>
      <c r="M128" s="174"/>
      <c r="N128" s="174"/>
      <c r="O128" s="174"/>
      <c r="P128" s="174"/>
      <c r="Q128" s="174"/>
      <c r="R128" s="174"/>
      <c r="S128" s="174"/>
      <c r="T128" s="174"/>
      <c r="U128" s="174"/>
      <c r="V128" s="174"/>
      <c r="W128" s="174"/>
      <c r="X128" s="32" t="s">
        <v>10</v>
      </c>
      <c r="Z128" s="146"/>
    </row>
    <row r="129" spans="2:32" ht="27" customHeight="1" thickBot="1" x14ac:dyDescent="0.5">
      <c r="B129" s="389"/>
      <c r="C129" s="297" t="s">
        <v>8</v>
      </c>
      <c r="D129" s="300">
        <v>3.8</v>
      </c>
      <c r="E129" s="298"/>
      <c r="F129" s="174"/>
      <c r="G129" s="174"/>
      <c r="H129" s="174"/>
      <c r="I129" s="174"/>
      <c r="J129" s="174"/>
      <c r="K129" s="174"/>
      <c r="L129" s="174"/>
      <c r="M129" s="174"/>
      <c r="N129" s="174"/>
      <c r="O129" s="174"/>
      <c r="P129" s="174"/>
      <c r="Q129" s="174"/>
      <c r="R129" s="174"/>
      <c r="S129" s="174"/>
      <c r="T129" s="174"/>
      <c r="U129" s="174"/>
      <c r="V129" s="174"/>
      <c r="W129" s="174"/>
      <c r="X129" s="34" t="s">
        <v>10</v>
      </c>
      <c r="Z129" s="146"/>
    </row>
    <row r="130" spans="2:32" ht="27" customHeight="1" thickTop="1" thickBot="1" x14ac:dyDescent="0.5">
      <c r="B130" s="388"/>
      <c r="C130" s="239" t="s">
        <v>88</v>
      </c>
      <c r="D130" s="291" t="s">
        <v>547</v>
      </c>
      <c r="E130" s="22"/>
      <c r="F130" s="22"/>
      <c r="G130" s="22"/>
      <c r="H130" s="22"/>
      <c r="I130" s="22"/>
      <c r="J130" s="22"/>
      <c r="K130" s="22"/>
      <c r="L130" s="22"/>
      <c r="M130" s="22"/>
      <c r="N130" s="22"/>
      <c r="O130" s="22"/>
      <c r="P130" s="22"/>
      <c r="Q130" s="22"/>
      <c r="R130" s="22"/>
      <c r="S130" s="22"/>
      <c r="T130" s="22"/>
      <c r="U130" s="22"/>
      <c r="V130" s="22"/>
      <c r="W130" s="22"/>
      <c r="X130" s="34" t="s">
        <v>10</v>
      </c>
      <c r="Z130" s="79" t="s">
        <v>438</v>
      </c>
    </row>
    <row r="131" spans="2:32" ht="45.75" customHeight="1" x14ac:dyDescent="0.45">
      <c r="B131" s="381" t="s">
        <v>204</v>
      </c>
      <c r="C131" s="384"/>
      <c r="D131" s="187">
        <f>IF(計算!$O31=1,計算!$R31,IF(計算!$O31=2,計算!$U31,IF(計算!$O31=3,計算!$X31,IF(計算!$O31=4,計算!$AA31,IF(計算!$O31=5,計算!$AD31,"")))))</f>
        <v>42.900000000000006</v>
      </c>
      <c r="E131" s="183" t="str">
        <f>IF(計算!$O32=1,計算!$R32,IF(計算!$O32=2,計算!$U32,IF(計算!$O32=3,計算!$X32,IF(計算!$O32=4,計算!$AA32,IF(計算!$O32=5,計算!$AD32,"")))))</f>
        <v/>
      </c>
      <c r="F131" s="183" t="str">
        <f>IF(計算!$O33=1,計算!$R33,IF(計算!$O33=2,計算!$U33,IF(計算!$O33=3,計算!$X33,IF(計算!$O33=4,計算!$AA33,IF(計算!$O33=5,計算!$AD33,"")))))</f>
        <v/>
      </c>
      <c r="G131" s="183" t="str">
        <f>IF(計算!$O34=1,計算!$R34,IF(計算!$O34=2,計算!$U34,IF(計算!$O34=3,計算!$X34,IF(計算!$O34=4,計算!$AA34,IF(計算!$O34=5,計算!$AD34,"")))))</f>
        <v/>
      </c>
      <c r="H131" s="183" t="str">
        <f>IF(計算!$O35=1,計算!$R35,IF(計算!$O35=2,計算!$U35,IF(計算!$O35=3,計算!$X35,IF(計算!$O35=4,計算!$AA35,IF(計算!$O35=5,計算!$AD35,"")))))</f>
        <v/>
      </c>
      <c r="I131" s="183" t="str">
        <f>IF(計算!$O36=1,計算!$R36,IF(計算!$O36=2,計算!$U36,IF(計算!$O36=3,計算!$X36,IF(計算!$O36=4,計算!$AA36,IF(計算!$O36=5,計算!$AD36,"")))))</f>
        <v/>
      </c>
      <c r="J131" s="183" t="str">
        <f>IF(計算!$O37=1,計算!$R37,IF(計算!$O37=2,計算!$U37,IF(計算!$O37=3,計算!$X37,IF(計算!$O37=4,計算!$AA37,IF(計算!$O37=5,計算!$AD37,"")))))</f>
        <v/>
      </c>
      <c r="K131" s="183" t="str">
        <f>IF(計算!$O38=1,計算!$R38,IF(計算!$O38=2,計算!$U38,IF(計算!$O38=3,計算!$X38,IF(計算!$O38=4,計算!$AA38,IF(計算!$O38=5,計算!$AD38,"")))))</f>
        <v/>
      </c>
      <c r="L131" s="183" t="str">
        <f>IF(計算!$O39=1,計算!$R39,IF(計算!$O39=2,計算!$U39,IF(計算!$O39=3,計算!$X39,IF(計算!$O39=4,計算!$AA39,IF(計算!$O39=5,計算!$AD39,"")))))</f>
        <v/>
      </c>
      <c r="M131" s="183" t="str">
        <f>IF(計算!$O40=1,計算!$R40,IF(計算!$O40=2,計算!$U40,IF(計算!$O40=3,計算!$X40,IF(計算!$O40=4,計算!$AA40,IF(計算!$O40=5,計算!$AD40,"")))))</f>
        <v/>
      </c>
      <c r="N131" s="183" t="str">
        <f>IF(計算!$O41=1,計算!$R41,IF(計算!$O41=2,計算!$U41,IF(計算!$O41=3,計算!$X41,IF(計算!$O41=4,計算!$AA41,IF(計算!$O41=5,計算!$AD41,"")))))</f>
        <v/>
      </c>
      <c r="O131" s="183" t="str">
        <f>IF(計算!$O42=1,計算!$R42,IF(計算!$O42=2,計算!$U42,IF(計算!$O42=3,計算!$X42,IF(計算!$O42=4,計算!$AA42,IF(計算!$O42=5,計算!$AD42,"")))))</f>
        <v/>
      </c>
      <c r="P131" s="183" t="str">
        <f>IF(計算!$O43=1,計算!$R43,IF(計算!$O43=2,計算!$U43,IF(計算!$O43=3,計算!$X43,IF(計算!$O43=4,計算!$AA43,IF(計算!$O43=5,計算!$AD43,"")))))</f>
        <v/>
      </c>
      <c r="Q131" s="183" t="str">
        <f>IF(計算!$O44=1,計算!$R44,IF(計算!$O44=2,計算!$U44,IF(計算!$O44=3,計算!$X44,IF(計算!$O44=4,計算!$AA44,IF(計算!$O44=5,計算!$AD44,"")))))</f>
        <v/>
      </c>
      <c r="R131" s="183" t="str">
        <f>IF(計算!$O45=1,計算!$R45,IF(計算!$O45=2,計算!$U45,IF(計算!$O45=3,計算!$X45,IF(計算!$O45=4,計算!$AA45,IF(計算!$O45=5,計算!$AD45,"")))))</f>
        <v/>
      </c>
      <c r="S131" s="183" t="str">
        <f>IF(計算!$O46=1,計算!$R46,IF(計算!$O46=2,計算!$U46,IF(計算!$O46=3,計算!$X46,IF(計算!$O46=4,計算!$AA46,IF(計算!$O46=5,計算!$AD46,"")))))</f>
        <v/>
      </c>
      <c r="T131" s="183" t="str">
        <f>IF(計算!$O47=1,計算!$R47,IF(計算!$O47=2,計算!$U47,IF(計算!$O47=3,計算!$X47,IF(計算!$O47=4,計算!$AA47,IF(計算!$O47=5,計算!$AD47,"")))))</f>
        <v/>
      </c>
      <c r="U131" s="183" t="str">
        <f>IF(計算!$O48=1,計算!$R48,IF(計算!$O48=2,計算!$U48,IF(計算!$O48=3,計算!$X48,IF(計算!$O48=4,計算!$AA48,IF(計算!$O48=5,計算!$AD48,"")))))</f>
        <v/>
      </c>
      <c r="V131" s="183" t="str">
        <f>IF(計算!$O49=1,計算!$R49,IF(計算!$O49=2,計算!$U49,IF(計算!$O49=3,計算!$X49,IF(計算!$O49=4,計算!$AA49,IF(計算!$O49=5,計算!$AD49,"")))))</f>
        <v/>
      </c>
      <c r="W131" s="183" t="str">
        <f>IF(計算!$O50=1,計算!$R50,IF(計算!$O50=2,計算!$U50,IF(計算!$O50=3,計算!$X50,IF(計算!$O50=4,計算!$AA50,IF(計算!$O50=5,計算!$AD50,"")))))</f>
        <v/>
      </c>
      <c r="X131" s="184">
        <f>IF(SUM(D131:W131)=0,"",SUM(D131:W131))</f>
        <v>42.900000000000006</v>
      </c>
    </row>
    <row r="132" spans="2:32" ht="27" customHeight="1" thickBot="1" x14ac:dyDescent="0.5">
      <c r="B132" s="383" t="s">
        <v>205</v>
      </c>
      <c r="C132" s="384"/>
      <c r="D132" s="185">
        <f>IF(D131="","",ROUND(D131*0.0258,2))</f>
        <v>1.1100000000000001</v>
      </c>
      <c r="E132" s="185" t="str">
        <f t="shared" ref="E132:W132" si="18">IF(E131="","",ROUND(E131*0.0258,2))</f>
        <v/>
      </c>
      <c r="F132" s="185" t="str">
        <f t="shared" si="18"/>
        <v/>
      </c>
      <c r="G132" s="185" t="str">
        <f t="shared" si="18"/>
        <v/>
      </c>
      <c r="H132" s="185" t="str">
        <f t="shared" si="18"/>
        <v/>
      </c>
      <c r="I132" s="185" t="str">
        <f t="shared" si="18"/>
        <v/>
      </c>
      <c r="J132" s="185" t="str">
        <f t="shared" si="18"/>
        <v/>
      </c>
      <c r="K132" s="185" t="str">
        <f t="shared" si="18"/>
        <v/>
      </c>
      <c r="L132" s="185" t="str">
        <f t="shared" si="18"/>
        <v/>
      </c>
      <c r="M132" s="185" t="str">
        <f t="shared" si="18"/>
        <v/>
      </c>
      <c r="N132" s="185" t="str">
        <f t="shared" si="18"/>
        <v/>
      </c>
      <c r="O132" s="185" t="str">
        <f t="shared" si="18"/>
        <v/>
      </c>
      <c r="P132" s="185" t="str">
        <f t="shared" si="18"/>
        <v/>
      </c>
      <c r="Q132" s="185" t="str">
        <f t="shared" si="18"/>
        <v/>
      </c>
      <c r="R132" s="185" t="str">
        <f t="shared" si="18"/>
        <v/>
      </c>
      <c r="S132" s="185" t="str">
        <f t="shared" si="18"/>
        <v/>
      </c>
      <c r="T132" s="185" t="str">
        <f t="shared" si="18"/>
        <v/>
      </c>
      <c r="U132" s="185" t="str">
        <f t="shared" si="18"/>
        <v/>
      </c>
      <c r="V132" s="185" t="str">
        <f t="shared" si="18"/>
        <v/>
      </c>
      <c r="W132" s="185" t="str">
        <f t="shared" si="18"/>
        <v/>
      </c>
      <c r="X132" s="186">
        <f>IF(SUM(D132:W132)=0,"",SUM(D132:W132))</f>
        <v>1.1100000000000001</v>
      </c>
    </row>
    <row r="133" spans="2:32" ht="27" hidden="1" customHeight="1" x14ac:dyDescent="0.45">
      <c r="B133" s="377" t="s">
        <v>201</v>
      </c>
      <c r="C133" s="90" t="s">
        <v>199</v>
      </c>
      <c r="D133" s="176"/>
      <c r="E133" s="176"/>
      <c r="F133" s="176"/>
      <c r="G133" s="176"/>
      <c r="H133" s="176"/>
      <c r="I133" s="176"/>
      <c r="J133" s="176"/>
      <c r="K133" s="176"/>
      <c r="L133" s="176"/>
      <c r="M133" s="176"/>
      <c r="N133" s="176"/>
      <c r="O133" s="176"/>
      <c r="P133" s="176"/>
      <c r="Q133" s="176"/>
      <c r="R133" s="176"/>
      <c r="S133" s="176"/>
      <c r="T133" s="176"/>
      <c r="U133" s="176"/>
      <c r="V133" s="176"/>
      <c r="W133" s="176"/>
      <c r="X133" s="32" t="s">
        <v>10</v>
      </c>
    </row>
    <row r="134" spans="2:32" ht="27" hidden="1" customHeight="1" x14ac:dyDescent="0.45">
      <c r="B134" s="378"/>
      <c r="C134" s="90" t="s">
        <v>200</v>
      </c>
      <c r="D134" s="176">
        <f>IFERROR(((D126/D128)+(D127/D129))/2,"")</f>
        <v>2.8625730994152043</v>
      </c>
      <c r="E134" s="176" t="str">
        <f t="shared" ref="E134:W134" si="19">IFERROR(((E126/E128)+(E127/E129))/2,"")</f>
        <v/>
      </c>
      <c r="F134" s="176" t="str">
        <f t="shared" si="19"/>
        <v/>
      </c>
      <c r="G134" s="176" t="str">
        <f t="shared" si="19"/>
        <v/>
      </c>
      <c r="H134" s="176" t="str">
        <f t="shared" si="19"/>
        <v/>
      </c>
      <c r="I134" s="176" t="str">
        <f t="shared" si="19"/>
        <v/>
      </c>
      <c r="J134" s="176" t="str">
        <f t="shared" si="19"/>
        <v/>
      </c>
      <c r="K134" s="176" t="str">
        <f t="shared" si="19"/>
        <v/>
      </c>
      <c r="L134" s="176" t="str">
        <f t="shared" si="19"/>
        <v/>
      </c>
      <c r="M134" s="176" t="str">
        <f t="shared" si="19"/>
        <v/>
      </c>
      <c r="N134" s="176" t="str">
        <f t="shared" si="19"/>
        <v/>
      </c>
      <c r="O134" s="176" t="str">
        <f t="shared" si="19"/>
        <v/>
      </c>
      <c r="P134" s="176" t="str">
        <f t="shared" si="19"/>
        <v/>
      </c>
      <c r="Q134" s="176" t="str">
        <f t="shared" si="19"/>
        <v/>
      </c>
      <c r="R134" s="176" t="str">
        <f t="shared" si="19"/>
        <v/>
      </c>
      <c r="S134" s="176" t="str">
        <f t="shared" si="19"/>
        <v/>
      </c>
      <c r="T134" s="176" t="str">
        <f t="shared" si="19"/>
        <v/>
      </c>
      <c r="U134" s="176" t="str">
        <f t="shared" si="19"/>
        <v/>
      </c>
      <c r="V134" s="176" t="str">
        <f t="shared" si="19"/>
        <v/>
      </c>
      <c r="W134" s="176" t="str">
        <f t="shared" si="19"/>
        <v/>
      </c>
      <c r="X134" s="34" t="s">
        <v>10</v>
      </c>
    </row>
    <row r="135" spans="2:32" hidden="1" x14ac:dyDescent="0.45">
      <c r="B135" s="130" t="s">
        <v>280</v>
      </c>
      <c r="C135" s="130"/>
      <c r="D135" s="131">
        <f t="shared" ref="D135:W135" si="20">IF(D$122="",9,IF(OR(D$122="電気式パッケージ形空調機",D$122="ルームエアコン"),1,IF(AND(D$122="ガスヒートポンプ式空調機",D$124="都市ガス",D$130="kW"),2,IF(AND(D$122="ガスヒートポンプ式空調機",D$124="都市ガス",D$130="ｍ3N/h"),3,IF(AND(D$122="ガスヒートポンプ式空調機",D$124="LPG",D$130="kW"),4,IF(AND(D$122="ガスヒートポンプ式空調機",D$124="LPG",D$130="kg/h"),5,0))))))</f>
        <v>1</v>
      </c>
      <c r="E135" s="131">
        <f t="shared" si="20"/>
        <v>9</v>
      </c>
      <c r="F135" s="131">
        <f t="shared" si="20"/>
        <v>9</v>
      </c>
      <c r="G135" s="131">
        <f t="shared" si="20"/>
        <v>9</v>
      </c>
      <c r="H135" s="131">
        <f t="shared" si="20"/>
        <v>9</v>
      </c>
      <c r="I135" s="131">
        <f t="shared" si="20"/>
        <v>9</v>
      </c>
      <c r="J135" s="131">
        <f t="shared" si="20"/>
        <v>9</v>
      </c>
      <c r="K135" s="131">
        <f t="shared" si="20"/>
        <v>9</v>
      </c>
      <c r="L135" s="131">
        <f t="shared" si="20"/>
        <v>9</v>
      </c>
      <c r="M135" s="131">
        <f t="shared" si="20"/>
        <v>9</v>
      </c>
      <c r="N135" s="131">
        <f t="shared" si="20"/>
        <v>9</v>
      </c>
      <c r="O135" s="131">
        <f>IF(O$122="",9,IF(OR(O$122="電気式パッケージ形空調機",O$122="ルームエアコン"),1,IF(AND(O$122="ガスヒートポンプ式空調機",O$124="都市ガス",O$130="kW"),2,IF(AND(O$122="ガスヒートポンプ式空調機",O$124="都市ガス",O$130="ｍ3N/h"),3,IF(AND(O$122="ガスヒートポンプ式空調機",O$124="LPG",O$130="kW"),4,IF(AND(O$122="ガスヒートポンプ式空調機",O$124="LPG",O$130="kg/h"),5,0))))))</f>
        <v>9</v>
      </c>
      <c r="P135" s="131">
        <f t="shared" si="20"/>
        <v>9</v>
      </c>
      <c r="Q135" s="131">
        <f t="shared" si="20"/>
        <v>9</v>
      </c>
      <c r="R135" s="131">
        <f t="shared" si="20"/>
        <v>9</v>
      </c>
      <c r="S135" s="131">
        <f t="shared" si="20"/>
        <v>9</v>
      </c>
      <c r="T135" s="131">
        <f t="shared" si="20"/>
        <v>9</v>
      </c>
      <c r="U135" s="131">
        <f t="shared" si="20"/>
        <v>9</v>
      </c>
      <c r="V135" s="131">
        <f t="shared" si="20"/>
        <v>9</v>
      </c>
      <c r="W135" s="131">
        <f t="shared" si="20"/>
        <v>9</v>
      </c>
      <c r="X135" s="108"/>
      <c r="Y135" s="132">
        <f>COUNTIF($D135:$W135,0)</f>
        <v>0</v>
      </c>
      <c r="Z135" s="193">
        <f>COUNTIF($D135:$W135,1)</f>
        <v>1</v>
      </c>
      <c r="AA135" s="193">
        <f>COUNTIF($D135:$W135,2)</f>
        <v>0</v>
      </c>
      <c r="AB135" s="193">
        <f>COUNTIF($D135:$W135,3)</f>
        <v>0</v>
      </c>
      <c r="AC135" s="132">
        <f>COUNTIF($D135:$W135,4)</f>
        <v>0</v>
      </c>
      <c r="AD135" s="132">
        <f>COUNTIF($D135:$W135,5)</f>
        <v>0</v>
      </c>
      <c r="AE135" s="132"/>
      <c r="AF135" s="118">
        <v>119</v>
      </c>
    </row>
    <row r="136" spans="2:32" hidden="1" x14ac:dyDescent="0.45">
      <c r="B136" s="130" t="s">
        <v>279</v>
      </c>
      <c r="C136" s="130"/>
      <c r="D136" s="131">
        <f>IF(AND(D$124="",D$130=""),9,IF(AND(D$124="電気",D$130="kW"),1,IF(AND(D$124="都市ガス",D$130="kW"),2,IF(AND(D$124="都市ガス",D$130="ｍ3N/h"),3,IF(AND(D$124="LPG",D$130="kW"),4,IF(AND(D$124="LPG",D$130="kg/h"),5,0))))))</f>
        <v>1</v>
      </c>
      <c r="E136" s="131">
        <f t="shared" ref="E136:W136" si="21">IF(AND(E$124="",E$130=""),9,IF(AND(E$124="電気",E$130="kW"),1,IF(AND(E$124="都市ガス",E$130="kW"),2,IF(AND(E$124="都市ガス",E$130="ｍ3N/h"),3,IF(AND(E$124="LPG",E$130="kW"),4,IF(AND(E$124="LPG",E$130="kg/h"),5,0))))))</f>
        <v>9</v>
      </c>
      <c r="F136" s="131">
        <f t="shared" si="21"/>
        <v>9</v>
      </c>
      <c r="G136" s="131">
        <f t="shared" si="21"/>
        <v>9</v>
      </c>
      <c r="H136" s="131">
        <f t="shared" si="21"/>
        <v>9</v>
      </c>
      <c r="I136" s="131">
        <f t="shared" si="21"/>
        <v>9</v>
      </c>
      <c r="J136" s="131">
        <f t="shared" si="21"/>
        <v>9</v>
      </c>
      <c r="K136" s="131">
        <f t="shared" si="21"/>
        <v>9</v>
      </c>
      <c r="L136" s="131">
        <f t="shared" si="21"/>
        <v>9</v>
      </c>
      <c r="M136" s="131">
        <f t="shared" si="21"/>
        <v>9</v>
      </c>
      <c r="N136" s="131">
        <f t="shared" si="21"/>
        <v>9</v>
      </c>
      <c r="O136" s="131">
        <f>IF(AND(O$124="",O$130=""),9,IF(AND(O$124="電気",O$130="kW"),1,IF(AND(O$124="都市ガス",O$130="kW"),2,IF(AND(O$124="都市ガス",O$130="ｍ3N/h"),3,IF(AND(O$124="LPG",O$130="kW"),4,IF(AND(O$124="LPG",O$130="kg/h"),5,0))))))</f>
        <v>9</v>
      </c>
      <c r="P136" s="131">
        <f t="shared" si="21"/>
        <v>9</v>
      </c>
      <c r="Q136" s="131">
        <f t="shared" si="21"/>
        <v>9</v>
      </c>
      <c r="R136" s="131">
        <f t="shared" si="21"/>
        <v>9</v>
      </c>
      <c r="S136" s="131">
        <f t="shared" si="21"/>
        <v>9</v>
      </c>
      <c r="T136" s="131">
        <f t="shared" si="21"/>
        <v>9</v>
      </c>
      <c r="U136" s="131">
        <f t="shared" si="21"/>
        <v>9</v>
      </c>
      <c r="V136" s="131">
        <f t="shared" si="21"/>
        <v>9</v>
      </c>
      <c r="W136" s="131">
        <f t="shared" si="21"/>
        <v>9</v>
      </c>
      <c r="X136" s="108"/>
      <c r="Y136" s="132">
        <f>COUNTIF($D136:$W136,0)</f>
        <v>0</v>
      </c>
      <c r="Z136" s="193">
        <f>COUNTIF($D136:$W136,1)</f>
        <v>1</v>
      </c>
      <c r="AA136" s="193">
        <f>COUNTIF($D136:$W136,2)</f>
        <v>0</v>
      </c>
      <c r="AB136" s="193">
        <f>COUNTIF($D136:$W136,3)</f>
        <v>0</v>
      </c>
      <c r="AC136" s="132">
        <f>COUNTIF($D136:$W136,4)</f>
        <v>0</v>
      </c>
      <c r="AD136" s="132">
        <f>COUNTIF($D136:$W136,5)</f>
        <v>0</v>
      </c>
      <c r="AE136" s="132"/>
      <c r="AF136" s="118">
        <v>120</v>
      </c>
    </row>
    <row r="137" spans="2:32" hidden="1" x14ac:dyDescent="0.45">
      <c r="B137" s="133" t="s">
        <v>276</v>
      </c>
      <c r="C137" s="133"/>
      <c r="D137" s="134">
        <f>IF(OR(AND(D135=0,D136=0),D135&lt;&gt;D136),1,IF(AND(D135=9,D136=9),2,IF(D135=D136,0,"")))</f>
        <v>0</v>
      </c>
      <c r="E137" s="134">
        <f t="shared" ref="E137:V137" si="22">IF(OR(AND(E135=0,E136=0),E135&lt;&gt;E136),1,IF(AND(E135=9,E136=9),2,IF(E135=E136,0,"")))</f>
        <v>2</v>
      </c>
      <c r="F137" s="134">
        <f t="shared" si="22"/>
        <v>2</v>
      </c>
      <c r="G137" s="134">
        <f t="shared" si="22"/>
        <v>2</v>
      </c>
      <c r="H137" s="134">
        <f t="shared" si="22"/>
        <v>2</v>
      </c>
      <c r="I137" s="134">
        <f t="shared" si="22"/>
        <v>2</v>
      </c>
      <c r="J137" s="134">
        <f t="shared" si="22"/>
        <v>2</v>
      </c>
      <c r="K137" s="134">
        <f t="shared" si="22"/>
        <v>2</v>
      </c>
      <c r="L137" s="134">
        <f t="shared" si="22"/>
        <v>2</v>
      </c>
      <c r="M137" s="134">
        <f t="shared" si="22"/>
        <v>2</v>
      </c>
      <c r="N137" s="134">
        <f t="shared" si="22"/>
        <v>2</v>
      </c>
      <c r="O137" s="134">
        <f>IF(OR(AND(O135=0,O136=0),O135&lt;&gt;O136),1,IF(AND(O135=9,O136=9),2,IF(O135=O136,0,"")))</f>
        <v>2</v>
      </c>
      <c r="P137" s="134">
        <f t="shared" si="22"/>
        <v>2</v>
      </c>
      <c r="Q137" s="134">
        <f t="shared" si="22"/>
        <v>2</v>
      </c>
      <c r="R137" s="134">
        <f t="shared" si="22"/>
        <v>2</v>
      </c>
      <c r="S137" s="134">
        <f t="shared" si="22"/>
        <v>2</v>
      </c>
      <c r="T137" s="134">
        <f t="shared" si="22"/>
        <v>2</v>
      </c>
      <c r="U137" s="134">
        <f t="shared" si="22"/>
        <v>2</v>
      </c>
      <c r="V137" s="134">
        <f t="shared" si="22"/>
        <v>2</v>
      </c>
      <c r="W137" s="134">
        <f>IF(OR(AND(W135=0,W136=0),W135&lt;&gt;W136),1,IF(AND(W135=9,W136=9),2,IF(W135=W136,0,"")))</f>
        <v>2</v>
      </c>
      <c r="X137" s="108" t="str">
        <f>IF(Z137&gt;0,"入力確認",IF(AE139=Y137,"適合","不適合"))</f>
        <v>適合</v>
      </c>
      <c r="Y137" s="132">
        <f>COUNTIF($D137:$W137,0)</f>
        <v>1</v>
      </c>
      <c r="Z137" s="193">
        <f>COUNTIF($D137:$W137,1)</f>
        <v>0</v>
      </c>
      <c r="AA137" s="193">
        <f>COUNTIF($D137:$W137,2)</f>
        <v>19</v>
      </c>
      <c r="AB137" s="193"/>
      <c r="AC137" s="132"/>
      <c r="AD137" s="132"/>
      <c r="AE137" s="132"/>
      <c r="AF137" s="118">
        <v>121</v>
      </c>
    </row>
    <row r="138" spans="2:32" hidden="1" x14ac:dyDescent="0.45">
      <c r="B138" s="181" t="s">
        <v>430</v>
      </c>
      <c r="C138" s="181"/>
      <c r="D138" s="182">
        <f>IF(OR(D128&lt;0,D129&lt;0),1,IF(OR(D128&gt;0,D129&gt;0),0,2))</f>
        <v>0</v>
      </c>
      <c r="E138" s="182">
        <f t="shared" ref="E138:N138" si="23">IF(OR(E128&lt;0,E129&lt;0),1,IF(OR(E128&gt;0,E129&gt;0),0,2))</f>
        <v>2</v>
      </c>
      <c r="F138" s="182">
        <f t="shared" si="23"/>
        <v>2</v>
      </c>
      <c r="G138" s="182">
        <f t="shared" si="23"/>
        <v>2</v>
      </c>
      <c r="H138" s="182">
        <f t="shared" si="23"/>
        <v>2</v>
      </c>
      <c r="I138" s="182">
        <f t="shared" si="23"/>
        <v>2</v>
      </c>
      <c r="J138" s="182">
        <f t="shared" si="23"/>
        <v>2</v>
      </c>
      <c r="K138" s="182">
        <f t="shared" si="23"/>
        <v>2</v>
      </c>
      <c r="L138" s="182">
        <f t="shared" si="23"/>
        <v>2</v>
      </c>
      <c r="M138" s="182">
        <f t="shared" si="23"/>
        <v>2</v>
      </c>
      <c r="N138" s="182">
        <f t="shared" si="23"/>
        <v>2</v>
      </c>
      <c r="O138" s="182">
        <f>IF(OR(O128&lt;0,O129&lt;0),1,IF(OR(O128&gt;0,O129&gt;0),0,2))</f>
        <v>2</v>
      </c>
      <c r="P138" s="182">
        <f t="shared" ref="P138:W138" si="24">IF(OR(P128&lt;0,P129&lt;0),1,IF(OR(P128&gt;0,P129&gt;0),0,2))</f>
        <v>2</v>
      </c>
      <c r="Q138" s="182">
        <f t="shared" si="24"/>
        <v>2</v>
      </c>
      <c r="R138" s="182">
        <f t="shared" si="24"/>
        <v>2</v>
      </c>
      <c r="S138" s="182">
        <f t="shared" si="24"/>
        <v>2</v>
      </c>
      <c r="T138" s="182">
        <f t="shared" si="24"/>
        <v>2</v>
      </c>
      <c r="U138" s="182">
        <f t="shared" si="24"/>
        <v>2</v>
      </c>
      <c r="V138" s="182">
        <f t="shared" si="24"/>
        <v>2</v>
      </c>
      <c r="W138" s="182">
        <f t="shared" si="24"/>
        <v>2</v>
      </c>
      <c r="X138" s="108" t="str">
        <f>IF(Z138&gt;0,"入力確認",IF(AE139=Y138,"適合","不適合"))</f>
        <v>適合</v>
      </c>
      <c r="Y138" s="132">
        <f>COUNTIF($D138:$W138,0)</f>
        <v>1</v>
      </c>
      <c r="Z138" s="193">
        <f>COUNTIF($D138:$W138,1)</f>
        <v>0</v>
      </c>
      <c r="AA138" s="193">
        <f>COUNTIF($D138:$W138,2)</f>
        <v>19</v>
      </c>
      <c r="AB138" s="193"/>
      <c r="AC138" s="132"/>
      <c r="AD138" s="132"/>
      <c r="AE138" s="132"/>
      <c r="AF138" s="118">
        <v>122</v>
      </c>
    </row>
    <row r="139" spans="2:32" hidden="1" x14ac:dyDescent="0.45">
      <c r="B139" s="110" t="s">
        <v>252</v>
      </c>
      <c r="C139" s="108"/>
      <c r="D139" s="108">
        <f>IF(AND(D122="",D123="",D124="",D125="",D126="",D127="",D128="",D129="",D130=""),2,IF(AND(D122&lt;&gt;"",D123&lt;&gt;"",D124&lt;&gt;"",D125&lt;&gt;"",D126&lt;&gt;"",D127&lt;&gt;"",D128&lt;&gt;"",D129&lt;&gt;"",D130&lt;&gt;""),0,1))</f>
        <v>1</v>
      </c>
      <c r="E139" s="108">
        <f t="shared" ref="E139:W139" si="25">IF(AND(E122="",E123="",E124="",E125="",E126="",E127="",E128="",E129="",E130=""),2,IF(AND(E122&lt;&gt;"",E123&lt;&gt;"",E124&lt;&gt;"",E125&lt;&gt;"",E126&lt;&gt;"",E127&lt;&gt;"",E128&lt;&gt;"",E129&lt;&gt;"",E130&lt;&gt;""),0,1))</f>
        <v>2</v>
      </c>
      <c r="F139" s="108">
        <f t="shared" si="25"/>
        <v>2</v>
      </c>
      <c r="G139" s="108">
        <f t="shared" si="25"/>
        <v>2</v>
      </c>
      <c r="H139" s="108">
        <f t="shared" si="25"/>
        <v>2</v>
      </c>
      <c r="I139" s="108">
        <f t="shared" si="25"/>
        <v>2</v>
      </c>
      <c r="J139" s="108">
        <f t="shared" si="25"/>
        <v>2</v>
      </c>
      <c r="K139" s="108">
        <f t="shared" si="25"/>
        <v>2</v>
      </c>
      <c r="L139" s="108">
        <f t="shared" si="25"/>
        <v>2</v>
      </c>
      <c r="M139" s="108">
        <f t="shared" si="25"/>
        <v>2</v>
      </c>
      <c r="N139" s="108">
        <f t="shared" si="25"/>
        <v>2</v>
      </c>
      <c r="O139" s="108">
        <f t="shared" si="25"/>
        <v>2</v>
      </c>
      <c r="P139" s="108">
        <f t="shared" si="25"/>
        <v>2</v>
      </c>
      <c r="Q139" s="108">
        <f t="shared" si="25"/>
        <v>2</v>
      </c>
      <c r="R139" s="108">
        <f t="shared" si="25"/>
        <v>2</v>
      </c>
      <c r="S139" s="108">
        <f t="shared" si="25"/>
        <v>2</v>
      </c>
      <c r="T139" s="108">
        <f t="shared" si="25"/>
        <v>2</v>
      </c>
      <c r="U139" s="108">
        <f t="shared" si="25"/>
        <v>2</v>
      </c>
      <c r="V139" s="108">
        <f t="shared" si="25"/>
        <v>2</v>
      </c>
      <c r="W139" s="108">
        <f t="shared" si="25"/>
        <v>2</v>
      </c>
      <c r="X139" s="108" t="str">
        <f>IF(Z139&gt;0,"入力確認",IF(AE139=Y139,"適合","不適合"))</f>
        <v>入力確認</v>
      </c>
      <c r="Y139" s="132">
        <f>COUNTIF($D139:$W139,0)</f>
        <v>0</v>
      </c>
      <c r="Z139" s="193">
        <f>COUNTIF($D139:$W139,1)</f>
        <v>1</v>
      </c>
      <c r="AA139" s="193">
        <f>COUNTIF($D139:$W139,2)</f>
        <v>19</v>
      </c>
      <c r="AB139" s="193"/>
      <c r="AC139" s="132"/>
      <c r="AD139" s="132"/>
      <c r="AE139" s="180">
        <f>20-COUNTIF($D$122:$W$122,"")</f>
        <v>1</v>
      </c>
      <c r="AF139" s="118">
        <v>123</v>
      </c>
    </row>
    <row r="140" spans="2:32" x14ac:dyDescent="0.45">
      <c r="B140" s="40"/>
      <c r="C140" s="40"/>
      <c r="D140" s="41"/>
      <c r="E140" s="41"/>
      <c r="F140" s="41"/>
      <c r="G140" s="41"/>
      <c r="H140" s="41"/>
      <c r="I140" s="41"/>
      <c r="J140" s="41"/>
      <c r="K140" s="41"/>
      <c r="L140" s="41"/>
      <c r="M140" s="41"/>
      <c r="N140" s="41"/>
      <c r="O140" s="41"/>
      <c r="P140" s="41"/>
      <c r="Q140" s="41"/>
      <c r="R140" s="41"/>
      <c r="S140" s="41"/>
      <c r="T140" s="41"/>
      <c r="U140" s="41"/>
      <c r="V140" s="41"/>
      <c r="W140" s="41"/>
      <c r="X140" s="41"/>
    </row>
    <row r="141" spans="2:32" ht="42" customHeight="1" thickBot="1" x14ac:dyDescent="0.5">
      <c r="B141" s="188" t="s">
        <v>510</v>
      </c>
      <c r="C141" s="30"/>
    </row>
    <row r="142" spans="2:32" ht="27" customHeight="1" thickTop="1" thickBot="1" x14ac:dyDescent="0.5">
      <c r="B142" s="424" t="s">
        <v>121</v>
      </c>
      <c r="C142" s="425"/>
      <c r="D142" s="283" t="s">
        <v>303</v>
      </c>
      <c r="E142" s="31" t="s">
        <v>304</v>
      </c>
      <c r="F142" s="31" t="s">
        <v>305</v>
      </c>
      <c r="G142" s="31" t="s">
        <v>306</v>
      </c>
      <c r="H142" s="31" t="s">
        <v>307</v>
      </c>
      <c r="I142" s="31" t="s">
        <v>308</v>
      </c>
      <c r="J142" s="31" t="s">
        <v>309</v>
      </c>
      <c r="K142" s="31" t="s">
        <v>310</v>
      </c>
      <c r="L142" s="31" t="s">
        <v>311</v>
      </c>
      <c r="M142" s="31" t="s">
        <v>312</v>
      </c>
      <c r="N142" s="31" t="s">
        <v>367</v>
      </c>
      <c r="O142" s="31" t="s">
        <v>368</v>
      </c>
      <c r="P142" s="31" t="s">
        <v>369</v>
      </c>
      <c r="Q142" s="31" t="s">
        <v>370</v>
      </c>
      <c r="R142" s="31" t="s">
        <v>371</v>
      </c>
      <c r="S142" s="31" t="s">
        <v>372</v>
      </c>
      <c r="T142" s="31" t="s">
        <v>373</v>
      </c>
      <c r="U142" s="31" t="s">
        <v>374</v>
      </c>
      <c r="V142" s="31" t="s">
        <v>375</v>
      </c>
      <c r="W142" s="31" t="s">
        <v>376</v>
      </c>
      <c r="X142" s="37" t="s">
        <v>0</v>
      </c>
      <c r="Z142" s="79" t="s">
        <v>434</v>
      </c>
    </row>
    <row r="143" spans="2:32" ht="63" customHeight="1" thickTop="1" thickBot="1" x14ac:dyDescent="0.5">
      <c r="B143" s="423" t="s">
        <v>271</v>
      </c>
      <c r="C143" s="423"/>
      <c r="D143" s="296" t="s">
        <v>14</v>
      </c>
      <c r="E143" s="2"/>
      <c r="F143" s="2"/>
      <c r="G143" s="2"/>
      <c r="H143" s="2"/>
      <c r="I143" s="2"/>
      <c r="J143" s="2"/>
      <c r="K143" s="2"/>
      <c r="L143" s="2"/>
      <c r="M143" s="2"/>
      <c r="N143" s="148"/>
      <c r="O143" s="148"/>
      <c r="P143" s="148"/>
      <c r="Q143" s="148"/>
      <c r="R143" s="148"/>
      <c r="S143" s="148"/>
      <c r="T143" s="148"/>
      <c r="U143" s="148"/>
      <c r="V143" s="148"/>
      <c r="W143" s="148"/>
      <c r="X143" s="32" t="s">
        <v>10</v>
      </c>
      <c r="Z143" s="79" t="s">
        <v>436</v>
      </c>
    </row>
    <row r="144" spans="2:32" ht="27" customHeight="1" thickBot="1" x14ac:dyDescent="0.5">
      <c r="B144" s="434" t="s">
        <v>3</v>
      </c>
      <c r="C144" s="434"/>
      <c r="D144" s="203">
        <v>2</v>
      </c>
      <c r="E144" s="203"/>
      <c r="F144" s="203"/>
      <c r="G144" s="203"/>
      <c r="H144" s="203"/>
      <c r="I144" s="203"/>
      <c r="J144" s="203"/>
      <c r="K144" s="203"/>
      <c r="L144" s="203"/>
      <c r="M144" s="203"/>
      <c r="N144" s="203"/>
      <c r="O144" s="203"/>
      <c r="P144" s="203"/>
      <c r="Q144" s="203"/>
      <c r="R144" s="203"/>
      <c r="S144" s="203"/>
      <c r="T144" s="203"/>
      <c r="U144" s="203"/>
      <c r="V144" s="203"/>
      <c r="W144" s="203"/>
      <c r="X144" s="172">
        <f>IF(SUM(D144:W144)=0,"",SUM(D144:W144))</f>
        <v>2</v>
      </c>
      <c r="Z144" s="79"/>
    </row>
    <row r="145" spans="2:32" ht="27" customHeight="1" x14ac:dyDescent="0.45">
      <c r="B145" s="427" t="s">
        <v>16</v>
      </c>
      <c r="C145" s="427"/>
      <c r="D145" s="21" t="s">
        <v>89</v>
      </c>
      <c r="E145" s="21"/>
      <c r="F145" s="21"/>
      <c r="G145" s="21"/>
      <c r="H145" s="21"/>
      <c r="I145" s="21"/>
      <c r="J145" s="21"/>
      <c r="K145" s="21"/>
      <c r="L145" s="21"/>
      <c r="M145" s="21"/>
      <c r="N145" s="21"/>
      <c r="O145" s="21"/>
      <c r="P145" s="21"/>
      <c r="Q145" s="21"/>
      <c r="R145" s="21"/>
      <c r="S145" s="21"/>
      <c r="T145" s="21"/>
      <c r="U145" s="21"/>
      <c r="V145" s="21"/>
      <c r="W145" s="21"/>
      <c r="X145" s="39" t="s">
        <v>10</v>
      </c>
      <c r="Z145" s="79" t="s">
        <v>437</v>
      </c>
    </row>
    <row r="146" spans="2:32" ht="27" customHeight="1" thickBot="1" x14ac:dyDescent="0.5">
      <c r="B146" s="381" t="s">
        <v>108</v>
      </c>
      <c r="C146" s="382"/>
      <c r="D146" s="290" t="s">
        <v>90</v>
      </c>
      <c r="E146" s="21"/>
      <c r="F146" s="21"/>
      <c r="G146" s="21"/>
      <c r="H146" s="21"/>
      <c r="I146" s="21"/>
      <c r="J146" s="21"/>
      <c r="K146" s="21"/>
      <c r="L146" s="21"/>
      <c r="M146" s="21"/>
      <c r="N146" s="149"/>
      <c r="O146" s="149"/>
      <c r="P146" s="149"/>
      <c r="Q146" s="149"/>
      <c r="R146" s="149"/>
      <c r="S146" s="149"/>
      <c r="T146" s="149"/>
      <c r="U146" s="149"/>
      <c r="V146" s="149"/>
      <c r="W146" s="149"/>
      <c r="X146" s="39" t="s">
        <v>10</v>
      </c>
      <c r="Z146" s="79" t="s">
        <v>435</v>
      </c>
    </row>
    <row r="147" spans="2:32" ht="27" customHeight="1" thickTop="1" x14ac:dyDescent="0.45">
      <c r="B147" s="385" t="s">
        <v>512</v>
      </c>
      <c r="C147" s="288" t="s">
        <v>7</v>
      </c>
      <c r="D147" s="292">
        <v>5</v>
      </c>
      <c r="E147" s="169"/>
      <c r="F147" s="175"/>
      <c r="G147" s="175"/>
      <c r="H147" s="175"/>
      <c r="I147" s="175"/>
      <c r="J147" s="175"/>
      <c r="K147" s="175"/>
      <c r="L147" s="175"/>
      <c r="M147" s="175"/>
      <c r="N147" s="178"/>
      <c r="O147" s="178"/>
      <c r="P147" s="178"/>
      <c r="Q147" s="178"/>
      <c r="R147" s="178"/>
      <c r="S147" s="178"/>
      <c r="T147" s="178"/>
      <c r="U147" s="178"/>
      <c r="V147" s="178"/>
      <c r="W147" s="178"/>
      <c r="X147" s="39" t="s">
        <v>10</v>
      </c>
      <c r="Z147" s="146"/>
    </row>
    <row r="148" spans="2:32" ht="27" customHeight="1" x14ac:dyDescent="0.45">
      <c r="B148" s="386"/>
      <c r="C148" s="288" t="s">
        <v>8</v>
      </c>
      <c r="D148" s="293">
        <v>5.6</v>
      </c>
      <c r="E148" s="169"/>
      <c r="F148" s="175"/>
      <c r="G148" s="175"/>
      <c r="H148" s="175"/>
      <c r="I148" s="175"/>
      <c r="J148" s="175"/>
      <c r="K148" s="175"/>
      <c r="L148" s="175"/>
      <c r="M148" s="175"/>
      <c r="N148" s="175"/>
      <c r="O148" s="175"/>
      <c r="P148" s="175"/>
      <c r="Q148" s="175"/>
      <c r="R148" s="175"/>
      <c r="S148" s="175"/>
      <c r="T148" s="175"/>
      <c r="U148" s="175"/>
      <c r="V148" s="175"/>
      <c r="W148" s="175"/>
      <c r="X148" s="34" t="s">
        <v>10</v>
      </c>
      <c r="Z148" s="146"/>
    </row>
    <row r="149" spans="2:32" ht="27" customHeight="1" x14ac:dyDescent="0.45">
      <c r="B149" s="385" t="s">
        <v>203</v>
      </c>
      <c r="C149" s="288" t="s">
        <v>7</v>
      </c>
      <c r="D149" s="294">
        <v>1.55</v>
      </c>
      <c r="E149" s="289"/>
      <c r="F149" s="173"/>
      <c r="G149" s="173"/>
      <c r="H149" s="173"/>
      <c r="I149" s="173"/>
      <c r="J149" s="173"/>
      <c r="K149" s="173"/>
      <c r="L149" s="173"/>
      <c r="M149" s="173"/>
      <c r="N149" s="177"/>
      <c r="O149" s="177"/>
      <c r="P149" s="177"/>
      <c r="Q149" s="177"/>
      <c r="R149" s="177"/>
      <c r="S149" s="177"/>
      <c r="T149" s="177"/>
      <c r="U149" s="177"/>
      <c r="V149" s="177"/>
      <c r="W149" s="177"/>
      <c r="X149" s="32" t="s">
        <v>10</v>
      </c>
      <c r="Z149" s="146"/>
    </row>
    <row r="150" spans="2:32" ht="27" customHeight="1" thickBot="1" x14ac:dyDescent="0.5">
      <c r="B150" s="433"/>
      <c r="C150" s="288" t="s">
        <v>8</v>
      </c>
      <c r="D150" s="295">
        <v>1.64</v>
      </c>
      <c r="E150" s="289"/>
      <c r="F150" s="173"/>
      <c r="G150" s="173"/>
      <c r="H150" s="173"/>
      <c r="I150" s="173"/>
      <c r="J150" s="173"/>
      <c r="K150" s="173"/>
      <c r="L150" s="173"/>
      <c r="M150" s="173"/>
      <c r="N150" s="173"/>
      <c r="O150" s="173"/>
      <c r="P150" s="173"/>
      <c r="Q150" s="173"/>
      <c r="R150" s="173"/>
      <c r="S150" s="173"/>
      <c r="T150" s="173"/>
      <c r="U150" s="173"/>
      <c r="V150" s="173"/>
      <c r="W150" s="173"/>
      <c r="X150" s="34" t="s">
        <v>10</v>
      </c>
      <c r="Z150" s="146"/>
    </row>
    <row r="151" spans="2:32" ht="27" customHeight="1" thickTop="1" thickBot="1" x14ac:dyDescent="0.5">
      <c r="B151" s="386"/>
      <c r="C151" s="91" t="s">
        <v>88</v>
      </c>
      <c r="D151" s="291"/>
      <c r="E151" s="22"/>
      <c r="F151" s="22"/>
      <c r="G151" s="22"/>
      <c r="H151" s="22"/>
      <c r="I151" s="22"/>
      <c r="J151" s="22"/>
      <c r="K151" s="22"/>
      <c r="L151" s="22"/>
      <c r="M151" s="22"/>
      <c r="N151" s="22"/>
      <c r="O151" s="22"/>
      <c r="P151" s="22"/>
      <c r="Q151" s="22"/>
      <c r="R151" s="22"/>
      <c r="S151" s="22"/>
      <c r="T151" s="22"/>
      <c r="U151" s="22"/>
      <c r="V151" s="22"/>
      <c r="W151" s="22"/>
      <c r="X151" s="34" t="s">
        <v>10</v>
      </c>
      <c r="Z151" s="79" t="s">
        <v>438</v>
      </c>
    </row>
    <row r="152" spans="2:32" ht="45" customHeight="1" x14ac:dyDescent="0.45">
      <c r="B152" s="381" t="s">
        <v>204</v>
      </c>
      <c r="C152" s="382"/>
      <c r="D152" s="183">
        <f>IF(計算!$O56=1,計算!$R56,IF(計算!$O56=2,計算!$U56,IF(計算!$O56=3,計算!$X56,IF(計算!$O56=4,計算!$AA56,IF(計算!$O56=5,計算!$AD56,"")))))</f>
        <v>37</v>
      </c>
      <c r="E152" s="183" t="str">
        <f>IF(計算!$O57=1,計算!$R57,IF(計算!$O57=2,計算!$U57,IF(計算!$O57=3,計算!$X57,IF(計算!$O57=4,計算!$AA57,IF(計算!$O57=5,計算!$AD57,"")))))</f>
        <v/>
      </c>
      <c r="F152" s="183" t="str">
        <f>IF(計算!$O58=1,計算!$R58,IF(計算!$O58=2,計算!$U58,IF(計算!$O58=3,計算!$X58,IF(計算!$O58=4,計算!$AA58,IF(計算!$O58=5,計算!$AD58,"")))))</f>
        <v/>
      </c>
      <c r="G152" s="183" t="str">
        <f>IF(計算!$O59=1,計算!$R59,IF(計算!$O59=2,計算!$U59,IF(計算!$O59=3,計算!$X59,IF(計算!$O59=4,計算!$AA59,IF(計算!$O59=5,計算!$AD59,"")))))</f>
        <v/>
      </c>
      <c r="H152" s="183" t="str">
        <f>IF(計算!$O60=1,計算!$R60,IF(計算!$O60=2,計算!$U60,IF(計算!$O60=3,計算!$X60,IF(計算!$O60=4,計算!$AA60,IF(計算!$O60=5,計算!$AD60,"")))))</f>
        <v/>
      </c>
      <c r="I152" s="183" t="str">
        <f>IF(計算!$O61=1,計算!$R61,IF(計算!$O61=2,計算!$U61,IF(計算!$O61=3,計算!$X61,IF(計算!$O61=4,計算!$AA61,IF(計算!$O61=5,計算!$AD61,"")))))</f>
        <v/>
      </c>
      <c r="J152" s="183" t="str">
        <f>IF(計算!$O62=1,計算!$R62,IF(計算!$O62=2,計算!$U62,IF(計算!$O62=3,計算!$X62,IF(計算!$O62=4,計算!$AA62,IF(計算!$O62=5,計算!$AD62,"")))))</f>
        <v/>
      </c>
      <c r="K152" s="183" t="str">
        <f>IF(計算!$O63=1,計算!$R63,IF(計算!$O63=2,計算!$U63,IF(計算!$O63=3,計算!$X63,IF(計算!$O63=4,計算!$AA63,IF(計算!$O63=5,計算!$AD63,"")))))</f>
        <v/>
      </c>
      <c r="L152" s="183" t="str">
        <f>IF(計算!$O64=1,計算!$R64,IF(計算!$O64=2,計算!$U64,IF(計算!$O64=3,計算!$X64,IF(計算!$O64=4,計算!$AA64,IF(計算!$O64=5,計算!$AD64,"")))))</f>
        <v/>
      </c>
      <c r="M152" s="183" t="str">
        <f>IF(計算!$O65=1,計算!$R65,IF(計算!$O65=2,計算!$U65,IF(計算!$O65=3,計算!$X65,IF(計算!$O65=4,計算!$AA65,IF(計算!$O65=5,計算!$AD65,"")))))</f>
        <v/>
      </c>
      <c r="N152" s="183" t="str">
        <f>IF(計算!$O66=1,計算!$R66,IF(計算!$O66=2,計算!$U66,IF(計算!$O66=3,計算!$X66,IF(計算!$O66=4,計算!$AA66,IF(計算!$O66=5,計算!$AD66,"")))))</f>
        <v/>
      </c>
      <c r="O152" s="183" t="str">
        <f>IF(計算!$O67=1,計算!$R67,IF(計算!$O67=2,計算!$U67,IF(計算!$O67=3,計算!$X67,IF(計算!$O67=4,計算!$AA67,IF(計算!$O67=5,計算!$AD67,"")))))</f>
        <v/>
      </c>
      <c r="P152" s="183" t="str">
        <f>IF(計算!$O68=1,計算!$R68,IF(計算!$O68=2,計算!$U68,IF(計算!$O68=3,計算!$X68,IF(計算!$O68=4,計算!$AA68,IF(計算!$O68=5,計算!$AD68,"")))))</f>
        <v/>
      </c>
      <c r="Q152" s="183" t="str">
        <f>IF(計算!$O69=1,計算!$R69,IF(計算!$O69=2,計算!$U69,IF(計算!$O69=3,計算!$X69,IF(計算!$O69=4,計算!$AA69,IF(計算!$O69=5,計算!$AD69,"")))))</f>
        <v/>
      </c>
      <c r="R152" s="183" t="str">
        <f>IF(計算!$O70=1,計算!$R70,IF(計算!$O70=2,計算!$U70,IF(計算!$O70=3,計算!$X70,IF(計算!$O70=4,計算!$AA70,IF(計算!$O70=5,計算!$AD70,"")))))</f>
        <v/>
      </c>
      <c r="S152" s="183" t="str">
        <f>IF(計算!$O71=1,計算!$R71,IF(計算!$O71=2,計算!$U71,IF(計算!$O71=3,計算!$X71,IF(計算!$O71=4,計算!$AA71,IF(計算!$O71=5,計算!$AD71,"")))))</f>
        <v/>
      </c>
      <c r="T152" s="183" t="str">
        <f>IF(計算!$O72=1,計算!$R72,IF(計算!$O72=2,計算!$U72,IF(計算!$O72=3,計算!$X72,IF(計算!$O72=4,計算!$AA72,IF(計算!$O72=5,計算!$AD72,"")))))</f>
        <v/>
      </c>
      <c r="U152" s="183" t="str">
        <f>IF(計算!$O73=1,計算!$R73,IF(計算!$O73=2,計算!$U73,IF(計算!$O73=3,計算!$X73,IF(計算!$O73=4,計算!$AA73,IF(計算!$O73=5,計算!$AD73,"")))))</f>
        <v/>
      </c>
      <c r="V152" s="183" t="str">
        <f>IF(計算!$O74=1,計算!$R74,IF(計算!$O74=2,計算!$U74,IF(計算!$O74=3,計算!$X74,IF(計算!$O74=4,計算!$AA74,IF(計算!$O74=5,計算!$AD74,"")))))</f>
        <v/>
      </c>
      <c r="W152" s="183" t="str">
        <f>IF(計算!$O75=1,計算!$R75,IF(計算!$O75=2,計算!$U75,IF(計算!$O75=3,計算!$X75,IF(計算!$O75=4,計算!$AA75,IF(計算!$O75=5,計算!$AD75,"")))))</f>
        <v/>
      </c>
      <c r="X152" s="184">
        <f>IF(SUM(D152:W152)=0,"",SUM(D152:W152))</f>
        <v>37</v>
      </c>
    </row>
    <row r="153" spans="2:32" ht="27" customHeight="1" thickBot="1" x14ac:dyDescent="0.5">
      <c r="B153" s="383" t="s">
        <v>205</v>
      </c>
      <c r="C153" s="384"/>
      <c r="D153" s="185">
        <f>IF(D152="","",ROUND(D152*0.0258,2))</f>
        <v>0.95</v>
      </c>
      <c r="E153" s="185" t="str">
        <f t="shared" ref="E153:W153" si="26">IF(E152="","",ROUND(E152*0.0258,2))</f>
        <v/>
      </c>
      <c r="F153" s="185" t="str">
        <f t="shared" si="26"/>
        <v/>
      </c>
      <c r="G153" s="185" t="str">
        <f t="shared" si="26"/>
        <v/>
      </c>
      <c r="H153" s="185" t="str">
        <f t="shared" si="26"/>
        <v/>
      </c>
      <c r="I153" s="185" t="str">
        <f t="shared" si="26"/>
        <v/>
      </c>
      <c r="J153" s="185" t="str">
        <f t="shared" si="26"/>
        <v/>
      </c>
      <c r="K153" s="185" t="str">
        <f t="shared" si="26"/>
        <v/>
      </c>
      <c r="L153" s="185" t="str">
        <f t="shared" si="26"/>
        <v/>
      </c>
      <c r="M153" s="185" t="str">
        <f t="shared" si="26"/>
        <v/>
      </c>
      <c r="N153" s="185" t="str">
        <f t="shared" si="26"/>
        <v/>
      </c>
      <c r="O153" s="185" t="str">
        <f t="shared" si="26"/>
        <v/>
      </c>
      <c r="P153" s="185" t="str">
        <f t="shared" si="26"/>
        <v/>
      </c>
      <c r="Q153" s="185" t="str">
        <f t="shared" si="26"/>
        <v/>
      </c>
      <c r="R153" s="185" t="str">
        <f t="shared" si="26"/>
        <v/>
      </c>
      <c r="S153" s="185" t="str">
        <f t="shared" si="26"/>
        <v/>
      </c>
      <c r="T153" s="185" t="str">
        <f t="shared" si="26"/>
        <v/>
      </c>
      <c r="U153" s="185" t="str">
        <f t="shared" si="26"/>
        <v/>
      </c>
      <c r="V153" s="185" t="str">
        <f t="shared" si="26"/>
        <v/>
      </c>
      <c r="W153" s="185" t="str">
        <f t="shared" si="26"/>
        <v/>
      </c>
      <c r="X153" s="186">
        <f>IF(SUM(D153:W153)=0,"",SUM(D153:W153))</f>
        <v>0.95</v>
      </c>
      <c r="Z153" s="79" t="s">
        <v>439</v>
      </c>
    </row>
    <row r="154" spans="2:32" ht="27" hidden="1" customHeight="1" x14ac:dyDescent="0.45">
      <c r="B154" s="379" t="s">
        <v>201</v>
      </c>
      <c r="C154" s="92" t="s">
        <v>199</v>
      </c>
      <c r="D154" s="176"/>
      <c r="E154" s="176"/>
      <c r="F154" s="176"/>
      <c r="G154" s="176"/>
      <c r="H154" s="176"/>
      <c r="I154" s="176"/>
      <c r="J154" s="176"/>
      <c r="K154" s="176"/>
      <c r="L154" s="176"/>
      <c r="M154" s="176"/>
      <c r="N154" s="176"/>
      <c r="O154" s="176"/>
      <c r="P154" s="176"/>
      <c r="Q154" s="176"/>
      <c r="R154" s="176"/>
      <c r="S154" s="176"/>
      <c r="T154" s="176"/>
      <c r="U154" s="176"/>
      <c r="V154" s="176"/>
      <c r="W154" s="176"/>
      <c r="X154" s="32" t="s">
        <v>10</v>
      </c>
    </row>
    <row r="155" spans="2:32" ht="27" hidden="1" customHeight="1" x14ac:dyDescent="0.45">
      <c r="B155" s="380"/>
      <c r="C155" s="92" t="s">
        <v>200</v>
      </c>
      <c r="D155" s="176">
        <f>IFERROR(((D147/D149)+(D148/D150))/2,"")</f>
        <v>3.3202202989771834</v>
      </c>
      <c r="E155" s="176" t="str">
        <f t="shared" ref="E155:W155" si="27">IFERROR(((E147/E149)+(E148/E150))/2,"")</f>
        <v/>
      </c>
      <c r="F155" s="176" t="str">
        <f t="shared" si="27"/>
        <v/>
      </c>
      <c r="G155" s="176" t="str">
        <f t="shared" si="27"/>
        <v/>
      </c>
      <c r="H155" s="176" t="str">
        <f t="shared" si="27"/>
        <v/>
      </c>
      <c r="I155" s="176" t="str">
        <f t="shared" si="27"/>
        <v/>
      </c>
      <c r="J155" s="176" t="str">
        <f t="shared" si="27"/>
        <v/>
      </c>
      <c r="K155" s="176" t="str">
        <f t="shared" si="27"/>
        <v/>
      </c>
      <c r="L155" s="176" t="str">
        <f t="shared" si="27"/>
        <v/>
      </c>
      <c r="M155" s="176" t="str">
        <f t="shared" si="27"/>
        <v/>
      </c>
      <c r="N155" s="176" t="str">
        <f t="shared" si="27"/>
        <v/>
      </c>
      <c r="O155" s="176" t="str">
        <f t="shared" si="27"/>
        <v/>
      </c>
      <c r="P155" s="176" t="str">
        <f t="shared" si="27"/>
        <v/>
      </c>
      <c r="Q155" s="176" t="str">
        <f t="shared" si="27"/>
        <v/>
      </c>
      <c r="R155" s="176" t="str">
        <f t="shared" si="27"/>
        <v/>
      </c>
      <c r="S155" s="176" t="str">
        <f t="shared" si="27"/>
        <v/>
      </c>
      <c r="T155" s="176" t="str">
        <f t="shared" si="27"/>
        <v/>
      </c>
      <c r="U155" s="176" t="str">
        <f t="shared" si="27"/>
        <v/>
      </c>
      <c r="V155" s="176" t="str">
        <f t="shared" si="27"/>
        <v/>
      </c>
      <c r="W155" s="176" t="str">
        <f t="shared" si="27"/>
        <v/>
      </c>
      <c r="X155" s="34" t="s">
        <v>10</v>
      </c>
    </row>
    <row r="156" spans="2:32" hidden="1" x14ac:dyDescent="0.45">
      <c r="B156" s="130" t="s">
        <v>277</v>
      </c>
      <c r="C156" s="130"/>
      <c r="D156" s="131">
        <f t="shared" ref="D156:V156" si="28">IF(D$143="",9,IF(OR(D$143="電気式パッケージ形空調機",D$143="ルームエアコン"),1,IF(AND(D$143="ガスヒートポンプ式空調機",D$145="都市ガス",D$151="kW"),2,IF(AND(D$143="ガスヒートポンプ式空調機",D$145="都市ガス",D$151="ｍ3N/h"),3,IF(AND(D$143="ガスヒートポンプ式空調機",D$145="LPG",D$151="kW"),4,IF(AND(D$143="ガスヒートポンプ式空調機",D$145="LPG",D$151="kg/h"),5,0))))))</f>
        <v>1</v>
      </c>
      <c r="E156" s="131">
        <f t="shared" si="28"/>
        <v>9</v>
      </c>
      <c r="F156" s="131">
        <f t="shared" si="28"/>
        <v>9</v>
      </c>
      <c r="G156" s="131">
        <f t="shared" si="28"/>
        <v>9</v>
      </c>
      <c r="H156" s="131">
        <f t="shared" si="28"/>
        <v>9</v>
      </c>
      <c r="I156" s="131">
        <f t="shared" si="28"/>
        <v>9</v>
      </c>
      <c r="J156" s="131">
        <f t="shared" si="28"/>
        <v>9</v>
      </c>
      <c r="K156" s="131">
        <f t="shared" si="28"/>
        <v>9</v>
      </c>
      <c r="L156" s="131">
        <f t="shared" si="28"/>
        <v>9</v>
      </c>
      <c r="M156" s="131">
        <f t="shared" si="28"/>
        <v>9</v>
      </c>
      <c r="N156" s="131">
        <f t="shared" si="28"/>
        <v>9</v>
      </c>
      <c r="O156" s="131">
        <f t="shared" si="28"/>
        <v>9</v>
      </c>
      <c r="P156" s="131">
        <f t="shared" si="28"/>
        <v>9</v>
      </c>
      <c r="Q156" s="131">
        <f t="shared" si="28"/>
        <v>9</v>
      </c>
      <c r="R156" s="131">
        <f t="shared" si="28"/>
        <v>9</v>
      </c>
      <c r="S156" s="131">
        <f t="shared" si="28"/>
        <v>9</v>
      </c>
      <c r="T156" s="131">
        <f t="shared" si="28"/>
        <v>9</v>
      </c>
      <c r="U156" s="131">
        <f t="shared" si="28"/>
        <v>9</v>
      </c>
      <c r="V156" s="131">
        <f t="shared" si="28"/>
        <v>9</v>
      </c>
      <c r="W156" s="131">
        <f>IF(W$143="",9,IF(OR(W$143="電気式パッケージ形空調機",W$143="ルームエアコン"),1,IF(AND(W$143="ガスヒートポンプ式空調機",W$145="都市ガス",W$151="kW"),2,IF(AND(W$143="ガスヒートポンプ式空調機",W$145="都市ガス",W$151="ｍ3N/h"),3,IF(AND(W$143="ガスヒートポンプ式空調機",W$145="LPG",W$151="kW"),4,IF(AND(W$143="ガスヒートポンプ式空調機",W$145="LPG",W$151="kg/h"),5,0))))))</f>
        <v>9</v>
      </c>
      <c r="X156" s="108"/>
      <c r="Y156" s="132">
        <f>COUNTIF($D156:$W156,0)</f>
        <v>0</v>
      </c>
      <c r="Z156" s="193">
        <f>COUNTIF($D156:$W156,1)</f>
        <v>1</v>
      </c>
      <c r="AA156" s="193">
        <f>COUNTIF($D156:$W156,2)</f>
        <v>0</v>
      </c>
      <c r="AB156" s="193">
        <f>COUNTIF($D156:$W156,3)</f>
        <v>0</v>
      </c>
      <c r="AC156" s="132">
        <f>COUNTIF($D156:$W156,4)</f>
        <v>0</v>
      </c>
      <c r="AD156" s="132">
        <f>COUNTIF($D156:$W156,5)</f>
        <v>0</v>
      </c>
      <c r="AE156" s="132"/>
      <c r="AF156" s="118">
        <v>140</v>
      </c>
    </row>
    <row r="157" spans="2:32" hidden="1" x14ac:dyDescent="0.45">
      <c r="B157" s="130" t="s">
        <v>278</v>
      </c>
      <c r="C157" s="130"/>
      <c r="D157" s="131">
        <f>IF(AND(D$145="",D$151=""),9,IF(AND(D$145="電気",D$151="kW"),1,IF(AND(D$145="都市ガス",D$151="kW"),2,IF(AND(D$145="都市ガス",D$151="ｍ3N/h"),3,IF(AND(D$145="LPG",D$151="kW"),4,IF(AND(D$145="LPG",D$151="kg/h"),5,0))))))</f>
        <v>0</v>
      </c>
      <c r="E157" s="131">
        <f t="shared" ref="E157:W157" si="29">IF(AND(E$145="",E$151=""),9,IF(AND(E$145="電気",E$151="kW"),1,IF(AND(E$145="都市ガス",E$151="kW"),2,IF(AND(E$145="都市ガス",E$151="ｍ3N/h"),3,IF(AND(E$145="LPG",E$151="kW"),4,IF(AND(E$145="LPG",E$151="kg/h"),5,0))))))</f>
        <v>9</v>
      </c>
      <c r="F157" s="131">
        <f t="shared" si="29"/>
        <v>9</v>
      </c>
      <c r="G157" s="131">
        <f t="shared" si="29"/>
        <v>9</v>
      </c>
      <c r="H157" s="131">
        <f t="shared" si="29"/>
        <v>9</v>
      </c>
      <c r="I157" s="131">
        <f t="shared" si="29"/>
        <v>9</v>
      </c>
      <c r="J157" s="131">
        <f t="shared" si="29"/>
        <v>9</v>
      </c>
      <c r="K157" s="131">
        <f t="shared" si="29"/>
        <v>9</v>
      </c>
      <c r="L157" s="131">
        <f t="shared" si="29"/>
        <v>9</v>
      </c>
      <c r="M157" s="131">
        <f t="shared" si="29"/>
        <v>9</v>
      </c>
      <c r="N157" s="131">
        <f t="shared" si="29"/>
        <v>9</v>
      </c>
      <c r="O157" s="131">
        <f t="shared" si="29"/>
        <v>9</v>
      </c>
      <c r="P157" s="131">
        <f t="shared" si="29"/>
        <v>9</v>
      </c>
      <c r="Q157" s="131">
        <f t="shared" si="29"/>
        <v>9</v>
      </c>
      <c r="R157" s="131">
        <f t="shared" si="29"/>
        <v>9</v>
      </c>
      <c r="S157" s="131">
        <f t="shared" si="29"/>
        <v>9</v>
      </c>
      <c r="T157" s="131">
        <f t="shared" si="29"/>
        <v>9</v>
      </c>
      <c r="U157" s="131">
        <f t="shared" si="29"/>
        <v>9</v>
      </c>
      <c r="V157" s="131">
        <f t="shared" si="29"/>
        <v>9</v>
      </c>
      <c r="W157" s="131">
        <f t="shared" si="29"/>
        <v>9</v>
      </c>
      <c r="X157" s="108"/>
      <c r="Y157" s="132">
        <f>COUNTIF($D157:$W157,0)</f>
        <v>1</v>
      </c>
      <c r="Z157" s="193">
        <f>COUNTIF($D157:$W157,1)</f>
        <v>0</v>
      </c>
      <c r="AA157" s="193">
        <f>COUNTIF($D157:$W157,2)</f>
        <v>0</v>
      </c>
      <c r="AB157" s="193">
        <f>COUNTIF($D157:$W157,3)</f>
        <v>0</v>
      </c>
      <c r="AC157" s="132">
        <f>COUNTIF($D157:$W157,4)</f>
        <v>0</v>
      </c>
      <c r="AD157" s="132">
        <f>COUNTIF($D157:$W157,5)</f>
        <v>0</v>
      </c>
      <c r="AE157" s="132"/>
      <c r="AF157" s="118">
        <v>141</v>
      </c>
    </row>
    <row r="158" spans="2:32" hidden="1" x14ac:dyDescent="0.45">
      <c r="B158" s="133" t="s">
        <v>276</v>
      </c>
      <c r="C158" s="133"/>
      <c r="D158" s="134">
        <f>IF(OR(AND(D156=0,D157=0),D156&lt;&gt;D157),1,IF(AND(D156=9,D157=9),2,IF(D156=D157,0,"")))</f>
        <v>1</v>
      </c>
      <c r="E158" s="134">
        <f t="shared" ref="E158:W158" si="30">IF(OR(AND(E156=0,E157=0),E156&lt;&gt;E157),1,IF(AND(E156=9,E157=9),2,IF(E156=E157,0,"")))</f>
        <v>2</v>
      </c>
      <c r="F158" s="134">
        <f t="shared" si="30"/>
        <v>2</v>
      </c>
      <c r="G158" s="134">
        <f t="shared" si="30"/>
        <v>2</v>
      </c>
      <c r="H158" s="134">
        <f t="shared" si="30"/>
        <v>2</v>
      </c>
      <c r="I158" s="134">
        <f t="shared" si="30"/>
        <v>2</v>
      </c>
      <c r="J158" s="134">
        <f t="shared" si="30"/>
        <v>2</v>
      </c>
      <c r="K158" s="134">
        <f t="shared" si="30"/>
        <v>2</v>
      </c>
      <c r="L158" s="134">
        <f t="shared" si="30"/>
        <v>2</v>
      </c>
      <c r="M158" s="134">
        <f t="shared" si="30"/>
        <v>2</v>
      </c>
      <c r="N158" s="134">
        <f t="shared" si="30"/>
        <v>2</v>
      </c>
      <c r="O158" s="134">
        <f t="shared" si="30"/>
        <v>2</v>
      </c>
      <c r="P158" s="134">
        <f t="shared" si="30"/>
        <v>2</v>
      </c>
      <c r="Q158" s="134">
        <f t="shared" si="30"/>
        <v>2</v>
      </c>
      <c r="R158" s="134">
        <f t="shared" si="30"/>
        <v>2</v>
      </c>
      <c r="S158" s="134">
        <f t="shared" si="30"/>
        <v>2</v>
      </c>
      <c r="T158" s="134">
        <f t="shared" si="30"/>
        <v>2</v>
      </c>
      <c r="U158" s="134">
        <f t="shared" si="30"/>
        <v>2</v>
      </c>
      <c r="V158" s="134">
        <f t="shared" si="30"/>
        <v>2</v>
      </c>
      <c r="W158" s="134">
        <f t="shared" si="30"/>
        <v>2</v>
      </c>
      <c r="X158" s="108" t="str">
        <f>IF(Z158&gt;0,"入力確認",IF(AE160=Y158,"適合","不適合"))</f>
        <v>入力確認</v>
      </c>
      <c r="Y158" s="132">
        <f>COUNTIF($D158:$W158,0)</f>
        <v>0</v>
      </c>
      <c r="Z158" s="193">
        <f>COUNTIF($D158:$W158,1)</f>
        <v>1</v>
      </c>
      <c r="AA158" s="193">
        <f>COUNTIF($D158:$W158,2)</f>
        <v>19</v>
      </c>
      <c r="AB158" s="193"/>
      <c r="AC158" s="132"/>
      <c r="AD158" s="132"/>
      <c r="AE158" s="132"/>
      <c r="AF158" s="118">
        <v>142</v>
      </c>
    </row>
    <row r="159" spans="2:32" hidden="1" x14ac:dyDescent="0.45">
      <c r="B159" s="181" t="s">
        <v>430</v>
      </c>
      <c r="C159" s="181"/>
      <c r="D159" s="182">
        <f t="shared" ref="D159:N159" si="31">IF(OR(D149&lt;0,D150&lt;0),1,IF(OR(D149&gt;0,D150&gt;0),0,2))</f>
        <v>0</v>
      </c>
      <c r="E159" s="182">
        <f t="shared" si="31"/>
        <v>2</v>
      </c>
      <c r="F159" s="182">
        <f t="shared" si="31"/>
        <v>2</v>
      </c>
      <c r="G159" s="182">
        <f t="shared" si="31"/>
        <v>2</v>
      </c>
      <c r="H159" s="182">
        <f t="shared" si="31"/>
        <v>2</v>
      </c>
      <c r="I159" s="182">
        <f t="shared" si="31"/>
        <v>2</v>
      </c>
      <c r="J159" s="182">
        <f t="shared" si="31"/>
        <v>2</v>
      </c>
      <c r="K159" s="182">
        <f t="shared" si="31"/>
        <v>2</v>
      </c>
      <c r="L159" s="182">
        <f t="shared" si="31"/>
        <v>2</v>
      </c>
      <c r="M159" s="182">
        <f t="shared" si="31"/>
        <v>2</v>
      </c>
      <c r="N159" s="182">
        <f t="shared" si="31"/>
        <v>2</v>
      </c>
      <c r="O159" s="182">
        <f>IF(OR(O149&lt;0,O150&lt;0),1,IF(OR(O149&gt;0,O150&gt;0),0,2))</f>
        <v>2</v>
      </c>
      <c r="P159" s="182">
        <f t="shared" ref="P159:W159" si="32">IF(OR(P149&lt;0,P150&lt;0),1,IF(OR(P149&gt;0,P150&gt;0),0,2))</f>
        <v>2</v>
      </c>
      <c r="Q159" s="182">
        <f t="shared" si="32"/>
        <v>2</v>
      </c>
      <c r="R159" s="182">
        <f t="shared" si="32"/>
        <v>2</v>
      </c>
      <c r="S159" s="182">
        <f t="shared" si="32"/>
        <v>2</v>
      </c>
      <c r="T159" s="182">
        <f t="shared" si="32"/>
        <v>2</v>
      </c>
      <c r="U159" s="182">
        <f t="shared" si="32"/>
        <v>2</v>
      </c>
      <c r="V159" s="182">
        <f t="shared" si="32"/>
        <v>2</v>
      </c>
      <c r="W159" s="182">
        <f t="shared" si="32"/>
        <v>2</v>
      </c>
      <c r="X159" s="108" t="str">
        <f>IF(Z159&gt;0,"入力確認",IF(AE160=Y159,"適合","不適合"))</f>
        <v>適合</v>
      </c>
      <c r="Y159" s="132">
        <f>COUNTIF($D159:$W159,0)</f>
        <v>1</v>
      </c>
      <c r="Z159" s="193">
        <f>COUNTIF($D159:$W159,1)</f>
        <v>0</v>
      </c>
      <c r="AA159" s="193">
        <f>COUNTIF($D159:$W159,2)</f>
        <v>19</v>
      </c>
      <c r="AB159" s="193"/>
      <c r="AC159" s="132"/>
      <c r="AD159" s="132"/>
      <c r="AE159" s="132"/>
      <c r="AF159" s="118">
        <v>143</v>
      </c>
    </row>
    <row r="160" spans="2:32" hidden="1" x14ac:dyDescent="0.45">
      <c r="B160" s="110" t="s">
        <v>252</v>
      </c>
      <c r="C160" s="108"/>
      <c r="D160" s="108">
        <f>IF(AND(D143="",D144="",D145="",D146="",D147="",D148="",D149="",D150="",D151=""),2,IF(AND(D143&lt;&gt;"",D144&lt;&gt;"",D145&lt;&gt;"",D146&lt;&gt;"",D147&lt;&gt;"",D148&lt;&gt;"",D149&lt;&gt;"",D150&lt;&gt;"",D151&lt;&gt;""),0,1))</f>
        <v>1</v>
      </c>
      <c r="E160" s="108">
        <f t="shared" ref="E160:W160" si="33">IF(AND(E143="",E144="",E145="",E146="",E147="",E148="",E149="",E150="",E151=""),2,IF(AND(E143&lt;&gt;"",E144&lt;&gt;"",E145&lt;&gt;"",E146&lt;&gt;"",E147&lt;&gt;"",E148&lt;&gt;"",E149&lt;&gt;"",E150&lt;&gt;"",E151&lt;&gt;""),0,1))</f>
        <v>2</v>
      </c>
      <c r="F160" s="108">
        <f t="shared" si="33"/>
        <v>2</v>
      </c>
      <c r="G160" s="108">
        <f t="shared" si="33"/>
        <v>2</v>
      </c>
      <c r="H160" s="108">
        <f t="shared" si="33"/>
        <v>2</v>
      </c>
      <c r="I160" s="108">
        <f t="shared" si="33"/>
        <v>2</v>
      </c>
      <c r="J160" s="108">
        <f t="shared" si="33"/>
        <v>2</v>
      </c>
      <c r="K160" s="108">
        <f t="shared" si="33"/>
        <v>2</v>
      </c>
      <c r="L160" s="108">
        <f t="shared" si="33"/>
        <v>2</v>
      </c>
      <c r="M160" s="108">
        <f t="shared" si="33"/>
        <v>2</v>
      </c>
      <c r="N160" s="108">
        <f t="shared" si="33"/>
        <v>2</v>
      </c>
      <c r="O160" s="108">
        <f t="shared" si="33"/>
        <v>2</v>
      </c>
      <c r="P160" s="108">
        <f t="shared" si="33"/>
        <v>2</v>
      </c>
      <c r="Q160" s="108">
        <f t="shared" si="33"/>
        <v>2</v>
      </c>
      <c r="R160" s="108">
        <f t="shared" si="33"/>
        <v>2</v>
      </c>
      <c r="S160" s="108">
        <f t="shared" si="33"/>
        <v>2</v>
      </c>
      <c r="T160" s="108">
        <f t="shared" si="33"/>
        <v>2</v>
      </c>
      <c r="U160" s="108">
        <f t="shared" si="33"/>
        <v>2</v>
      </c>
      <c r="V160" s="108">
        <f t="shared" si="33"/>
        <v>2</v>
      </c>
      <c r="W160" s="108">
        <f t="shared" si="33"/>
        <v>2</v>
      </c>
      <c r="X160" s="108" t="str">
        <f>IF(Z160&gt;0,"入力確認",IF(AE160=Y160,"適合","不適合"))</f>
        <v>入力確認</v>
      </c>
      <c r="Y160" s="132">
        <f>COUNTIF($D160:$W160,0)</f>
        <v>0</v>
      </c>
      <c r="Z160" s="193">
        <f>COUNTIF($D160:$W160,1)</f>
        <v>1</v>
      </c>
      <c r="AA160" s="193">
        <f>COUNTIF($D160:$W160,2)</f>
        <v>19</v>
      </c>
      <c r="AB160" s="193"/>
      <c r="AC160" s="132"/>
      <c r="AD160" s="132"/>
      <c r="AE160" s="180">
        <f>20-COUNTIF($D$143:$W$143,"")</f>
        <v>1</v>
      </c>
      <c r="AF160" s="118">
        <v>144</v>
      </c>
    </row>
    <row r="162" spans="2:25" ht="33" customHeight="1" x14ac:dyDescent="0.45">
      <c r="B162" s="28" t="s">
        <v>273</v>
      </c>
      <c r="C162" s="36"/>
    </row>
    <row r="163" spans="2:25" ht="9" customHeight="1" thickBot="1" x14ac:dyDescent="0.5">
      <c r="B163" s="23"/>
      <c r="C163" s="36"/>
    </row>
    <row r="164" spans="2:25" ht="27" customHeight="1" thickTop="1" x14ac:dyDescent="0.45">
      <c r="B164" s="279" t="s">
        <v>180</v>
      </c>
      <c r="C164" s="408" t="s">
        <v>123</v>
      </c>
      <c r="D164" s="409"/>
      <c r="E164" s="409"/>
      <c r="F164" s="409"/>
      <c r="G164" s="409"/>
      <c r="H164" s="410" t="s">
        <v>124</v>
      </c>
      <c r="I164" s="410"/>
      <c r="J164" s="410"/>
      <c r="K164" s="410"/>
      <c r="L164" s="410"/>
      <c r="M164" s="410"/>
      <c r="N164" s="410"/>
      <c r="O164" s="407" t="s">
        <v>282</v>
      </c>
      <c r="P164" s="407"/>
      <c r="Q164" s="407"/>
      <c r="R164" s="407"/>
      <c r="S164" s="407"/>
      <c r="T164" s="407"/>
      <c r="U164" s="405" t="s">
        <v>179</v>
      </c>
      <c r="V164" s="406"/>
      <c r="W164" s="152"/>
      <c r="X164" s="154"/>
      <c r="Y164" s="140"/>
    </row>
    <row r="165" spans="2:25" ht="27" customHeight="1" thickBot="1" x14ac:dyDescent="0.5">
      <c r="B165" s="333" t="s">
        <v>293</v>
      </c>
      <c r="C165" s="437" t="s">
        <v>569</v>
      </c>
      <c r="D165" s="438"/>
      <c r="E165" s="438"/>
      <c r="F165" s="438"/>
      <c r="G165" s="438"/>
      <c r="H165" s="438" t="s">
        <v>570</v>
      </c>
      <c r="I165" s="438"/>
      <c r="J165" s="438"/>
      <c r="K165" s="438"/>
      <c r="L165" s="438"/>
      <c r="M165" s="438"/>
      <c r="N165" s="438"/>
      <c r="O165" s="438" t="s">
        <v>573</v>
      </c>
      <c r="P165" s="438"/>
      <c r="Q165" s="438"/>
      <c r="R165" s="438"/>
      <c r="S165" s="438"/>
      <c r="T165" s="438"/>
      <c r="U165" s="438" t="s">
        <v>571</v>
      </c>
      <c r="V165" s="438"/>
      <c r="W165" s="153"/>
      <c r="X165" s="154"/>
      <c r="Y165" s="141"/>
    </row>
    <row r="166" spans="2:25" ht="27" customHeight="1" thickTop="1" x14ac:dyDescent="0.45">
      <c r="B166" s="278" t="s">
        <v>313</v>
      </c>
      <c r="C166" s="390"/>
      <c r="D166" s="390"/>
      <c r="E166" s="390"/>
      <c r="F166" s="390"/>
      <c r="G166" s="390"/>
      <c r="H166" s="390"/>
      <c r="I166" s="390"/>
      <c r="J166" s="390"/>
      <c r="K166" s="390"/>
      <c r="L166" s="390"/>
      <c r="M166" s="390"/>
      <c r="N166" s="390"/>
      <c r="O166" s="390"/>
      <c r="P166" s="390"/>
      <c r="Q166" s="390"/>
      <c r="R166" s="390"/>
      <c r="S166" s="390"/>
      <c r="T166" s="390"/>
      <c r="U166" s="390"/>
      <c r="V166" s="390"/>
      <c r="W166" s="153"/>
      <c r="X166" s="154"/>
      <c r="Y166" s="141"/>
    </row>
    <row r="167" spans="2:25" ht="27" customHeight="1" x14ac:dyDescent="0.45">
      <c r="B167" s="80" t="s">
        <v>295</v>
      </c>
      <c r="C167" s="390"/>
      <c r="D167" s="390"/>
      <c r="E167" s="390"/>
      <c r="F167" s="390"/>
      <c r="G167" s="390"/>
      <c r="H167" s="390"/>
      <c r="I167" s="390"/>
      <c r="J167" s="390"/>
      <c r="K167" s="390"/>
      <c r="L167" s="390"/>
      <c r="M167" s="390"/>
      <c r="N167" s="390"/>
      <c r="O167" s="390"/>
      <c r="P167" s="390"/>
      <c r="Q167" s="390"/>
      <c r="R167" s="390"/>
      <c r="S167" s="390"/>
      <c r="T167" s="390"/>
      <c r="U167" s="390"/>
      <c r="V167" s="390"/>
      <c r="W167" s="153"/>
      <c r="X167" s="154"/>
      <c r="Y167" s="141"/>
    </row>
    <row r="168" spans="2:25" ht="27" customHeight="1" x14ac:dyDescent="0.45">
      <c r="B168" s="80" t="s">
        <v>296</v>
      </c>
      <c r="C168" s="390"/>
      <c r="D168" s="390"/>
      <c r="E168" s="390"/>
      <c r="F168" s="390"/>
      <c r="G168" s="390"/>
      <c r="H168" s="390"/>
      <c r="I168" s="390"/>
      <c r="J168" s="390"/>
      <c r="K168" s="390"/>
      <c r="L168" s="390"/>
      <c r="M168" s="390"/>
      <c r="N168" s="390"/>
      <c r="O168" s="390"/>
      <c r="P168" s="390"/>
      <c r="Q168" s="390"/>
      <c r="R168" s="390"/>
      <c r="S168" s="390"/>
      <c r="T168" s="390"/>
      <c r="U168" s="390"/>
      <c r="V168" s="390"/>
      <c r="W168" s="153"/>
      <c r="X168" s="154"/>
      <c r="Y168" s="141"/>
    </row>
    <row r="169" spans="2:25" ht="27" customHeight="1" x14ac:dyDescent="0.45">
      <c r="B169" s="80" t="s">
        <v>297</v>
      </c>
      <c r="C169" s="390"/>
      <c r="D169" s="390"/>
      <c r="E169" s="390"/>
      <c r="F169" s="390"/>
      <c r="G169" s="390"/>
      <c r="H169" s="390"/>
      <c r="I169" s="390"/>
      <c r="J169" s="390"/>
      <c r="K169" s="390"/>
      <c r="L169" s="390"/>
      <c r="M169" s="390"/>
      <c r="N169" s="390"/>
      <c r="O169" s="390"/>
      <c r="P169" s="390"/>
      <c r="Q169" s="390"/>
      <c r="R169" s="390"/>
      <c r="S169" s="390"/>
      <c r="T169" s="390"/>
      <c r="U169" s="390"/>
      <c r="V169" s="390"/>
      <c r="W169" s="153"/>
      <c r="X169" s="154"/>
      <c r="Y169" s="141"/>
    </row>
    <row r="170" spans="2:25" ht="27" customHeight="1" x14ac:dyDescent="0.45">
      <c r="B170" s="80" t="s">
        <v>298</v>
      </c>
      <c r="C170" s="390"/>
      <c r="D170" s="390"/>
      <c r="E170" s="390"/>
      <c r="F170" s="390"/>
      <c r="G170" s="390"/>
      <c r="H170" s="390"/>
      <c r="I170" s="390"/>
      <c r="J170" s="390"/>
      <c r="K170" s="390"/>
      <c r="L170" s="390"/>
      <c r="M170" s="390"/>
      <c r="N170" s="390"/>
      <c r="O170" s="390"/>
      <c r="P170" s="390"/>
      <c r="Q170" s="390"/>
      <c r="R170" s="390"/>
      <c r="S170" s="390"/>
      <c r="T170" s="390"/>
      <c r="U170" s="390"/>
      <c r="V170" s="390"/>
      <c r="W170" s="153"/>
      <c r="X170" s="154"/>
      <c r="Y170" s="141"/>
    </row>
    <row r="171" spans="2:25" ht="27" customHeight="1" x14ac:dyDescent="0.45">
      <c r="B171" s="80" t="s">
        <v>299</v>
      </c>
      <c r="C171" s="390"/>
      <c r="D171" s="390"/>
      <c r="E171" s="390"/>
      <c r="F171" s="390"/>
      <c r="G171" s="390"/>
      <c r="H171" s="390"/>
      <c r="I171" s="390"/>
      <c r="J171" s="390"/>
      <c r="K171" s="390"/>
      <c r="L171" s="390"/>
      <c r="M171" s="390"/>
      <c r="N171" s="390"/>
      <c r="O171" s="390"/>
      <c r="P171" s="390"/>
      <c r="Q171" s="390"/>
      <c r="R171" s="390"/>
      <c r="S171" s="390"/>
      <c r="T171" s="390"/>
      <c r="U171" s="390"/>
      <c r="V171" s="390"/>
      <c r="W171" s="153"/>
      <c r="X171" s="154"/>
      <c r="Y171" s="141"/>
    </row>
    <row r="172" spans="2:25" ht="27" customHeight="1" x14ac:dyDescent="0.45">
      <c r="B172" s="80" t="s">
        <v>300</v>
      </c>
      <c r="C172" s="390"/>
      <c r="D172" s="390"/>
      <c r="E172" s="390"/>
      <c r="F172" s="390"/>
      <c r="G172" s="390"/>
      <c r="H172" s="390"/>
      <c r="I172" s="390"/>
      <c r="J172" s="390"/>
      <c r="K172" s="390"/>
      <c r="L172" s="390"/>
      <c r="M172" s="390"/>
      <c r="N172" s="390"/>
      <c r="O172" s="390"/>
      <c r="P172" s="390"/>
      <c r="Q172" s="390"/>
      <c r="R172" s="390"/>
      <c r="S172" s="390"/>
      <c r="T172" s="390"/>
      <c r="U172" s="390"/>
      <c r="V172" s="390"/>
      <c r="W172" s="153"/>
      <c r="X172" s="154"/>
      <c r="Y172" s="141"/>
    </row>
    <row r="173" spans="2:25" ht="27" customHeight="1" x14ac:dyDescent="0.45">
      <c r="B173" s="80" t="s">
        <v>301</v>
      </c>
      <c r="C173" s="390"/>
      <c r="D173" s="390"/>
      <c r="E173" s="390"/>
      <c r="F173" s="390"/>
      <c r="G173" s="390"/>
      <c r="H173" s="390"/>
      <c r="I173" s="390"/>
      <c r="J173" s="390"/>
      <c r="K173" s="390"/>
      <c r="L173" s="390"/>
      <c r="M173" s="390"/>
      <c r="N173" s="390"/>
      <c r="O173" s="390"/>
      <c r="P173" s="390"/>
      <c r="Q173" s="390"/>
      <c r="R173" s="390"/>
      <c r="S173" s="390"/>
      <c r="T173" s="390"/>
      <c r="U173" s="390"/>
      <c r="V173" s="390"/>
      <c r="W173" s="153"/>
      <c r="X173" s="154"/>
      <c r="Y173" s="141"/>
    </row>
    <row r="174" spans="2:25" ht="27" customHeight="1" x14ac:dyDescent="0.45">
      <c r="B174" s="80" t="s">
        <v>302</v>
      </c>
      <c r="C174" s="390"/>
      <c r="D174" s="390"/>
      <c r="E174" s="390"/>
      <c r="F174" s="390"/>
      <c r="G174" s="390"/>
      <c r="H174" s="390"/>
      <c r="I174" s="390"/>
      <c r="J174" s="390"/>
      <c r="K174" s="390"/>
      <c r="L174" s="390"/>
      <c r="M174" s="390"/>
      <c r="N174" s="390"/>
      <c r="O174" s="390"/>
      <c r="P174" s="390"/>
      <c r="Q174" s="390"/>
      <c r="R174" s="390"/>
      <c r="S174" s="390"/>
      <c r="T174" s="390"/>
      <c r="U174" s="390"/>
      <c r="V174" s="390"/>
      <c r="W174" s="153"/>
      <c r="X174" s="154"/>
      <c r="Y174" s="141"/>
    </row>
    <row r="175" spans="2:25" ht="27" customHeight="1" x14ac:dyDescent="0.45">
      <c r="B175" s="80" t="s">
        <v>357</v>
      </c>
      <c r="C175" s="390"/>
      <c r="D175" s="390"/>
      <c r="E175" s="390"/>
      <c r="F175" s="390"/>
      <c r="G175" s="390"/>
      <c r="H175" s="390"/>
      <c r="I175" s="390"/>
      <c r="J175" s="390"/>
      <c r="K175" s="390"/>
      <c r="L175" s="390"/>
      <c r="M175" s="390"/>
      <c r="N175" s="390"/>
      <c r="O175" s="390"/>
      <c r="P175" s="390"/>
      <c r="Q175" s="390"/>
      <c r="R175" s="390"/>
      <c r="S175" s="390"/>
      <c r="T175" s="390"/>
      <c r="U175" s="390"/>
      <c r="V175" s="390"/>
      <c r="W175" s="153"/>
      <c r="X175" s="154"/>
      <c r="Y175" s="141"/>
    </row>
    <row r="176" spans="2:25" ht="27" customHeight="1" x14ac:dyDescent="0.45">
      <c r="B176" s="80" t="s">
        <v>358</v>
      </c>
      <c r="C176" s="390"/>
      <c r="D176" s="390"/>
      <c r="E176" s="390"/>
      <c r="F176" s="390"/>
      <c r="G176" s="390"/>
      <c r="H176" s="390"/>
      <c r="I176" s="390"/>
      <c r="J176" s="390"/>
      <c r="K176" s="390"/>
      <c r="L176" s="390"/>
      <c r="M176" s="390"/>
      <c r="N176" s="390"/>
      <c r="O176" s="390"/>
      <c r="P176" s="390"/>
      <c r="Q176" s="390"/>
      <c r="R176" s="390"/>
      <c r="S176" s="390"/>
      <c r="T176" s="390"/>
      <c r="U176" s="390"/>
      <c r="V176" s="390"/>
      <c r="W176" s="153"/>
      <c r="X176" s="154"/>
      <c r="Y176" s="141"/>
    </row>
    <row r="177" spans="2:25" ht="27" customHeight="1" x14ac:dyDescent="0.45">
      <c r="B177" s="80" t="s">
        <v>359</v>
      </c>
      <c r="C177" s="390"/>
      <c r="D177" s="390"/>
      <c r="E177" s="390"/>
      <c r="F177" s="390"/>
      <c r="G177" s="390"/>
      <c r="H177" s="390"/>
      <c r="I177" s="390"/>
      <c r="J177" s="390"/>
      <c r="K177" s="390"/>
      <c r="L177" s="390"/>
      <c r="M177" s="390"/>
      <c r="N177" s="390"/>
      <c r="O177" s="390"/>
      <c r="P177" s="390"/>
      <c r="Q177" s="390"/>
      <c r="R177" s="390"/>
      <c r="S177" s="390"/>
      <c r="T177" s="390"/>
      <c r="U177" s="390"/>
      <c r="V177" s="390"/>
      <c r="W177" s="153"/>
      <c r="X177" s="154"/>
      <c r="Y177" s="141"/>
    </row>
    <row r="178" spans="2:25" ht="27" customHeight="1" x14ac:dyDescent="0.45">
      <c r="B178" s="80" t="s">
        <v>360</v>
      </c>
      <c r="C178" s="390"/>
      <c r="D178" s="390"/>
      <c r="E178" s="390"/>
      <c r="F178" s="390"/>
      <c r="G178" s="390"/>
      <c r="H178" s="390"/>
      <c r="I178" s="390"/>
      <c r="J178" s="390"/>
      <c r="K178" s="390"/>
      <c r="L178" s="390"/>
      <c r="M178" s="390"/>
      <c r="N178" s="390"/>
      <c r="O178" s="390"/>
      <c r="P178" s="390"/>
      <c r="Q178" s="390"/>
      <c r="R178" s="390"/>
      <c r="S178" s="390"/>
      <c r="T178" s="390"/>
      <c r="U178" s="390"/>
      <c r="V178" s="390"/>
      <c r="W178" s="153"/>
      <c r="X178" s="154"/>
      <c r="Y178" s="141"/>
    </row>
    <row r="179" spans="2:25" ht="27" customHeight="1" x14ac:dyDescent="0.45">
      <c r="B179" s="80" t="s">
        <v>361</v>
      </c>
      <c r="C179" s="390"/>
      <c r="D179" s="390"/>
      <c r="E179" s="390"/>
      <c r="F179" s="390"/>
      <c r="G179" s="390"/>
      <c r="H179" s="390"/>
      <c r="I179" s="390"/>
      <c r="J179" s="390"/>
      <c r="K179" s="390"/>
      <c r="L179" s="390"/>
      <c r="M179" s="390"/>
      <c r="N179" s="390"/>
      <c r="O179" s="390"/>
      <c r="P179" s="390"/>
      <c r="Q179" s="390"/>
      <c r="R179" s="390"/>
      <c r="S179" s="390"/>
      <c r="T179" s="390"/>
      <c r="U179" s="390"/>
      <c r="V179" s="390"/>
      <c r="W179" s="153"/>
      <c r="X179" s="154"/>
      <c r="Y179" s="141"/>
    </row>
    <row r="180" spans="2:25" ht="27" customHeight="1" x14ac:dyDescent="0.45">
      <c r="B180" s="80" t="s">
        <v>362</v>
      </c>
      <c r="C180" s="390"/>
      <c r="D180" s="390"/>
      <c r="E180" s="390"/>
      <c r="F180" s="390"/>
      <c r="G180" s="390"/>
      <c r="H180" s="390"/>
      <c r="I180" s="390"/>
      <c r="J180" s="390"/>
      <c r="K180" s="390"/>
      <c r="L180" s="390"/>
      <c r="M180" s="390"/>
      <c r="N180" s="390"/>
      <c r="O180" s="390"/>
      <c r="P180" s="390"/>
      <c r="Q180" s="390"/>
      <c r="R180" s="390"/>
      <c r="S180" s="390"/>
      <c r="T180" s="390"/>
      <c r="U180" s="390"/>
      <c r="V180" s="390"/>
      <c r="W180" s="153"/>
      <c r="X180" s="154"/>
      <c r="Y180" s="141"/>
    </row>
    <row r="181" spans="2:25" ht="27" customHeight="1" x14ac:dyDescent="0.45">
      <c r="B181" s="80" t="s">
        <v>363</v>
      </c>
      <c r="C181" s="390"/>
      <c r="D181" s="390"/>
      <c r="E181" s="390"/>
      <c r="F181" s="390"/>
      <c r="G181" s="390"/>
      <c r="H181" s="390"/>
      <c r="I181" s="390"/>
      <c r="J181" s="390"/>
      <c r="K181" s="390"/>
      <c r="L181" s="390"/>
      <c r="M181" s="390"/>
      <c r="N181" s="390"/>
      <c r="O181" s="390"/>
      <c r="P181" s="390"/>
      <c r="Q181" s="390"/>
      <c r="R181" s="390"/>
      <c r="S181" s="390"/>
      <c r="T181" s="390"/>
      <c r="U181" s="390"/>
      <c r="V181" s="390"/>
      <c r="W181" s="153"/>
      <c r="X181" s="154"/>
      <c r="Y181" s="141"/>
    </row>
    <row r="182" spans="2:25" ht="27" customHeight="1" x14ac:dyDescent="0.45">
      <c r="B182" s="80" t="s">
        <v>364</v>
      </c>
      <c r="C182" s="390"/>
      <c r="D182" s="390"/>
      <c r="E182" s="390"/>
      <c r="F182" s="390"/>
      <c r="G182" s="390"/>
      <c r="H182" s="390"/>
      <c r="I182" s="390"/>
      <c r="J182" s="390"/>
      <c r="K182" s="390"/>
      <c r="L182" s="390"/>
      <c r="M182" s="390"/>
      <c r="N182" s="390"/>
      <c r="O182" s="390"/>
      <c r="P182" s="390"/>
      <c r="Q182" s="390"/>
      <c r="R182" s="390"/>
      <c r="S182" s="390"/>
      <c r="T182" s="390"/>
      <c r="U182" s="390"/>
      <c r="V182" s="390"/>
      <c r="W182" s="153"/>
      <c r="X182" s="154"/>
      <c r="Y182" s="141"/>
    </row>
    <row r="183" spans="2:25" ht="27" customHeight="1" x14ac:dyDescent="0.45">
      <c r="B183" s="80" t="s">
        <v>365</v>
      </c>
      <c r="C183" s="390"/>
      <c r="D183" s="390"/>
      <c r="E183" s="390"/>
      <c r="F183" s="390"/>
      <c r="G183" s="390"/>
      <c r="H183" s="390"/>
      <c r="I183" s="390"/>
      <c r="J183" s="390"/>
      <c r="K183" s="390"/>
      <c r="L183" s="390"/>
      <c r="M183" s="390"/>
      <c r="N183" s="390"/>
      <c r="O183" s="390"/>
      <c r="P183" s="390"/>
      <c r="Q183" s="390"/>
      <c r="R183" s="390"/>
      <c r="S183" s="390"/>
      <c r="T183" s="390"/>
      <c r="U183" s="390"/>
      <c r="V183" s="390"/>
      <c r="W183" s="153"/>
      <c r="X183" s="154"/>
      <c r="Y183" s="141"/>
    </row>
    <row r="184" spans="2:25" ht="27" customHeight="1" x14ac:dyDescent="0.45">
      <c r="B184" s="80" t="s">
        <v>366</v>
      </c>
      <c r="C184" s="416"/>
      <c r="D184" s="416"/>
      <c r="E184" s="416"/>
      <c r="F184" s="416"/>
      <c r="G184" s="416"/>
      <c r="H184" s="416"/>
      <c r="I184" s="416"/>
      <c r="J184" s="416"/>
      <c r="K184" s="416"/>
      <c r="L184" s="416"/>
      <c r="M184" s="416"/>
      <c r="N184" s="416"/>
      <c r="O184" s="416"/>
      <c r="P184" s="416"/>
      <c r="Q184" s="416"/>
      <c r="R184" s="416"/>
      <c r="S184" s="416"/>
      <c r="T184" s="416"/>
      <c r="U184" s="416"/>
      <c r="V184" s="416"/>
      <c r="W184" s="153"/>
      <c r="X184" s="154"/>
      <c r="Y184" s="141"/>
    </row>
    <row r="185" spans="2:25" ht="20.25" thickBot="1" x14ac:dyDescent="0.5">
      <c r="B185" s="212"/>
      <c r="C185" s="82"/>
      <c r="D185" s="82"/>
      <c r="E185" s="82"/>
      <c r="F185" s="82"/>
      <c r="G185" s="82"/>
      <c r="H185" s="82"/>
      <c r="I185" s="83"/>
      <c r="J185" s="83"/>
      <c r="K185" s="83"/>
      <c r="L185" s="83"/>
      <c r="M185" s="274"/>
      <c r="N185" s="139"/>
      <c r="O185" s="139"/>
      <c r="P185" s="139"/>
      <c r="Q185" s="139"/>
      <c r="R185" s="139"/>
      <c r="S185" s="139"/>
      <c r="T185" s="139"/>
      <c r="U185" s="139"/>
      <c r="V185" s="139"/>
      <c r="W185" s="139"/>
      <c r="X185" s="139"/>
    </row>
    <row r="186" spans="2:25" ht="27" customHeight="1" thickTop="1" thickBot="1" x14ac:dyDescent="0.5">
      <c r="B186" s="285" t="s">
        <v>181</v>
      </c>
      <c r="C186" s="408" t="s">
        <v>123</v>
      </c>
      <c r="D186" s="409"/>
      <c r="E186" s="409"/>
      <c r="F186" s="409"/>
      <c r="G186" s="409"/>
      <c r="H186" s="410" t="s">
        <v>124</v>
      </c>
      <c r="I186" s="410"/>
      <c r="J186" s="410"/>
      <c r="K186" s="410"/>
      <c r="L186" s="410"/>
      <c r="M186" s="410"/>
      <c r="N186" s="410"/>
      <c r="O186" s="407" t="s">
        <v>282</v>
      </c>
      <c r="P186" s="407"/>
      <c r="Q186" s="407"/>
      <c r="R186" s="407"/>
      <c r="S186" s="407"/>
      <c r="T186" s="407"/>
      <c r="U186" s="405" t="s">
        <v>179</v>
      </c>
      <c r="V186" s="406"/>
      <c r="W186" s="446" t="s">
        <v>198</v>
      </c>
      <c r="X186" s="447"/>
    </row>
    <row r="187" spans="2:25" ht="27" customHeight="1" thickTop="1" thickBot="1" x14ac:dyDescent="0.5">
      <c r="B187" s="334" t="s">
        <v>303</v>
      </c>
      <c r="C187" s="437" t="s">
        <v>569</v>
      </c>
      <c r="D187" s="438"/>
      <c r="E187" s="438"/>
      <c r="F187" s="438"/>
      <c r="G187" s="438"/>
      <c r="H187" s="438" t="s">
        <v>572</v>
      </c>
      <c r="I187" s="438"/>
      <c r="J187" s="438"/>
      <c r="K187" s="438"/>
      <c r="L187" s="438"/>
      <c r="M187" s="438"/>
      <c r="N187" s="438"/>
      <c r="O187" s="438" t="s">
        <v>574</v>
      </c>
      <c r="P187" s="438"/>
      <c r="Q187" s="438"/>
      <c r="R187" s="438"/>
      <c r="S187" s="438"/>
      <c r="T187" s="438"/>
      <c r="U187" s="438" t="s">
        <v>571</v>
      </c>
      <c r="V187" s="439"/>
      <c r="W187" s="448" t="s">
        <v>244</v>
      </c>
      <c r="X187" s="449"/>
    </row>
    <row r="188" spans="2:25" ht="27" customHeight="1" thickTop="1" x14ac:dyDescent="0.45">
      <c r="B188" s="284" t="s">
        <v>314</v>
      </c>
      <c r="C188" s="390"/>
      <c r="D188" s="390"/>
      <c r="E188" s="390"/>
      <c r="F188" s="390"/>
      <c r="G188" s="390"/>
      <c r="H188" s="390"/>
      <c r="I188" s="390"/>
      <c r="J188" s="390"/>
      <c r="K188" s="390"/>
      <c r="L188" s="390"/>
      <c r="M188" s="390"/>
      <c r="N188" s="390"/>
      <c r="O188" s="390"/>
      <c r="P188" s="390"/>
      <c r="Q188" s="390"/>
      <c r="R188" s="390"/>
      <c r="S188" s="390"/>
      <c r="T188" s="390"/>
      <c r="U188" s="390"/>
      <c r="V188" s="390"/>
      <c r="W188" s="450"/>
      <c r="X188" s="451"/>
    </row>
    <row r="189" spans="2:25" ht="27" customHeight="1" x14ac:dyDescent="0.45">
      <c r="B189" s="142" t="s">
        <v>305</v>
      </c>
      <c r="C189" s="390"/>
      <c r="D189" s="390"/>
      <c r="E189" s="390"/>
      <c r="F189" s="390"/>
      <c r="G189" s="390"/>
      <c r="H189" s="390"/>
      <c r="I189" s="390"/>
      <c r="J189" s="390"/>
      <c r="K189" s="390"/>
      <c r="L189" s="390"/>
      <c r="M189" s="390"/>
      <c r="N189" s="390"/>
      <c r="O189" s="390"/>
      <c r="P189" s="390"/>
      <c r="Q189" s="390"/>
      <c r="R189" s="390"/>
      <c r="S189" s="390"/>
      <c r="T189" s="390"/>
      <c r="U189" s="390"/>
      <c r="V189" s="390"/>
      <c r="W189" s="419"/>
      <c r="X189" s="420"/>
    </row>
    <row r="190" spans="2:25" ht="27" customHeight="1" x14ac:dyDescent="0.45">
      <c r="B190" s="142" t="s">
        <v>306</v>
      </c>
      <c r="C190" s="390"/>
      <c r="D190" s="390"/>
      <c r="E190" s="390"/>
      <c r="F190" s="390"/>
      <c r="G190" s="390"/>
      <c r="H190" s="390"/>
      <c r="I190" s="390"/>
      <c r="J190" s="390"/>
      <c r="K190" s="390"/>
      <c r="L190" s="390"/>
      <c r="M190" s="390"/>
      <c r="N190" s="390"/>
      <c r="O190" s="390"/>
      <c r="P190" s="390"/>
      <c r="Q190" s="390"/>
      <c r="R190" s="390"/>
      <c r="S190" s="390"/>
      <c r="T190" s="390"/>
      <c r="U190" s="390"/>
      <c r="V190" s="390"/>
      <c r="W190" s="419"/>
      <c r="X190" s="420"/>
    </row>
    <row r="191" spans="2:25" ht="27" customHeight="1" x14ac:dyDescent="0.45">
      <c r="B191" s="142" t="s">
        <v>307</v>
      </c>
      <c r="C191" s="390"/>
      <c r="D191" s="390"/>
      <c r="E191" s="390"/>
      <c r="F191" s="390"/>
      <c r="G191" s="390"/>
      <c r="H191" s="390"/>
      <c r="I191" s="390"/>
      <c r="J191" s="390"/>
      <c r="K191" s="390"/>
      <c r="L191" s="390"/>
      <c r="M191" s="390"/>
      <c r="N191" s="390"/>
      <c r="O191" s="390"/>
      <c r="P191" s="390"/>
      <c r="Q191" s="390"/>
      <c r="R191" s="390"/>
      <c r="S191" s="390"/>
      <c r="T191" s="390"/>
      <c r="U191" s="390"/>
      <c r="V191" s="390"/>
      <c r="W191" s="419"/>
      <c r="X191" s="420"/>
    </row>
    <row r="192" spans="2:25" ht="27" customHeight="1" x14ac:dyDescent="0.45">
      <c r="B192" s="142" t="s">
        <v>308</v>
      </c>
      <c r="C192" s="390"/>
      <c r="D192" s="390"/>
      <c r="E192" s="390"/>
      <c r="F192" s="390"/>
      <c r="G192" s="390"/>
      <c r="H192" s="390"/>
      <c r="I192" s="390"/>
      <c r="J192" s="390"/>
      <c r="K192" s="390"/>
      <c r="L192" s="390"/>
      <c r="M192" s="390"/>
      <c r="N192" s="390"/>
      <c r="O192" s="390"/>
      <c r="P192" s="390"/>
      <c r="Q192" s="390"/>
      <c r="R192" s="390"/>
      <c r="S192" s="390"/>
      <c r="T192" s="390"/>
      <c r="U192" s="390"/>
      <c r="V192" s="390"/>
      <c r="W192" s="419"/>
      <c r="X192" s="420"/>
    </row>
    <row r="193" spans="2:24" ht="27" customHeight="1" x14ac:dyDescent="0.45">
      <c r="B193" s="142" t="s">
        <v>309</v>
      </c>
      <c r="C193" s="390"/>
      <c r="D193" s="390"/>
      <c r="E193" s="390"/>
      <c r="F193" s="390"/>
      <c r="G193" s="390"/>
      <c r="H193" s="390"/>
      <c r="I193" s="390"/>
      <c r="J193" s="390"/>
      <c r="K193" s="390"/>
      <c r="L193" s="390"/>
      <c r="M193" s="390"/>
      <c r="N193" s="390"/>
      <c r="O193" s="390"/>
      <c r="P193" s="390"/>
      <c r="Q193" s="390"/>
      <c r="R193" s="390"/>
      <c r="S193" s="390"/>
      <c r="T193" s="390"/>
      <c r="U193" s="390"/>
      <c r="V193" s="390"/>
      <c r="W193" s="419"/>
      <c r="X193" s="420"/>
    </row>
    <row r="194" spans="2:24" ht="27" customHeight="1" x14ac:dyDescent="0.45">
      <c r="B194" s="142" t="s">
        <v>310</v>
      </c>
      <c r="C194" s="390"/>
      <c r="D194" s="390"/>
      <c r="E194" s="390"/>
      <c r="F194" s="390"/>
      <c r="G194" s="390"/>
      <c r="H194" s="390"/>
      <c r="I194" s="390"/>
      <c r="J194" s="390"/>
      <c r="K194" s="390"/>
      <c r="L194" s="390"/>
      <c r="M194" s="390"/>
      <c r="N194" s="390"/>
      <c r="O194" s="390"/>
      <c r="P194" s="390"/>
      <c r="Q194" s="390"/>
      <c r="R194" s="390"/>
      <c r="S194" s="390"/>
      <c r="T194" s="390"/>
      <c r="U194" s="390"/>
      <c r="V194" s="390"/>
      <c r="W194" s="419"/>
      <c r="X194" s="420"/>
    </row>
    <row r="195" spans="2:24" ht="27" customHeight="1" x14ac:dyDescent="0.45">
      <c r="B195" s="142" t="s">
        <v>311</v>
      </c>
      <c r="C195" s="390"/>
      <c r="D195" s="390"/>
      <c r="E195" s="390"/>
      <c r="F195" s="390"/>
      <c r="G195" s="390"/>
      <c r="H195" s="390"/>
      <c r="I195" s="390"/>
      <c r="J195" s="390"/>
      <c r="K195" s="390"/>
      <c r="L195" s="390"/>
      <c r="M195" s="390"/>
      <c r="N195" s="390"/>
      <c r="O195" s="390"/>
      <c r="P195" s="390"/>
      <c r="Q195" s="390"/>
      <c r="R195" s="390"/>
      <c r="S195" s="390"/>
      <c r="T195" s="390"/>
      <c r="U195" s="390"/>
      <c r="V195" s="390"/>
      <c r="W195" s="419"/>
      <c r="X195" s="420"/>
    </row>
    <row r="196" spans="2:24" ht="27" customHeight="1" x14ac:dyDescent="0.45">
      <c r="B196" s="142" t="s">
        <v>312</v>
      </c>
      <c r="C196" s="390"/>
      <c r="D196" s="390"/>
      <c r="E196" s="390"/>
      <c r="F196" s="390"/>
      <c r="G196" s="390"/>
      <c r="H196" s="390"/>
      <c r="I196" s="390"/>
      <c r="J196" s="390"/>
      <c r="K196" s="390"/>
      <c r="L196" s="390"/>
      <c r="M196" s="390"/>
      <c r="N196" s="390"/>
      <c r="O196" s="390"/>
      <c r="P196" s="390"/>
      <c r="Q196" s="390"/>
      <c r="R196" s="390"/>
      <c r="S196" s="390"/>
      <c r="T196" s="390"/>
      <c r="U196" s="390"/>
      <c r="V196" s="390"/>
      <c r="W196" s="419"/>
      <c r="X196" s="420"/>
    </row>
    <row r="197" spans="2:24" ht="27" customHeight="1" x14ac:dyDescent="0.45">
      <c r="B197" s="142" t="s">
        <v>367</v>
      </c>
      <c r="C197" s="390"/>
      <c r="D197" s="390"/>
      <c r="E197" s="390"/>
      <c r="F197" s="390"/>
      <c r="G197" s="390"/>
      <c r="H197" s="390"/>
      <c r="I197" s="390"/>
      <c r="J197" s="390"/>
      <c r="K197" s="390"/>
      <c r="L197" s="390"/>
      <c r="M197" s="390"/>
      <c r="N197" s="390"/>
      <c r="O197" s="390"/>
      <c r="P197" s="390"/>
      <c r="Q197" s="390"/>
      <c r="R197" s="390"/>
      <c r="S197" s="390"/>
      <c r="T197" s="390"/>
      <c r="U197" s="390"/>
      <c r="V197" s="390"/>
      <c r="W197" s="419"/>
      <c r="X197" s="420"/>
    </row>
    <row r="198" spans="2:24" ht="27" customHeight="1" x14ac:dyDescent="0.45">
      <c r="B198" s="142" t="s">
        <v>368</v>
      </c>
      <c r="C198" s="390"/>
      <c r="D198" s="390"/>
      <c r="E198" s="390"/>
      <c r="F198" s="390"/>
      <c r="G198" s="390"/>
      <c r="H198" s="390"/>
      <c r="I198" s="390"/>
      <c r="J198" s="390"/>
      <c r="K198" s="390"/>
      <c r="L198" s="390"/>
      <c r="M198" s="390"/>
      <c r="N198" s="390"/>
      <c r="O198" s="390"/>
      <c r="P198" s="390"/>
      <c r="Q198" s="390"/>
      <c r="R198" s="390"/>
      <c r="S198" s="390"/>
      <c r="T198" s="390"/>
      <c r="U198" s="390"/>
      <c r="V198" s="390"/>
      <c r="W198" s="419"/>
      <c r="X198" s="420"/>
    </row>
    <row r="199" spans="2:24" ht="27" customHeight="1" x14ac:dyDescent="0.45">
      <c r="B199" s="142" t="s">
        <v>369</v>
      </c>
      <c r="C199" s="390"/>
      <c r="D199" s="390"/>
      <c r="E199" s="390"/>
      <c r="F199" s="390"/>
      <c r="G199" s="390"/>
      <c r="H199" s="390"/>
      <c r="I199" s="390"/>
      <c r="J199" s="390"/>
      <c r="K199" s="390"/>
      <c r="L199" s="390"/>
      <c r="M199" s="390"/>
      <c r="N199" s="390"/>
      <c r="O199" s="390"/>
      <c r="P199" s="390"/>
      <c r="Q199" s="390"/>
      <c r="R199" s="390"/>
      <c r="S199" s="390"/>
      <c r="T199" s="390"/>
      <c r="U199" s="390"/>
      <c r="V199" s="390"/>
      <c r="W199" s="419"/>
      <c r="X199" s="420"/>
    </row>
    <row r="200" spans="2:24" ht="27" customHeight="1" x14ac:dyDescent="0.45">
      <c r="B200" s="142" t="s">
        <v>370</v>
      </c>
      <c r="C200" s="390"/>
      <c r="D200" s="390"/>
      <c r="E200" s="390"/>
      <c r="F200" s="390"/>
      <c r="G200" s="390"/>
      <c r="H200" s="390"/>
      <c r="I200" s="390"/>
      <c r="J200" s="390"/>
      <c r="K200" s="390"/>
      <c r="L200" s="390"/>
      <c r="M200" s="390"/>
      <c r="N200" s="390"/>
      <c r="O200" s="390"/>
      <c r="P200" s="390"/>
      <c r="Q200" s="390"/>
      <c r="R200" s="390"/>
      <c r="S200" s="390"/>
      <c r="T200" s="390"/>
      <c r="U200" s="390"/>
      <c r="V200" s="390"/>
      <c r="W200" s="419"/>
      <c r="X200" s="420"/>
    </row>
    <row r="201" spans="2:24" ht="27" customHeight="1" x14ac:dyDescent="0.45">
      <c r="B201" s="142" t="s">
        <v>371</v>
      </c>
      <c r="C201" s="390"/>
      <c r="D201" s="390"/>
      <c r="E201" s="390"/>
      <c r="F201" s="390"/>
      <c r="G201" s="390"/>
      <c r="H201" s="390"/>
      <c r="I201" s="390"/>
      <c r="J201" s="390"/>
      <c r="K201" s="390"/>
      <c r="L201" s="390"/>
      <c r="M201" s="390"/>
      <c r="N201" s="390"/>
      <c r="O201" s="390"/>
      <c r="P201" s="390"/>
      <c r="Q201" s="390"/>
      <c r="R201" s="390"/>
      <c r="S201" s="390"/>
      <c r="T201" s="390"/>
      <c r="U201" s="390"/>
      <c r="V201" s="390"/>
      <c r="W201" s="419"/>
      <c r="X201" s="420"/>
    </row>
    <row r="202" spans="2:24" ht="27" customHeight="1" x14ac:dyDescent="0.45">
      <c r="B202" s="142" t="s">
        <v>372</v>
      </c>
      <c r="C202" s="390"/>
      <c r="D202" s="390"/>
      <c r="E202" s="390"/>
      <c r="F202" s="390"/>
      <c r="G202" s="390"/>
      <c r="H202" s="390"/>
      <c r="I202" s="390"/>
      <c r="J202" s="390"/>
      <c r="K202" s="390"/>
      <c r="L202" s="390"/>
      <c r="M202" s="390"/>
      <c r="N202" s="390"/>
      <c r="O202" s="390"/>
      <c r="P202" s="390"/>
      <c r="Q202" s="390"/>
      <c r="R202" s="390"/>
      <c r="S202" s="390"/>
      <c r="T202" s="390"/>
      <c r="U202" s="390"/>
      <c r="V202" s="390"/>
      <c r="W202" s="419"/>
      <c r="X202" s="420"/>
    </row>
    <row r="203" spans="2:24" ht="27" customHeight="1" x14ac:dyDescent="0.45">
      <c r="B203" s="142" t="s">
        <v>373</v>
      </c>
      <c r="C203" s="390"/>
      <c r="D203" s="390"/>
      <c r="E203" s="390"/>
      <c r="F203" s="390"/>
      <c r="G203" s="390"/>
      <c r="H203" s="390"/>
      <c r="I203" s="390"/>
      <c r="J203" s="390"/>
      <c r="K203" s="390"/>
      <c r="L203" s="390"/>
      <c r="M203" s="390"/>
      <c r="N203" s="390"/>
      <c r="O203" s="390"/>
      <c r="P203" s="390"/>
      <c r="Q203" s="390"/>
      <c r="R203" s="390"/>
      <c r="S203" s="390"/>
      <c r="T203" s="390"/>
      <c r="U203" s="390"/>
      <c r="V203" s="390"/>
      <c r="W203" s="419"/>
      <c r="X203" s="420"/>
    </row>
    <row r="204" spans="2:24" ht="27" customHeight="1" x14ac:dyDescent="0.45">
      <c r="B204" s="142" t="s">
        <v>374</v>
      </c>
      <c r="C204" s="390"/>
      <c r="D204" s="390"/>
      <c r="E204" s="390"/>
      <c r="F204" s="390"/>
      <c r="G204" s="390"/>
      <c r="H204" s="390"/>
      <c r="I204" s="390"/>
      <c r="J204" s="390"/>
      <c r="K204" s="390"/>
      <c r="L204" s="390"/>
      <c r="M204" s="390"/>
      <c r="N204" s="390"/>
      <c r="O204" s="390"/>
      <c r="P204" s="390"/>
      <c r="Q204" s="390"/>
      <c r="R204" s="390"/>
      <c r="S204" s="390"/>
      <c r="T204" s="390"/>
      <c r="U204" s="390"/>
      <c r="V204" s="390"/>
      <c r="W204" s="419"/>
      <c r="X204" s="420"/>
    </row>
    <row r="205" spans="2:24" ht="27" customHeight="1" x14ac:dyDescent="0.45">
      <c r="B205" s="142" t="s">
        <v>375</v>
      </c>
      <c r="C205" s="390"/>
      <c r="D205" s="390"/>
      <c r="E205" s="390"/>
      <c r="F205" s="390"/>
      <c r="G205" s="390"/>
      <c r="H205" s="390"/>
      <c r="I205" s="390"/>
      <c r="J205" s="390"/>
      <c r="K205" s="390"/>
      <c r="L205" s="390"/>
      <c r="M205" s="390"/>
      <c r="N205" s="390"/>
      <c r="O205" s="390"/>
      <c r="P205" s="390"/>
      <c r="Q205" s="390"/>
      <c r="R205" s="390"/>
      <c r="S205" s="390"/>
      <c r="T205" s="390"/>
      <c r="U205" s="390"/>
      <c r="V205" s="390"/>
      <c r="W205" s="419"/>
      <c r="X205" s="420"/>
    </row>
    <row r="206" spans="2:24" ht="27" customHeight="1" x14ac:dyDescent="0.45">
      <c r="B206" s="143" t="s">
        <v>376</v>
      </c>
      <c r="C206" s="416"/>
      <c r="D206" s="416"/>
      <c r="E206" s="416"/>
      <c r="F206" s="416"/>
      <c r="G206" s="416"/>
      <c r="H206" s="416"/>
      <c r="I206" s="416"/>
      <c r="J206" s="416"/>
      <c r="K206" s="416"/>
      <c r="L206" s="416"/>
      <c r="M206" s="416"/>
      <c r="N206" s="416"/>
      <c r="O206" s="416"/>
      <c r="P206" s="416"/>
      <c r="Q206" s="416"/>
      <c r="R206" s="416"/>
      <c r="S206" s="416"/>
      <c r="T206" s="416"/>
      <c r="U206" s="416"/>
      <c r="V206" s="416"/>
      <c r="W206" s="421"/>
      <c r="X206" s="422"/>
    </row>
    <row r="207" spans="2:24" x14ac:dyDescent="0.45">
      <c r="B207" s="35"/>
      <c r="C207" s="36"/>
    </row>
  </sheetData>
  <sheetProtection password="DFA8" sheet="1" objects="1" scenarios="1" selectLockedCells="1" selectUnlockedCells="1"/>
  <mergeCells count="423">
    <mergeCell ref="B34:C34"/>
    <mergeCell ref="B35:C35"/>
    <mergeCell ref="B36:C36"/>
    <mergeCell ref="B37:C37"/>
    <mergeCell ref="B41:C41"/>
    <mergeCell ref="B42:C42"/>
    <mergeCell ref="F27:G27"/>
    <mergeCell ref="H27:O27"/>
    <mergeCell ref="B30:C30"/>
    <mergeCell ref="B31:C31"/>
    <mergeCell ref="B32:C32"/>
    <mergeCell ref="B33:C33"/>
    <mergeCell ref="B49:C49"/>
    <mergeCell ref="B52:C52"/>
    <mergeCell ref="B53:C53"/>
    <mergeCell ref="C70:G70"/>
    <mergeCell ref="H70:N70"/>
    <mergeCell ref="O70:T70"/>
    <mergeCell ref="B43:C43"/>
    <mergeCell ref="B44:C44"/>
    <mergeCell ref="B45:C45"/>
    <mergeCell ref="B46:C46"/>
    <mergeCell ref="B47:C47"/>
    <mergeCell ref="B48:C48"/>
    <mergeCell ref="C73:G73"/>
    <mergeCell ref="H73:N73"/>
    <mergeCell ref="O73:T73"/>
    <mergeCell ref="U73:V73"/>
    <mergeCell ref="C74:G74"/>
    <mergeCell ref="H74:N74"/>
    <mergeCell ref="O74:T74"/>
    <mergeCell ref="U74:V74"/>
    <mergeCell ref="U70:V70"/>
    <mergeCell ref="C71:G71"/>
    <mergeCell ref="H71:N71"/>
    <mergeCell ref="O71:T71"/>
    <mergeCell ref="U71:V71"/>
    <mergeCell ref="C72:G72"/>
    <mergeCell ref="H72:N72"/>
    <mergeCell ref="O72:T72"/>
    <mergeCell ref="U72:V72"/>
    <mergeCell ref="C77:G77"/>
    <mergeCell ref="H77:N77"/>
    <mergeCell ref="O77:T77"/>
    <mergeCell ref="U77:V77"/>
    <mergeCell ref="C78:G78"/>
    <mergeCell ref="H78:N78"/>
    <mergeCell ref="O78:T78"/>
    <mergeCell ref="U78:V78"/>
    <mergeCell ref="C75:G75"/>
    <mergeCell ref="H75:N75"/>
    <mergeCell ref="O75:T75"/>
    <mergeCell ref="U75:V75"/>
    <mergeCell ref="C76:G76"/>
    <mergeCell ref="H76:N76"/>
    <mergeCell ref="O76:T76"/>
    <mergeCell ref="U76:V76"/>
    <mergeCell ref="C81:G81"/>
    <mergeCell ref="H81:N81"/>
    <mergeCell ref="O81:T81"/>
    <mergeCell ref="U81:V81"/>
    <mergeCell ref="C82:G82"/>
    <mergeCell ref="H82:N82"/>
    <mergeCell ref="O82:T82"/>
    <mergeCell ref="U82:V82"/>
    <mergeCell ref="C79:G79"/>
    <mergeCell ref="H79:N79"/>
    <mergeCell ref="O79:T79"/>
    <mergeCell ref="U79:V79"/>
    <mergeCell ref="C80:G80"/>
    <mergeCell ref="H80:N80"/>
    <mergeCell ref="O80:T80"/>
    <mergeCell ref="U80:V80"/>
    <mergeCell ref="C85:G85"/>
    <mergeCell ref="H85:N85"/>
    <mergeCell ref="O85:T85"/>
    <mergeCell ref="U85:V85"/>
    <mergeCell ref="C86:G86"/>
    <mergeCell ref="H86:N86"/>
    <mergeCell ref="O86:T86"/>
    <mergeCell ref="U86:V86"/>
    <mergeCell ref="C83:G83"/>
    <mergeCell ref="H83:N83"/>
    <mergeCell ref="O83:T83"/>
    <mergeCell ref="U83:V83"/>
    <mergeCell ref="C84:G84"/>
    <mergeCell ref="H84:N84"/>
    <mergeCell ref="O84:T84"/>
    <mergeCell ref="U84:V84"/>
    <mergeCell ref="C89:G89"/>
    <mergeCell ref="H89:N89"/>
    <mergeCell ref="O89:T89"/>
    <mergeCell ref="U89:V89"/>
    <mergeCell ref="C90:G90"/>
    <mergeCell ref="H90:N90"/>
    <mergeCell ref="O90:T90"/>
    <mergeCell ref="U90:V90"/>
    <mergeCell ref="C87:G87"/>
    <mergeCell ref="H87:N87"/>
    <mergeCell ref="O87:T87"/>
    <mergeCell ref="U87:V87"/>
    <mergeCell ref="C88:G88"/>
    <mergeCell ref="H88:N88"/>
    <mergeCell ref="O88:T88"/>
    <mergeCell ref="U88:V88"/>
    <mergeCell ref="C92:G92"/>
    <mergeCell ref="H92:N92"/>
    <mergeCell ref="O92:T92"/>
    <mergeCell ref="U92:V92"/>
    <mergeCell ref="W92:X92"/>
    <mergeCell ref="C93:G93"/>
    <mergeCell ref="H93:N93"/>
    <mergeCell ref="O93:T93"/>
    <mergeCell ref="U93:V93"/>
    <mergeCell ref="W93:X93"/>
    <mergeCell ref="C94:G94"/>
    <mergeCell ref="H94:N94"/>
    <mergeCell ref="O94:T94"/>
    <mergeCell ref="U94:V94"/>
    <mergeCell ref="W94:X94"/>
    <mergeCell ref="C95:G95"/>
    <mergeCell ref="H95:N95"/>
    <mergeCell ref="O95:T95"/>
    <mergeCell ref="U95:V95"/>
    <mergeCell ref="W95:X95"/>
    <mergeCell ref="C96:G96"/>
    <mergeCell ref="H96:N96"/>
    <mergeCell ref="O96:T96"/>
    <mergeCell ref="U96:V96"/>
    <mergeCell ref="W96:X96"/>
    <mergeCell ref="C97:G97"/>
    <mergeCell ref="H97:N97"/>
    <mergeCell ref="O97:T97"/>
    <mergeCell ref="U97:V97"/>
    <mergeCell ref="W97:X97"/>
    <mergeCell ref="C98:G98"/>
    <mergeCell ref="H98:N98"/>
    <mergeCell ref="O98:T98"/>
    <mergeCell ref="U98:V98"/>
    <mergeCell ref="W98:X98"/>
    <mergeCell ref="C99:G99"/>
    <mergeCell ref="H99:N99"/>
    <mergeCell ref="O99:T99"/>
    <mergeCell ref="U99:V99"/>
    <mergeCell ref="W99:X99"/>
    <mergeCell ref="C100:G100"/>
    <mergeCell ref="H100:N100"/>
    <mergeCell ref="O100:T100"/>
    <mergeCell ref="U100:V100"/>
    <mergeCell ref="W100:X100"/>
    <mergeCell ref="C101:G101"/>
    <mergeCell ref="H101:N101"/>
    <mergeCell ref="O101:T101"/>
    <mergeCell ref="U101:V101"/>
    <mergeCell ref="W101:X101"/>
    <mergeCell ref="C102:G102"/>
    <mergeCell ref="H102:N102"/>
    <mergeCell ref="O102:T102"/>
    <mergeCell ref="U102:V102"/>
    <mergeCell ref="W102:X102"/>
    <mergeCell ref="C103:G103"/>
    <mergeCell ref="H103:N103"/>
    <mergeCell ref="O103:T103"/>
    <mergeCell ref="U103:V103"/>
    <mergeCell ref="W103:X103"/>
    <mergeCell ref="C104:G104"/>
    <mergeCell ref="H104:N104"/>
    <mergeCell ref="O104:T104"/>
    <mergeCell ref="U104:V104"/>
    <mergeCell ref="W104:X104"/>
    <mergeCell ref="C105:G105"/>
    <mergeCell ref="H105:N105"/>
    <mergeCell ref="O105:T105"/>
    <mergeCell ref="U105:V105"/>
    <mergeCell ref="W105:X105"/>
    <mergeCell ref="C106:G106"/>
    <mergeCell ref="H106:N106"/>
    <mergeCell ref="O106:T106"/>
    <mergeCell ref="U106:V106"/>
    <mergeCell ref="W106:X106"/>
    <mergeCell ref="C107:G107"/>
    <mergeCell ref="H107:N107"/>
    <mergeCell ref="O107:T107"/>
    <mergeCell ref="U107:V107"/>
    <mergeCell ref="W107:X107"/>
    <mergeCell ref="C108:G108"/>
    <mergeCell ref="H108:N108"/>
    <mergeCell ref="O108:T108"/>
    <mergeCell ref="U108:V108"/>
    <mergeCell ref="W108:X108"/>
    <mergeCell ref="C109:G109"/>
    <mergeCell ref="H109:N109"/>
    <mergeCell ref="O109:T109"/>
    <mergeCell ref="U109:V109"/>
    <mergeCell ref="W109:X109"/>
    <mergeCell ref="C112:G112"/>
    <mergeCell ref="H112:N112"/>
    <mergeCell ref="O112:T112"/>
    <mergeCell ref="U112:V112"/>
    <mergeCell ref="W112:X112"/>
    <mergeCell ref="B115:F115"/>
    <mergeCell ref="G115:H115"/>
    <mergeCell ref="C110:G110"/>
    <mergeCell ref="H110:N110"/>
    <mergeCell ref="O110:T110"/>
    <mergeCell ref="U110:V110"/>
    <mergeCell ref="W110:X110"/>
    <mergeCell ref="C111:G111"/>
    <mergeCell ref="H111:N111"/>
    <mergeCell ref="O111:T111"/>
    <mergeCell ref="U111:V111"/>
    <mergeCell ref="W111:X111"/>
    <mergeCell ref="B125:C125"/>
    <mergeCell ref="B126:B127"/>
    <mergeCell ref="B128:B130"/>
    <mergeCell ref="B131:C131"/>
    <mergeCell ref="B132:C132"/>
    <mergeCell ref="B133:B134"/>
    <mergeCell ref="F118:G118"/>
    <mergeCell ref="H118:O118"/>
    <mergeCell ref="B121:C121"/>
    <mergeCell ref="B122:C122"/>
    <mergeCell ref="B123:C123"/>
    <mergeCell ref="B124:C124"/>
    <mergeCell ref="B149:B151"/>
    <mergeCell ref="B152:C152"/>
    <mergeCell ref="B153:C153"/>
    <mergeCell ref="B154:B155"/>
    <mergeCell ref="C164:G164"/>
    <mergeCell ref="H164:N164"/>
    <mergeCell ref="B142:C142"/>
    <mergeCell ref="B143:C143"/>
    <mergeCell ref="B144:C144"/>
    <mergeCell ref="B145:C145"/>
    <mergeCell ref="B146:C146"/>
    <mergeCell ref="B147:B148"/>
    <mergeCell ref="C166:G166"/>
    <mergeCell ref="H166:N166"/>
    <mergeCell ref="O166:T166"/>
    <mergeCell ref="U166:V166"/>
    <mergeCell ref="C167:G167"/>
    <mergeCell ref="H167:N167"/>
    <mergeCell ref="O167:T167"/>
    <mergeCell ref="U167:V167"/>
    <mergeCell ref="O164:T164"/>
    <mergeCell ref="U164:V164"/>
    <mergeCell ref="C165:G165"/>
    <mergeCell ref="H165:N165"/>
    <mergeCell ref="O165:T165"/>
    <mergeCell ref="U165:V165"/>
    <mergeCell ref="C170:G170"/>
    <mergeCell ref="H170:N170"/>
    <mergeCell ref="O170:T170"/>
    <mergeCell ref="U170:V170"/>
    <mergeCell ref="C171:G171"/>
    <mergeCell ref="H171:N171"/>
    <mergeCell ref="O171:T171"/>
    <mergeCell ref="U171:V171"/>
    <mergeCell ref="C168:G168"/>
    <mergeCell ref="H168:N168"/>
    <mergeCell ref="O168:T168"/>
    <mergeCell ref="U168:V168"/>
    <mergeCell ref="C169:G169"/>
    <mergeCell ref="H169:N169"/>
    <mergeCell ref="O169:T169"/>
    <mergeCell ref="U169:V169"/>
    <mergeCell ref="C174:G174"/>
    <mergeCell ref="H174:N174"/>
    <mergeCell ref="O174:T174"/>
    <mergeCell ref="U174:V174"/>
    <mergeCell ref="C175:G175"/>
    <mergeCell ref="H175:N175"/>
    <mergeCell ref="O175:T175"/>
    <mergeCell ref="U175:V175"/>
    <mergeCell ref="C172:G172"/>
    <mergeCell ref="H172:N172"/>
    <mergeCell ref="O172:T172"/>
    <mergeCell ref="U172:V172"/>
    <mergeCell ref="C173:G173"/>
    <mergeCell ref="H173:N173"/>
    <mergeCell ref="O173:T173"/>
    <mergeCell ref="U173:V173"/>
    <mergeCell ref="C178:G178"/>
    <mergeCell ref="H178:N178"/>
    <mergeCell ref="O178:T178"/>
    <mergeCell ref="U178:V178"/>
    <mergeCell ref="C179:G179"/>
    <mergeCell ref="H179:N179"/>
    <mergeCell ref="O179:T179"/>
    <mergeCell ref="U179:V179"/>
    <mergeCell ref="C176:G176"/>
    <mergeCell ref="H176:N176"/>
    <mergeCell ref="O176:T176"/>
    <mergeCell ref="U176:V176"/>
    <mergeCell ref="C177:G177"/>
    <mergeCell ref="H177:N177"/>
    <mergeCell ref="O177:T177"/>
    <mergeCell ref="U177:V177"/>
    <mergeCell ref="C182:G182"/>
    <mergeCell ref="H182:N182"/>
    <mergeCell ref="O182:T182"/>
    <mergeCell ref="U182:V182"/>
    <mergeCell ref="C183:G183"/>
    <mergeCell ref="H183:N183"/>
    <mergeCell ref="O183:T183"/>
    <mergeCell ref="U183:V183"/>
    <mergeCell ref="C180:G180"/>
    <mergeCell ref="H180:N180"/>
    <mergeCell ref="O180:T180"/>
    <mergeCell ref="U180:V180"/>
    <mergeCell ref="C181:G181"/>
    <mergeCell ref="H181:N181"/>
    <mergeCell ref="O181:T181"/>
    <mergeCell ref="U181:V181"/>
    <mergeCell ref="W186:X186"/>
    <mergeCell ref="C187:G187"/>
    <mergeCell ref="H187:N187"/>
    <mergeCell ref="O187:T187"/>
    <mergeCell ref="U187:V187"/>
    <mergeCell ref="W187:X187"/>
    <mergeCell ref="C184:G184"/>
    <mergeCell ref="H184:N184"/>
    <mergeCell ref="O184:T184"/>
    <mergeCell ref="U184:V184"/>
    <mergeCell ref="C186:G186"/>
    <mergeCell ref="H186:N186"/>
    <mergeCell ref="O186:T186"/>
    <mergeCell ref="U186:V186"/>
    <mergeCell ref="C188:G188"/>
    <mergeCell ref="H188:N188"/>
    <mergeCell ref="O188:T188"/>
    <mergeCell ref="U188:V188"/>
    <mergeCell ref="W188:X188"/>
    <mergeCell ref="C189:G189"/>
    <mergeCell ref="H189:N189"/>
    <mergeCell ref="O189:T189"/>
    <mergeCell ref="U189:V189"/>
    <mergeCell ref="W189:X189"/>
    <mergeCell ref="C190:G190"/>
    <mergeCell ref="H190:N190"/>
    <mergeCell ref="O190:T190"/>
    <mergeCell ref="U190:V190"/>
    <mergeCell ref="W190:X190"/>
    <mergeCell ref="C191:G191"/>
    <mergeCell ref="H191:N191"/>
    <mergeCell ref="O191:T191"/>
    <mergeCell ref="U191:V191"/>
    <mergeCell ref="W191:X191"/>
    <mergeCell ref="C192:G192"/>
    <mergeCell ref="H192:N192"/>
    <mergeCell ref="O192:T192"/>
    <mergeCell ref="U192:V192"/>
    <mergeCell ref="W192:X192"/>
    <mergeCell ref="C193:G193"/>
    <mergeCell ref="H193:N193"/>
    <mergeCell ref="O193:T193"/>
    <mergeCell ref="U193:V193"/>
    <mergeCell ref="W193:X193"/>
    <mergeCell ref="C194:G194"/>
    <mergeCell ref="H194:N194"/>
    <mergeCell ref="O194:T194"/>
    <mergeCell ref="U194:V194"/>
    <mergeCell ref="W194:X194"/>
    <mergeCell ref="C195:G195"/>
    <mergeCell ref="H195:N195"/>
    <mergeCell ref="O195:T195"/>
    <mergeCell ref="U195:V195"/>
    <mergeCell ref="W195:X195"/>
    <mergeCell ref="C196:G196"/>
    <mergeCell ref="H196:N196"/>
    <mergeCell ref="O196:T196"/>
    <mergeCell ref="U196:V196"/>
    <mergeCell ref="W196:X196"/>
    <mergeCell ref="C197:G197"/>
    <mergeCell ref="H197:N197"/>
    <mergeCell ref="O197:T197"/>
    <mergeCell ref="U197:V197"/>
    <mergeCell ref="W197:X197"/>
    <mergeCell ref="C198:G198"/>
    <mergeCell ref="H198:N198"/>
    <mergeCell ref="O198:T198"/>
    <mergeCell ref="U198:V198"/>
    <mergeCell ref="W198:X198"/>
    <mergeCell ref="C199:G199"/>
    <mergeCell ref="H199:N199"/>
    <mergeCell ref="O199:T199"/>
    <mergeCell ref="U199:V199"/>
    <mergeCell ref="W199:X199"/>
    <mergeCell ref="C200:G200"/>
    <mergeCell ref="H200:N200"/>
    <mergeCell ref="O200:T200"/>
    <mergeCell ref="U200:V200"/>
    <mergeCell ref="W200:X200"/>
    <mergeCell ref="C201:G201"/>
    <mergeCell ref="H201:N201"/>
    <mergeCell ref="O201:T201"/>
    <mergeCell ref="U201:V201"/>
    <mergeCell ref="W201:X201"/>
    <mergeCell ref="C202:G202"/>
    <mergeCell ref="H202:N202"/>
    <mergeCell ref="O202:T202"/>
    <mergeCell ref="U202:V202"/>
    <mergeCell ref="W202:X202"/>
    <mergeCell ref="C203:G203"/>
    <mergeCell ref="H203:N203"/>
    <mergeCell ref="O203:T203"/>
    <mergeCell ref="U203:V203"/>
    <mergeCell ref="W203:X203"/>
    <mergeCell ref="C206:G206"/>
    <mergeCell ref="H206:N206"/>
    <mergeCell ref="O206:T206"/>
    <mergeCell ref="U206:V206"/>
    <mergeCell ref="W206:X206"/>
    <mergeCell ref="C204:G204"/>
    <mergeCell ref="H204:N204"/>
    <mergeCell ref="O204:T204"/>
    <mergeCell ref="U204:V204"/>
    <mergeCell ref="W204:X204"/>
    <mergeCell ref="C205:G205"/>
    <mergeCell ref="H205:N205"/>
    <mergeCell ref="O205:T205"/>
    <mergeCell ref="U205:V205"/>
    <mergeCell ref="W205:X205"/>
  </mergeCells>
  <phoneticPr fontId="2"/>
  <conditionalFormatting sqref="D49:W49">
    <cfRule type="expression" dxfId="187" priority="16">
      <formula>D56=1</formula>
    </cfRule>
    <cfRule type="expression" dxfId="186" priority="29">
      <formula>D49="---"</formula>
    </cfRule>
    <cfRule type="expression" dxfId="185" priority="30">
      <formula>D49&gt;0.4</formula>
    </cfRule>
  </conditionalFormatting>
  <conditionalFormatting sqref="D50:W50">
    <cfRule type="expression" dxfId="184" priority="12">
      <formula>OR(D44="継続",D50="")</formula>
    </cfRule>
    <cfRule type="expression" dxfId="183" priority="27">
      <formula>AND(D50&lt;&gt;"継続",D50&lt;40)</formula>
    </cfRule>
  </conditionalFormatting>
  <conditionalFormatting sqref="D51:W51">
    <cfRule type="expression" dxfId="182" priority="13">
      <formula>OR(D44="継続",D51="")</formula>
    </cfRule>
    <cfRule type="expression" dxfId="181" priority="28">
      <formula>AND(D44&lt;&gt;"継続",D51&lt;40)</formula>
    </cfRule>
  </conditionalFormatting>
  <conditionalFormatting sqref="H27">
    <cfRule type="expression" dxfId="180" priority="4">
      <formula>$H$27="換気設備の導入は必須です。換気設備について入力してください。"</formula>
    </cfRule>
    <cfRule type="expression" dxfId="179" priority="5">
      <formula>H27="旧設備の入力をご確認ください。"</formula>
    </cfRule>
    <cfRule type="expression" dxfId="178" priority="31">
      <formula>H27="新設備の入力をご確認ください。"</formula>
    </cfRule>
  </conditionalFormatting>
  <conditionalFormatting sqref="D45:W45">
    <cfRule type="expression" dxfId="177" priority="15">
      <formula>D$59=1</formula>
    </cfRule>
  </conditionalFormatting>
  <conditionalFormatting sqref="D121:W121">
    <cfRule type="expression" dxfId="176" priority="20">
      <formula>OR(D138=1,D139=1)</formula>
    </cfRule>
  </conditionalFormatting>
  <conditionalFormatting sqref="D142:W142">
    <cfRule type="expression" dxfId="175" priority="24">
      <formula>OR(D159=1,D160=1)</formula>
    </cfRule>
  </conditionalFormatting>
  <conditionalFormatting sqref="D122:W122">
    <cfRule type="expression" dxfId="174" priority="21">
      <formula>D137=1</formula>
    </cfRule>
  </conditionalFormatting>
  <conditionalFormatting sqref="D124:W124">
    <cfRule type="expression" dxfId="173" priority="22">
      <formula>D137=1</formula>
    </cfRule>
  </conditionalFormatting>
  <conditionalFormatting sqref="D130:W130">
    <cfRule type="expression" dxfId="172" priority="23">
      <formula>D137=1</formula>
    </cfRule>
  </conditionalFormatting>
  <conditionalFormatting sqref="D143:W143">
    <cfRule type="expression" dxfId="171" priority="19">
      <formula>D158=1</formula>
    </cfRule>
  </conditionalFormatting>
  <conditionalFormatting sqref="D145:W145">
    <cfRule type="expression" dxfId="170" priority="18">
      <formula>D158=1</formula>
    </cfRule>
  </conditionalFormatting>
  <conditionalFormatting sqref="D151:W151">
    <cfRule type="expression" dxfId="169" priority="17">
      <formula>D158=1</formula>
    </cfRule>
  </conditionalFormatting>
  <conditionalFormatting sqref="H118">
    <cfRule type="expression" dxfId="168" priority="6">
      <formula>$H$118="新設備の入力をご確認ください。"</formula>
    </cfRule>
    <cfRule type="expression" dxfId="167" priority="8">
      <formula>$H$118="旧設備の入力をご確認ください。"</formula>
    </cfRule>
  </conditionalFormatting>
  <conditionalFormatting sqref="D30:W30">
    <cfRule type="expression" dxfId="166" priority="9">
      <formula>D38=1</formula>
    </cfRule>
  </conditionalFormatting>
  <conditionalFormatting sqref="D41:W41">
    <cfRule type="expression" dxfId="165" priority="10">
      <formula>D64=1</formula>
    </cfRule>
  </conditionalFormatting>
  <conditionalFormatting sqref="W93">
    <cfRule type="expression" dxfId="164" priority="36">
      <formula>$D$58=2</formula>
    </cfRule>
  </conditionalFormatting>
  <conditionalFormatting sqref="H27">
    <cfRule type="expression" dxfId="163" priority="33">
      <formula>$H$27="換気設備導入の要件を満たしていないため、申請できません。"</formula>
    </cfRule>
  </conditionalFormatting>
  <conditionalFormatting sqref="H118">
    <cfRule type="expression" dxfId="162" priority="7">
      <formula>$H$118="省エネ設備更新の要件を満たしていないため、申請できません。"</formula>
    </cfRule>
  </conditionalFormatting>
  <conditionalFormatting sqref="X153">
    <cfRule type="expression" dxfId="161" priority="14">
      <formula>AND($AE$160&lt;&gt;0,$X$132&lt;=$X$153)</formula>
    </cfRule>
  </conditionalFormatting>
  <conditionalFormatting sqref="D42:W45">
    <cfRule type="expression" dxfId="160" priority="26">
      <formula>D$43="給気"</formula>
    </cfRule>
    <cfRule type="expression" dxfId="159" priority="56">
      <formula>D$43="給気・排気"</formula>
    </cfRule>
    <cfRule type="expression" dxfId="158" priority="57">
      <formula>OR(D$43="補器（排気）",D$43="補器（給気）")</formula>
    </cfRule>
  </conditionalFormatting>
  <conditionalFormatting sqref="D31:W32">
    <cfRule type="expression" dxfId="157" priority="2">
      <formula>D$32="給気・排気"</formula>
    </cfRule>
    <cfRule type="expression" dxfId="156" priority="34">
      <formula>D$32="給気"</formula>
    </cfRule>
    <cfRule type="expression" dxfId="155" priority="35">
      <formula>OR(D$32="補器（排気）",D$32="補器（給気）")</formula>
    </cfRule>
  </conditionalFormatting>
  <conditionalFormatting sqref="W94">
    <cfRule type="expression" dxfId="154" priority="37">
      <formula>$E$58=2</formula>
    </cfRule>
  </conditionalFormatting>
  <conditionalFormatting sqref="W95">
    <cfRule type="expression" dxfId="153" priority="38">
      <formula>$F$58=2</formula>
    </cfRule>
  </conditionalFormatting>
  <conditionalFormatting sqref="W96">
    <cfRule type="expression" dxfId="152" priority="39">
      <formula>$G$58=2</formula>
    </cfRule>
  </conditionalFormatting>
  <conditionalFormatting sqref="W97">
    <cfRule type="expression" dxfId="151" priority="40">
      <formula>$H$58=2</formula>
    </cfRule>
  </conditionalFormatting>
  <conditionalFormatting sqref="W98">
    <cfRule type="expression" dxfId="150" priority="41">
      <formula>$I$58=2</formula>
    </cfRule>
  </conditionalFormatting>
  <conditionalFormatting sqref="W99">
    <cfRule type="expression" dxfId="149" priority="42">
      <formula>$J$58=2</formula>
    </cfRule>
  </conditionalFormatting>
  <conditionalFormatting sqref="W100">
    <cfRule type="expression" dxfId="148" priority="43">
      <formula>$K$58=2</formula>
    </cfRule>
  </conditionalFormatting>
  <conditionalFormatting sqref="W101">
    <cfRule type="expression" dxfId="147" priority="44">
      <formula>$L$58=2</formula>
    </cfRule>
  </conditionalFormatting>
  <conditionalFormatting sqref="W102">
    <cfRule type="expression" dxfId="146" priority="45">
      <formula>$M$58=2</formula>
    </cfRule>
  </conditionalFormatting>
  <conditionalFormatting sqref="W103">
    <cfRule type="expression" dxfId="145" priority="46">
      <formula>$N$58=2</formula>
    </cfRule>
  </conditionalFormatting>
  <conditionalFormatting sqref="W104">
    <cfRule type="expression" dxfId="144" priority="47">
      <formula>$O$58=2</formula>
    </cfRule>
  </conditionalFormatting>
  <conditionalFormatting sqref="W105">
    <cfRule type="expression" dxfId="143" priority="48">
      <formula>$P$58=2</formula>
    </cfRule>
  </conditionalFormatting>
  <conditionalFormatting sqref="W106">
    <cfRule type="expression" dxfId="142" priority="49">
      <formula>$Q$58=2</formula>
    </cfRule>
  </conditionalFormatting>
  <conditionalFormatting sqref="W107">
    <cfRule type="expression" dxfId="141" priority="50">
      <formula>$R$58=2</formula>
    </cfRule>
  </conditionalFormatting>
  <conditionalFormatting sqref="W108">
    <cfRule type="expression" dxfId="140" priority="51">
      <formula>$S$58=2</formula>
    </cfRule>
  </conditionalFormatting>
  <conditionalFormatting sqref="W109">
    <cfRule type="expression" dxfId="139" priority="52">
      <formula>$T$58=2</formula>
    </cfRule>
  </conditionalFormatting>
  <conditionalFormatting sqref="W110">
    <cfRule type="expression" dxfId="138" priority="53">
      <formula>$U$58=2</formula>
    </cfRule>
  </conditionalFormatting>
  <conditionalFormatting sqref="W111">
    <cfRule type="expression" dxfId="137" priority="54">
      <formula>$V$58=2</formula>
    </cfRule>
  </conditionalFormatting>
  <conditionalFormatting sqref="W112">
    <cfRule type="expression" dxfId="136" priority="55">
      <formula>$W$58=2</formula>
    </cfRule>
  </conditionalFormatting>
  <conditionalFormatting sqref="X47:Y47">
    <cfRule type="expression" dxfId="135" priority="11">
      <formula>AND($X$65="不適合",$AA$64&lt;&gt;20)</formula>
    </cfRule>
  </conditionalFormatting>
  <conditionalFormatting sqref="H27:O27">
    <cfRule type="expression" dxfId="134" priority="32">
      <formula>$H$27="新設備の導入がない計画は申請できません。"</formula>
    </cfRule>
  </conditionalFormatting>
  <conditionalFormatting sqref="C166:V184 C188:X206 D122:X134 D143:X155">
    <cfRule type="expression" dxfId="133" priority="3">
      <formula>$G$115&lt;&gt;"はい"</formula>
    </cfRule>
  </conditionalFormatting>
  <conditionalFormatting sqref="D42:W42 D44:W44">
    <cfRule type="expression" dxfId="132" priority="1">
      <formula>D$54=1</formula>
    </cfRule>
    <cfRule type="expression" dxfId="131" priority="25">
      <formula>D$59=1</formula>
    </cfRule>
  </conditionalFormatting>
  <dataValidations count="4">
    <dataValidation type="list" allowBlank="1" showInputMessage="1" showErrorMessage="1" sqref="G115">
      <formula1>"実施を選択,はい,いいえ"</formula1>
    </dataValidation>
    <dataValidation allowBlank="1" sqref="C21:C22"/>
    <dataValidation allowBlank="1" showErrorMessage="1" promptTitle="『機器仕様入力書』　記入時のご注意" prompt="本シートご利用の場合は、省エネ計算シートの設備欄には記入しないでください。" sqref="D152:W153 D128:W129 D131:W132 D33:W37 D46:W53"/>
    <dataValidation allowBlank="1" showErrorMessage="1" sqref="D126:W127 D147:W150 D144:W144 D133:W134 D123:W123 D154:W155"/>
  </dataValidations>
  <pageMargins left="0.6692913385826772" right="0.31496062992125984" top="0.46" bottom="0.22" header="0.22" footer="0.16"/>
  <pageSetup paperSize="9" scale="47" fitToHeight="0" orientation="landscape" r:id="rId1"/>
  <headerFooter>
    <oddHeader>&amp;C&amp;20換気量・省エネ計算シート</oddHeader>
  </headerFooter>
  <rowBreaks count="1" manualBreakCount="1">
    <brk id="113" max="2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'\\fs00001\総務部\東京都地球温暖化防止活動推進センター\事業支援チーム\Ｒ４\200_個人用\和田\[◆換気量・省エネ計算シート（R4_Ver5.5）_記入例.xlsx]計算'!#REF!</xm:f>
          </x14:formula1>
          <xm:sqref>W187:X187</xm:sqref>
        </x14:dataValidation>
        <x14:dataValidation type="list" allowBlank="1" showErrorMessage="1">
          <x14:formula1>
            <xm:f>計算!$S$4:$S$8</xm:f>
          </x14:formula1>
          <xm:sqref>D31:W31</xm:sqref>
        </x14:dataValidation>
        <x14:dataValidation type="list" allowBlank="1">
          <x14:formula1>
            <xm:f>計算!$R$4:$R$8</xm:f>
          </x14:formula1>
          <xm:sqref>D42:W42</xm:sqref>
        </x14:dataValidation>
        <x14:dataValidation type="list" allowBlank="1" showErrorMessage="1">
          <x14:formula1>
            <xm:f>計算!$T$20:$T$24</xm:f>
          </x14:formula1>
          <xm:sqref>D32:W32 D43:W43</xm:sqref>
        </x14:dataValidation>
        <x14:dataValidation type="list" allowBlank="1" showErrorMessage="1">
          <x14:formula1>
            <xm:f>計算!$Z$4:$Z$14</xm:f>
          </x14:formula1>
          <xm:sqref>D146:W146 D125:W125</xm:sqref>
        </x14:dataValidation>
        <x14:dataValidation type="list" allowBlank="1" showErrorMessage="1">
          <x14:formula1>
            <xm:f>計算!$Z$3:$Z$14</xm:f>
          </x14:formula1>
          <xm:sqref>D45:W45</xm:sqref>
        </x14:dataValidation>
        <x14:dataValidation type="list" allowBlank="1" showInputMessage="1" showErrorMessage="1">
          <x14:formula1>
            <xm:f>計算!$V$4:$V$6</xm:f>
          </x14:formula1>
          <xm:sqref>W93:X112 Y165:Y184 W188:X206</xm:sqref>
        </x14:dataValidation>
        <x14:dataValidation type="list" allowBlank="1" showErrorMessage="1">
          <x14:formula1>
            <xm:f>計算!$AA$4:$AA$6</xm:f>
          </x14:formula1>
          <xm:sqref>D124:W124 D145:W145</xm:sqref>
        </x14:dataValidation>
        <x14:dataValidation type="list" allowBlank="1" showInputMessage="1" showErrorMessage="1">
          <x14:formula1>
            <xm:f>計算!$U$4:$U$6</xm:f>
          </x14:formula1>
          <xm:sqref>D143:W143 D122:W122</xm:sqref>
        </x14:dataValidation>
        <x14:dataValidation type="list" allowBlank="1" showInputMessage="1" showErrorMessage="1">
          <x14:formula1>
            <xm:f>計算!$T$4:$T$7</xm:f>
          </x14:formula1>
          <xm:sqref>D44:W44</xm:sqref>
        </x14:dataValidation>
        <x14:dataValidation type="list" allowBlank="1" showErrorMessage="1" promptTitle="『機器仕様入力書』　記入時のご注意" prompt="本シートご利用の場合は、省エネ計算シートの設備欄には記入しないでください。">
          <x14:formula1>
            <xm:f>計算!$X$4:$X$6</xm:f>
          </x14:formula1>
          <xm:sqref>D151:W151 D130:W130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K207"/>
  <sheetViews>
    <sheetView zoomScale="70" zoomScaleNormal="70" zoomScaleSheetLayoutView="80" workbookViewId="0">
      <selection activeCell="B23" sqref="B23"/>
    </sheetView>
  </sheetViews>
  <sheetFormatPr defaultColWidth="8.796875" defaultRowHeight="19.5" x14ac:dyDescent="0.45"/>
  <cols>
    <col min="1" max="1" width="10.69921875" style="23" customWidth="1"/>
    <col min="2" max="2" width="11.3984375" style="24" customWidth="1"/>
    <col min="3" max="3" width="4.69921875" style="24" customWidth="1"/>
    <col min="4" max="4" width="8.796875" style="23" customWidth="1"/>
    <col min="5" max="15" width="8.796875" style="23"/>
    <col min="16" max="25" width="8.796875" style="23" customWidth="1"/>
    <col min="26" max="26" width="3.8984375" style="191" customWidth="1"/>
    <col min="27" max="28" width="5" style="191" customWidth="1"/>
    <col min="29" max="39" width="5" style="23" customWidth="1"/>
    <col min="40" max="69" width="3.8984375" style="23" customWidth="1"/>
    <col min="70" max="16384" width="8.796875" style="23"/>
  </cols>
  <sheetData>
    <row r="1" spans="2:28" s="135" customFormat="1" ht="19.5" customHeight="1" x14ac:dyDescent="0.45">
      <c r="B1" s="136"/>
      <c r="C1" s="136"/>
      <c r="D1" s="136"/>
      <c r="E1" s="136"/>
      <c r="F1" s="136"/>
      <c r="G1" s="136"/>
      <c r="H1" s="136"/>
      <c r="I1" s="136"/>
      <c r="J1" s="136"/>
      <c r="K1" s="136"/>
      <c r="L1" s="136"/>
      <c r="M1" s="136"/>
      <c r="N1" s="136"/>
      <c r="O1" s="136"/>
      <c r="P1" s="136"/>
      <c r="Q1" s="136"/>
      <c r="R1" s="136"/>
      <c r="S1" s="136"/>
      <c r="T1" s="136"/>
      <c r="U1" s="136"/>
      <c r="V1" s="136"/>
      <c r="W1" s="136"/>
      <c r="X1" s="136"/>
      <c r="Y1" s="137"/>
      <c r="Z1" s="189"/>
      <c r="AA1" s="190"/>
      <c r="AB1" s="190"/>
    </row>
    <row r="2" spans="2:28" x14ac:dyDescent="0.45">
      <c r="B2" s="53" t="s">
        <v>166</v>
      </c>
      <c r="C2" s="23"/>
    </row>
    <row r="3" spans="2:28" s="64" customFormat="1" x14ac:dyDescent="0.45">
      <c r="B3" s="128" t="s">
        <v>480</v>
      </c>
      <c r="K3" s="23"/>
      <c r="Z3" s="66"/>
      <c r="AA3" s="66"/>
      <c r="AB3" s="66"/>
    </row>
    <row r="4" spans="2:28" s="64" customFormat="1" x14ac:dyDescent="0.45">
      <c r="B4" s="128" t="s">
        <v>511</v>
      </c>
      <c r="K4" s="23"/>
      <c r="Z4" s="66"/>
      <c r="AA4" s="66"/>
      <c r="AB4" s="66"/>
    </row>
    <row r="5" spans="2:28" s="64" customFormat="1" x14ac:dyDescent="0.45">
      <c r="B5" s="128" t="s">
        <v>631</v>
      </c>
      <c r="K5" s="23"/>
      <c r="Z5" s="66"/>
      <c r="AA5" s="66"/>
      <c r="AB5" s="66"/>
    </row>
    <row r="6" spans="2:28" s="64" customFormat="1" x14ac:dyDescent="0.45">
      <c r="B6" s="128" t="s">
        <v>531</v>
      </c>
      <c r="K6" s="23"/>
      <c r="Z6" s="66"/>
      <c r="AA6" s="66"/>
      <c r="AB6" s="66"/>
    </row>
    <row r="7" spans="2:28" s="64" customFormat="1" x14ac:dyDescent="0.45">
      <c r="B7" s="128" t="s">
        <v>525</v>
      </c>
      <c r="K7" s="23"/>
      <c r="Z7" s="66"/>
      <c r="AA7" s="66"/>
      <c r="AB7" s="66"/>
    </row>
    <row r="8" spans="2:28" s="64" customFormat="1" x14ac:dyDescent="0.45">
      <c r="B8" s="128" t="s">
        <v>508</v>
      </c>
      <c r="K8" s="23"/>
      <c r="Z8" s="66"/>
      <c r="AA8" s="66"/>
      <c r="AB8" s="66"/>
    </row>
    <row r="9" spans="2:28" s="64" customFormat="1" x14ac:dyDescent="0.45">
      <c r="B9" s="128" t="s">
        <v>526</v>
      </c>
      <c r="K9" s="23"/>
      <c r="Z9" s="66"/>
      <c r="AA9" s="66"/>
      <c r="AB9" s="66"/>
    </row>
    <row r="10" spans="2:28" s="64" customFormat="1" x14ac:dyDescent="0.45">
      <c r="B10" s="128" t="s">
        <v>527</v>
      </c>
      <c r="K10" s="23"/>
      <c r="Z10" s="66"/>
      <c r="AA10" s="66"/>
      <c r="AB10" s="66"/>
    </row>
    <row r="11" spans="2:28" s="64" customFormat="1" x14ac:dyDescent="0.45">
      <c r="B11" s="128" t="s">
        <v>528</v>
      </c>
      <c r="G11" s="111"/>
      <c r="H11" s="111"/>
      <c r="K11" s="23"/>
      <c r="Z11" s="66"/>
      <c r="AA11" s="66"/>
      <c r="AB11" s="66"/>
    </row>
    <row r="12" spans="2:28" s="64" customFormat="1" hidden="1" x14ac:dyDescent="0.45">
      <c r="B12" s="179" t="s">
        <v>507</v>
      </c>
      <c r="C12" s="111"/>
      <c r="D12" s="111"/>
      <c r="E12" s="111"/>
      <c r="F12" s="111"/>
      <c r="G12" s="111"/>
      <c r="H12" s="111"/>
      <c r="I12" s="126"/>
      <c r="J12" s="126"/>
      <c r="K12" s="127"/>
      <c r="L12" s="126"/>
      <c r="Z12" s="66"/>
      <c r="AA12" s="66"/>
      <c r="AB12" s="66"/>
    </row>
    <row r="13" spans="2:28" s="64" customFormat="1" hidden="1" x14ac:dyDescent="0.45">
      <c r="B13" s="159" t="s">
        <v>268</v>
      </c>
      <c r="C13" s="126"/>
      <c r="D13" s="126"/>
      <c r="E13" s="126"/>
      <c r="F13" s="126"/>
      <c r="G13" s="126"/>
      <c r="H13" s="126"/>
      <c r="I13" s="126"/>
      <c r="J13" s="126"/>
      <c r="K13" s="127"/>
      <c r="L13" s="126"/>
      <c r="Z13" s="66"/>
      <c r="AA13" s="66"/>
      <c r="AB13" s="66"/>
    </row>
    <row r="14" spans="2:28" s="64" customFormat="1" x14ac:dyDescent="0.45">
      <c r="B14" s="128" t="s">
        <v>529</v>
      </c>
      <c r="K14" s="23"/>
      <c r="Z14" s="66"/>
      <c r="AA14" s="66"/>
      <c r="AB14" s="66"/>
    </row>
    <row r="15" spans="2:28" s="64" customFormat="1" x14ac:dyDescent="0.45">
      <c r="B15" s="128" t="s">
        <v>410</v>
      </c>
      <c r="K15" s="23"/>
      <c r="Z15" s="66"/>
      <c r="AA15" s="66"/>
      <c r="AB15" s="66"/>
    </row>
    <row r="16" spans="2:28" s="64" customFormat="1" x14ac:dyDescent="0.45">
      <c r="B16" s="128" t="s">
        <v>209</v>
      </c>
      <c r="K16" s="23"/>
      <c r="Z16" s="66"/>
      <c r="AA16" s="66"/>
      <c r="AB16" s="66"/>
    </row>
    <row r="17" spans="2:28" s="64" customFormat="1" x14ac:dyDescent="0.45">
      <c r="B17" s="128" t="s">
        <v>640</v>
      </c>
      <c r="K17" s="23"/>
      <c r="Z17" s="66"/>
      <c r="AA17" s="66"/>
      <c r="AB17" s="66"/>
    </row>
    <row r="18" spans="2:28" s="64" customFormat="1" x14ac:dyDescent="0.45">
      <c r="B18" s="128" t="s">
        <v>210</v>
      </c>
      <c r="K18" s="23"/>
      <c r="Z18" s="66"/>
      <c r="AA18" s="66"/>
      <c r="AB18" s="66"/>
    </row>
    <row r="19" spans="2:28" s="64" customFormat="1" x14ac:dyDescent="0.45">
      <c r="B19" s="128" t="s">
        <v>530</v>
      </c>
      <c r="K19" s="23"/>
      <c r="Z19" s="66"/>
      <c r="AA19" s="66"/>
      <c r="AB19" s="66"/>
    </row>
    <row r="20" spans="2:28" s="64" customFormat="1" x14ac:dyDescent="0.45">
      <c r="B20" s="79"/>
      <c r="K20" s="23"/>
      <c r="Z20" s="66"/>
      <c r="AA20" s="66"/>
      <c r="AB20" s="66"/>
    </row>
    <row r="21" spans="2:28" ht="19.5" customHeight="1" x14ac:dyDescent="0.45">
      <c r="B21" s="94" t="s">
        <v>167</v>
      </c>
      <c r="C21" s="25"/>
      <c r="D21" s="56" t="s">
        <v>633</v>
      </c>
    </row>
    <row r="22" spans="2:28" ht="19.5" customHeight="1" x14ac:dyDescent="0.45">
      <c r="C22" s="26"/>
      <c r="D22" s="56" t="s">
        <v>637</v>
      </c>
    </row>
    <row r="23" spans="2:28" ht="19.5" customHeight="1" x14ac:dyDescent="0.45">
      <c r="C23" s="27"/>
      <c r="D23" s="52" t="s">
        <v>634</v>
      </c>
    </row>
    <row r="24" spans="2:28" ht="19.5" customHeight="1" x14ac:dyDescent="0.45">
      <c r="D24" s="24"/>
    </row>
    <row r="25" spans="2:28" x14ac:dyDescent="0.45">
      <c r="B25" s="24" t="str">
        <f>'1.換気～比較表（適合）'!B19</f>
        <v>R4_Ver8.2</v>
      </c>
    </row>
    <row r="26" spans="2:28" ht="20.25" thickBot="1" x14ac:dyDescent="0.5"/>
    <row r="27" spans="2:28" ht="42.75" customHeight="1" thickTop="1" thickBot="1" x14ac:dyDescent="0.5">
      <c r="B27" s="28" t="s">
        <v>190</v>
      </c>
      <c r="C27" s="29"/>
      <c r="F27" s="373" t="s">
        <v>417</v>
      </c>
      <c r="G27" s="374"/>
      <c r="H27" s="440" t="str">
        <f>IF(X38="入力確認","旧設備の入力をご確認ください。",IF(X64="入力確認","新設備の入力をご確認ください。",IF(AND(AC54=0,AC56=0,AC57=0,AC60=0,AC62=0),"換気設備の導入は必須です。換気設備について入力してください。",IF(X55="非適合","新設備の導入がない計画は申請できません。",IF(AND(X54="適合",X55="適合",X56="適合",X57="適合",X59="適合",X61="適合",X63="適合",X65="適合"),"換気設備導入の要件を満たしています。","換気設備導入の要件を満たしていないため、申請できません。")))))</f>
        <v>換気設備導入の要件を満たしていないため、申請できません。</v>
      </c>
      <c r="I27" s="441"/>
      <c r="J27" s="441"/>
      <c r="K27" s="441"/>
      <c r="L27" s="441"/>
      <c r="M27" s="441"/>
      <c r="N27" s="441"/>
      <c r="O27" s="442"/>
      <c r="X27" s="122"/>
    </row>
    <row r="28" spans="2:28" ht="18.75" customHeight="1" thickTop="1" x14ac:dyDescent="0.45">
      <c r="B28" s="28"/>
      <c r="C28" s="29"/>
    </row>
    <row r="29" spans="2:28" ht="42" customHeight="1" thickBot="1" x14ac:dyDescent="0.5">
      <c r="B29" s="188" t="s">
        <v>431</v>
      </c>
      <c r="C29" s="30"/>
    </row>
    <row r="30" spans="2:28" ht="21" thickTop="1" thickBot="1" x14ac:dyDescent="0.5">
      <c r="B30" s="401" t="s">
        <v>122</v>
      </c>
      <c r="C30" s="402"/>
      <c r="D30" s="276" t="s">
        <v>142</v>
      </c>
      <c r="E30" s="327" t="s">
        <v>143</v>
      </c>
      <c r="F30" s="328" t="s">
        <v>144</v>
      </c>
      <c r="G30" s="277" t="s">
        <v>145</v>
      </c>
      <c r="H30" s="31" t="s">
        <v>146</v>
      </c>
      <c r="I30" s="31" t="s">
        <v>147</v>
      </c>
      <c r="J30" s="31" t="s">
        <v>148</v>
      </c>
      <c r="K30" s="31" t="s">
        <v>149</v>
      </c>
      <c r="L30" s="31" t="s">
        <v>150</v>
      </c>
      <c r="M30" s="31" t="s">
        <v>151</v>
      </c>
      <c r="N30" s="31" t="s">
        <v>346</v>
      </c>
      <c r="O30" s="31" t="s">
        <v>152</v>
      </c>
      <c r="P30" s="31" t="s">
        <v>153</v>
      </c>
      <c r="Q30" s="31" t="s">
        <v>154</v>
      </c>
      <c r="R30" s="31" t="s">
        <v>155</v>
      </c>
      <c r="S30" s="31" t="s">
        <v>156</v>
      </c>
      <c r="T30" s="31" t="s">
        <v>157</v>
      </c>
      <c r="U30" s="31" t="s">
        <v>158</v>
      </c>
      <c r="V30" s="31" t="s">
        <v>159</v>
      </c>
      <c r="W30" s="212" t="s">
        <v>160</v>
      </c>
      <c r="X30" s="218" t="s">
        <v>484</v>
      </c>
      <c r="Y30" s="219" t="s">
        <v>485</v>
      </c>
      <c r="AA30" s="79" t="s">
        <v>433</v>
      </c>
    </row>
    <row r="31" spans="2:28" ht="63" customHeight="1" thickTop="1" x14ac:dyDescent="0.45">
      <c r="B31" s="394" t="s">
        <v>1</v>
      </c>
      <c r="C31" s="394"/>
      <c r="D31" s="275" t="s">
        <v>536</v>
      </c>
      <c r="E31" s="275" t="s">
        <v>536</v>
      </c>
      <c r="F31" s="275" t="s">
        <v>194</v>
      </c>
      <c r="G31" s="275" t="s">
        <v>536</v>
      </c>
      <c r="H31" s="89"/>
      <c r="I31" s="89"/>
      <c r="J31" s="89"/>
      <c r="K31" s="89"/>
      <c r="L31" s="89"/>
      <c r="M31" s="89"/>
      <c r="N31" s="89"/>
      <c r="O31" s="89"/>
      <c r="P31" s="89"/>
      <c r="Q31" s="89"/>
      <c r="R31" s="89"/>
      <c r="S31" s="89"/>
      <c r="T31" s="89"/>
      <c r="U31" s="89"/>
      <c r="V31" s="89"/>
      <c r="W31" s="213"/>
      <c r="X31" s="220" t="s">
        <v>10</v>
      </c>
      <c r="Y31" s="221" t="s">
        <v>10</v>
      </c>
      <c r="AA31" s="23"/>
      <c r="AB31" s="225" t="s">
        <v>490</v>
      </c>
    </row>
    <row r="32" spans="2:28" ht="26.25" customHeight="1" thickBot="1" x14ac:dyDescent="0.5">
      <c r="B32" s="397" t="s">
        <v>488</v>
      </c>
      <c r="C32" s="397"/>
      <c r="D32" s="224" t="s">
        <v>482</v>
      </c>
      <c r="E32" s="224" t="s">
        <v>483</v>
      </c>
      <c r="F32" s="224" t="s">
        <v>524</v>
      </c>
      <c r="G32" s="224" t="s">
        <v>505</v>
      </c>
      <c r="H32" s="224"/>
      <c r="I32" s="224"/>
      <c r="J32" s="224"/>
      <c r="K32" s="224"/>
      <c r="L32" s="224"/>
      <c r="M32" s="224"/>
      <c r="N32" s="224"/>
      <c r="O32" s="224"/>
      <c r="P32" s="224"/>
      <c r="Q32" s="224"/>
      <c r="R32" s="224"/>
      <c r="S32" s="224"/>
      <c r="T32" s="224"/>
      <c r="U32" s="224"/>
      <c r="V32" s="224"/>
      <c r="W32" s="224"/>
      <c r="X32" s="216" t="s">
        <v>10</v>
      </c>
      <c r="Y32" s="217" t="s">
        <v>10</v>
      </c>
    </row>
    <row r="33" spans="2:37" ht="27" customHeight="1" thickBot="1" x14ac:dyDescent="0.5">
      <c r="B33" s="397" t="s">
        <v>3</v>
      </c>
      <c r="C33" s="397"/>
      <c r="D33" s="301">
        <v>3</v>
      </c>
      <c r="E33" s="301">
        <v>1</v>
      </c>
      <c r="F33" s="301">
        <v>2</v>
      </c>
      <c r="G33" s="301">
        <v>2</v>
      </c>
      <c r="H33" s="204"/>
      <c r="I33" s="204"/>
      <c r="J33" s="204"/>
      <c r="K33" s="204"/>
      <c r="L33" s="204"/>
      <c r="M33" s="204"/>
      <c r="N33" s="204"/>
      <c r="O33" s="204"/>
      <c r="P33" s="204"/>
      <c r="Q33" s="204"/>
      <c r="R33" s="204"/>
      <c r="S33" s="204"/>
      <c r="T33" s="204"/>
      <c r="U33" s="204"/>
      <c r="V33" s="204"/>
      <c r="W33" s="214"/>
      <c r="X33" s="209">
        <f>IF(AND(AC38=0,AD38=0,AE38=0),"",AB36+AD36)</f>
        <v>5</v>
      </c>
      <c r="Y33" s="210">
        <f>IF(AND(AC38=0,AD38=0,AE38=0),"",AC36)</f>
        <v>1</v>
      </c>
      <c r="AB33" s="225" t="s">
        <v>548</v>
      </c>
    </row>
    <row r="34" spans="2:37" ht="27" customHeight="1" thickTop="1" x14ac:dyDescent="0.45">
      <c r="B34" s="398" t="s">
        <v>4</v>
      </c>
      <c r="C34" s="399"/>
      <c r="D34" s="303">
        <v>1000</v>
      </c>
      <c r="E34" s="319">
        <v>850</v>
      </c>
      <c r="F34" s="319">
        <v>200</v>
      </c>
      <c r="G34" s="304">
        <v>200</v>
      </c>
      <c r="H34" s="169"/>
      <c r="I34" s="169"/>
      <c r="J34" s="169"/>
      <c r="K34" s="169"/>
      <c r="L34" s="169"/>
      <c r="M34" s="169"/>
      <c r="N34" s="169"/>
      <c r="O34" s="169"/>
      <c r="P34" s="169"/>
      <c r="Q34" s="169"/>
      <c r="R34" s="169"/>
      <c r="S34" s="169"/>
      <c r="T34" s="169"/>
      <c r="U34" s="169"/>
      <c r="V34" s="169"/>
      <c r="W34" s="211"/>
      <c r="X34" s="235">
        <f>IF(AND(AC38=0,AE38=0),"",X36+AA36)</f>
        <v>3400</v>
      </c>
      <c r="Y34" s="236">
        <f>IF(AND(AD38=0,AE38=0),"",Y36+AA36)</f>
        <v>1250</v>
      </c>
      <c r="AB34" s="225" t="s">
        <v>532</v>
      </c>
    </row>
    <row r="35" spans="2:37" ht="27" customHeight="1" thickBot="1" x14ac:dyDescent="0.5">
      <c r="B35" s="397" t="s">
        <v>5</v>
      </c>
      <c r="C35" s="395"/>
      <c r="D35" s="305">
        <v>25</v>
      </c>
      <c r="E35" s="308">
        <v>40</v>
      </c>
      <c r="F35" s="308">
        <v>10</v>
      </c>
      <c r="G35" s="306">
        <v>50</v>
      </c>
      <c r="H35" s="170"/>
      <c r="I35" s="171"/>
      <c r="J35" s="170"/>
      <c r="K35" s="171"/>
      <c r="L35" s="170"/>
      <c r="M35" s="171"/>
      <c r="N35" s="171"/>
      <c r="O35" s="171"/>
      <c r="P35" s="171"/>
      <c r="Q35" s="171"/>
      <c r="R35" s="171"/>
      <c r="S35" s="171"/>
      <c r="T35" s="171"/>
      <c r="U35" s="171"/>
      <c r="V35" s="171"/>
      <c r="W35" s="215"/>
      <c r="X35" s="237">
        <f>IF(AND(AC38=0,AE38=0),"",X37+AA37)</f>
        <v>95</v>
      </c>
      <c r="Y35" s="238">
        <f>IF(AND(AD38=0,AE38=0),"",Y37+AA37)</f>
        <v>60</v>
      </c>
    </row>
    <row r="36" spans="2:37" ht="27" hidden="1" customHeight="1" thickTop="1" x14ac:dyDescent="0.45">
      <c r="B36" s="398" t="s">
        <v>486</v>
      </c>
      <c r="C36" s="398"/>
      <c r="D36" s="302">
        <f>D33*D34</f>
        <v>3000</v>
      </c>
      <c r="E36" s="302">
        <f t="shared" ref="E36:W36" si="0">E33*E34</f>
        <v>850</v>
      </c>
      <c r="F36" s="302">
        <f t="shared" si="0"/>
        <v>400</v>
      </c>
      <c r="G36" s="302">
        <f t="shared" si="0"/>
        <v>400</v>
      </c>
      <c r="H36" s="169">
        <f t="shared" si="0"/>
        <v>0</v>
      </c>
      <c r="I36" s="169">
        <f t="shared" si="0"/>
        <v>0</v>
      </c>
      <c r="J36" s="169">
        <f t="shared" si="0"/>
        <v>0</v>
      </c>
      <c r="K36" s="169">
        <f t="shared" si="0"/>
        <v>0</v>
      </c>
      <c r="L36" s="169">
        <f t="shared" si="0"/>
        <v>0</v>
      </c>
      <c r="M36" s="169">
        <f t="shared" si="0"/>
        <v>0</v>
      </c>
      <c r="N36" s="169">
        <f t="shared" si="0"/>
        <v>0</v>
      </c>
      <c r="O36" s="169">
        <f t="shared" si="0"/>
        <v>0</v>
      </c>
      <c r="P36" s="169">
        <f t="shared" si="0"/>
        <v>0</v>
      </c>
      <c r="Q36" s="169">
        <f t="shared" si="0"/>
        <v>0</v>
      </c>
      <c r="R36" s="169">
        <f t="shared" si="0"/>
        <v>0</v>
      </c>
      <c r="S36" s="169">
        <f t="shared" si="0"/>
        <v>0</v>
      </c>
      <c r="T36" s="169">
        <f t="shared" si="0"/>
        <v>0</v>
      </c>
      <c r="U36" s="169">
        <f t="shared" si="0"/>
        <v>0</v>
      </c>
      <c r="V36" s="169">
        <f t="shared" si="0"/>
        <v>0</v>
      </c>
      <c r="W36" s="211">
        <f t="shared" si="0"/>
        <v>0</v>
      </c>
      <c r="X36" s="228">
        <f>IF(SUMIF($D$32:$W$32,"排気",$D$36:$W$36)=0,0,SUMIF($D$32:$W$32,"排気",$D$36:$W$36))</f>
        <v>3000</v>
      </c>
      <c r="Y36" s="229">
        <f>IF(SUMIF($D$32:$W$32,"給気",$D$36:$W$36)=0,0,SUMIF($D$32:$W$32,"給気",$D$36:$W$36))</f>
        <v>850</v>
      </c>
      <c r="AA36" s="191">
        <f>IF(SUMIF($D$32:$W$32,"給気・排気",$D$36:$W$36)=0,0,SUMIF($D$32:$W$32,"給気・排気",$D$36:$W$36))</f>
        <v>400</v>
      </c>
      <c r="AB36" s="317">
        <f>IF(SUMIF($D$32:$W$32,"排気",$D$33:$W$33)=0,0,SUMIF($D$32:$W$32,"排気",$D$33:$W$33))</f>
        <v>3</v>
      </c>
      <c r="AC36" s="317">
        <f>IF(SUMIF($D$32:$W$32,"給気",$D$33:$W$33)=0,0,SUMIF($D$32:$W$32,"給気",$D$33:$W$33))</f>
        <v>1</v>
      </c>
      <c r="AD36" s="317">
        <f>IF(SUMIF($D$32:$W$32,"給気・排気",$D$33:$W$33)=0,0,SUMIF($D$32:$W$32,"給気・排気",$D$33:$W$33))</f>
        <v>2</v>
      </c>
      <c r="AE36" s="317"/>
      <c r="AF36" s="317" t="s">
        <v>549</v>
      </c>
      <c r="AG36" s="318"/>
      <c r="AH36" s="318"/>
      <c r="AI36" s="318"/>
      <c r="AJ36" s="318"/>
      <c r="AK36" s="318"/>
    </row>
    <row r="37" spans="2:37" ht="27" hidden="1" customHeight="1" thickBot="1" x14ac:dyDescent="0.5">
      <c r="B37" s="397" t="s">
        <v>487</v>
      </c>
      <c r="C37" s="397"/>
      <c r="D37" s="169">
        <f t="shared" ref="D37:W37" si="1">D33*D35</f>
        <v>75</v>
      </c>
      <c r="E37" s="169">
        <f t="shared" si="1"/>
        <v>40</v>
      </c>
      <c r="F37" s="169">
        <f t="shared" si="1"/>
        <v>20</v>
      </c>
      <c r="G37" s="169">
        <f t="shared" si="1"/>
        <v>100</v>
      </c>
      <c r="H37" s="169">
        <f t="shared" si="1"/>
        <v>0</v>
      </c>
      <c r="I37" s="169">
        <f t="shared" si="1"/>
        <v>0</v>
      </c>
      <c r="J37" s="169">
        <f t="shared" si="1"/>
        <v>0</v>
      </c>
      <c r="K37" s="169">
        <f t="shared" si="1"/>
        <v>0</v>
      </c>
      <c r="L37" s="169">
        <f t="shared" si="1"/>
        <v>0</v>
      </c>
      <c r="M37" s="169">
        <f t="shared" si="1"/>
        <v>0</v>
      </c>
      <c r="N37" s="169">
        <f t="shared" si="1"/>
        <v>0</v>
      </c>
      <c r="O37" s="169">
        <f t="shared" si="1"/>
        <v>0</v>
      </c>
      <c r="P37" s="169">
        <f t="shared" si="1"/>
        <v>0</v>
      </c>
      <c r="Q37" s="169">
        <f t="shared" si="1"/>
        <v>0</v>
      </c>
      <c r="R37" s="169">
        <f t="shared" si="1"/>
        <v>0</v>
      </c>
      <c r="S37" s="169">
        <f t="shared" si="1"/>
        <v>0</v>
      </c>
      <c r="T37" s="169">
        <f t="shared" si="1"/>
        <v>0</v>
      </c>
      <c r="U37" s="169">
        <f t="shared" si="1"/>
        <v>0</v>
      </c>
      <c r="V37" s="169">
        <f t="shared" si="1"/>
        <v>0</v>
      </c>
      <c r="W37" s="211">
        <f t="shared" si="1"/>
        <v>0</v>
      </c>
      <c r="X37" s="230">
        <f>IF(SUMIF($D$32:$W$32,"排気",$D$37:$W$37)=0,0,SUMIF($D$32:$W$32,"排気",$D$37:$W$37))</f>
        <v>75</v>
      </c>
      <c r="Y37" s="231">
        <f>IF(SUMIF($D$32:$W$32,"給気",$D$37:$W$37)=0,0,SUMIF($D$32:$W$32,"給気",$D$37:$W$37))</f>
        <v>40</v>
      </c>
      <c r="AA37" s="191">
        <f>IF(SUMIF($D$32:$W$32,"給気・排気",$D$37:$W$37)=0,0,SUMIF($D$32:$W$32,"給気・排気",$D$37:$W$37))</f>
        <v>20</v>
      </c>
    </row>
    <row r="38" spans="2:37" ht="20.25" hidden="1" thickTop="1" x14ac:dyDescent="0.45">
      <c r="B38" s="110" t="s">
        <v>443</v>
      </c>
      <c r="C38" s="108"/>
      <c r="D38" s="108">
        <f t="shared" ref="D38:W38" si="2">IF(AND(D31="",D32="",D33="",D34="",D35=""),2,IF(AND(D31&lt;&gt;"",D32&lt;&gt;"",D33&lt;&gt;"",D34&lt;&gt;"",D35&lt;&gt;""),0,1))</f>
        <v>0</v>
      </c>
      <c r="E38" s="108">
        <f t="shared" si="2"/>
        <v>0</v>
      </c>
      <c r="F38" s="108">
        <f t="shared" si="2"/>
        <v>0</v>
      </c>
      <c r="G38" s="108">
        <f t="shared" si="2"/>
        <v>0</v>
      </c>
      <c r="H38" s="108">
        <f t="shared" si="2"/>
        <v>2</v>
      </c>
      <c r="I38" s="108">
        <f t="shared" si="2"/>
        <v>2</v>
      </c>
      <c r="J38" s="108">
        <f t="shared" si="2"/>
        <v>2</v>
      </c>
      <c r="K38" s="108">
        <f t="shared" si="2"/>
        <v>2</v>
      </c>
      <c r="L38" s="108">
        <f t="shared" si="2"/>
        <v>2</v>
      </c>
      <c r="M38" s="108">
        <f t="shared" si="2"/>
        <v>2</v>
      </c>
      <c r="N38" s="108">
        <f t="shared" si="2"/>
        <v>2</v>
      </c>
      <c r="O38" s="108">
        <f t="shared" si="2"/>
        <v>2</v>
      </c>
      <c r="P38" s="108">
        <f t="shared" si="2"/>
        <v>2</v>
      </c>
      <c r="Q38" s="108">
        <f t="shared" si="2"/>
        <v>2</v>
      </c>
      <c r="R38" s="108">
        <f t="shared" si="2"/>
        <v>2</v>
      </c>
      <c r="S38" s="108">
        <f t="shared" si="2"/>
        <v>2</v>
      </c>
      <c r="T38" s="108">
        <f t="shared" si="2"/>
        <v>2</v>
      </c>
      <c r="U38" s="108">
        <f t="shared" si="2"/>
        <v>2</v>
      </c>
      <c r="V38" s="108">
        <f t="shared" si="2"/>
        <v>2</v>
      </c>
      <c r="W38" s="108">
        <f t="shared" si="2"/>
        <v>2</v>
      </c>
      <c r="X38" s="108" t="str">
        <f>IF(Z38&gt;0,"入力確認",IF(AB38=Y38,"適合","不適合"))</f>
        <v>適合</v>
      </c>
      <c r="Y38" s="23">
        <f>COUNTIF($D38:$W38,0)</f>
        <v>4</v>
      </c>
      <c r="Z38" s="191">
        <f>COUNTIF($D38:$W38,1)</f>
        <v>0</v>
      </c>
      <c r="AA38" s="191">
        <f>COUNTIF($D38:$W38,2)</f>
        <v>16</v>
      </c>
      <c r="AB38" s="23">
        <f>20-COUNTIF($D$31:$W$31,"")</f>
        <v>4</v>
      </c>
      <c r="AC38" s="23">
        <f>COUNTIF($D$32:$W$32,"排気")</f>
        <v>1</v>
      </c>
      <c r="AD38" s="23">
        <f>COUNTIF($D$32:$W$32,"給気")</f>
        <v>1</v>
      </c>
      <c r="AE38" s="23">
        <f>COUNTIF($D$32:$W$32,"給気・排気")</f>
        <v>1</v>
      </c>
      <c r="AF38" s="118">
        <v>34</v>
      </c>
    </row>
    <row r="39" spans="2:37" ht="20.25" thickTop="1" x14ac:dyDescent="0.45"/>
    <row r="40" spans="2:37" ht="42" customHeight="1" thickBot="1" x14ac:dyDescent="0.5">
      <c r="B40" s="188" t="s">
        <v>432</v>
      </c>
      <c r="C40" s="30"/>
    </row>
    <row r="41" spans="2:37" ht="21" thickTop="1" thickBot="1" x14ac:dyDescent="0.5">
      <c r="B41" s="391" t="s">
        <v>121</v>
      </c>
      <c r="C41" s="392"/>
      <c r="D41" s="282" t="s">
        <v>283</v>
      </c>
      <c r="E41" s="282" t="s">
        <v>284</v>
      </c>
      <c r="F41" s="282" t="s">
        <v>285</v>
      </c>
      <c r="G41" s="282" t="s">
        <v>286</v>
      </c>
      <c r="H41" s="325" t="s">
        <v>287</v>
      </c>
      <c r="I41" s="326" t="s">
        <v>288</v>
      </c>
      <c r="J41" s="31" t="s">
        <v>289</v>
      </c>
      <c r="K41" s="31" t="s">
        <v>290</v>
      </c>
      <c r="L41" s="31" t="s">
        <v>291</v>
      </c>
      <c r="M41" s="31" t="s">
        <v>292</v>
      </c>
      <c r="N41" s="31" t="s">
        <v>347</v>
      </c>
      <c r="O41" s="31" t="s">
        <v>348</v>
      </c>
      <c r="P41" s="31" t="s">
        <v>349</v>
      </c>
      <c r="Q41" s="31" t="s">
        <v>350</v>
      </c>
      <c r="R41" s="31" t="s">
        <v>351</v>
      </c>
      <c r="S41" s="31" t="s">
        <v>352</v>
      </c>
      <c r="T41" s="31" t="s">
        <v>353</v>
      </c>
      <c r="U41" s="31" t="s">
        <v>354</v>
      </c>
      <c r="V41" s="31" t="s">
        <v>355</v>
      </c>
      <c r="W41" s="31" t="s">
        <v>356</v>
      </c>
      <c r="X41" s="218" t="s">
        <v>484</v>
      </c>
      <c r="Y41" s="219" t="s">
        <v>485</v>
      </c>
      <c r="Z41" s="23"/>
      <c r="AA41" s="79" t="s">
        <v>434</v>
      </c>
    </row>
    <row r="42" spans="2:37" ht="63" customHeight="1" thickTop="1" x14ac:dyDescent="0.45">
      <c r="B42" s="394" t="s">
        <v>1</v>
      </c>
      <c r="C42" s="394"/>
      <c r="D42" s="275" t="s">
        <v>193</v>
      </c>
      <c r="E42" s="275" t="s">
        <v>193</v>
      </c>
      <c r="F42" s="275" t="s">
        <v>193</v>
      </c>
      <c r="G42" s="275" t="s">
        <v>193</v>
      </c>
      <c r="H42" s="275" t="s">
        <v>194</v>
      </c>
      <c r="I42" s="275" t="s">
        <v>536</v>
      </c>
      <c r="J42" s="89"/>
      <c r="K42" s="89"/>
      <c r="L42" s="89"/>
      <c r="M42" s="89"/>
      <c r="N42" s="89"/>
      <c r="O42" s="89"/>
      <c r="P42" s="89"/>
      <c r="Q42" s="89"/>
      <c r="R42" s="89"/>
      <c r="S42" s="89"/>
      <c r="T42" s="89"/>
      <c r="U42" s="89"/>
      <c r="V42" s="89"/>
      <c r="W42" s="89"/>
      <c r="X42" s="220" t="s">
        <v>10</v>
      </c>
      <c r="Y42" s="221" t="s">
        <v>10</v>
      </c>
      <c r="Z42" s="23"/>
    </row>
    <row r="43" spans="2:37" ht="26.25" customHeight="1" x14ac:dyDescent="0.45">
      <c r="B43" s="397" t="s">
        <v>488</v>
      </c>
      <c r="C43" s="397"/>
      <c r="D43" s="224" t="s">
        <v>482</v>
      </c>
      <c r="E43" s="224" t="s">
        <v>482</v>
      </c>
      <c r="F43" s="224" t="s">
        <v>482</v>
      </c>
      <c r="G43" s="224" t="s">
        <v>483</v>
      </c>
      <c r="H43" s="224" t="s">
        <v>524</v>
      </c>
      <c r="I43" s="224" t="s">
        <v>505</v>
      </c>
      <c r="J43" s="224"/>
      <c r="K43" s="224"/>
      <c r="L43" s="224"/>
      <c r="M43" s="224"/>
      <c r="N43" s="224"/>
      <c r="O43" s="224"/>
      <c r="P43" s="224"/>
      <c r="Q43" s="224"/>
      <c r="R43" s="224"/>
      <c r="S43" s="224"/>
      <c r="T43" s="224"/>
      <c r="U43" s="224"/>
      <c r="V43" s="224"/>
      <c r="W43" s="224"/>
      <c r="X43" s="220" t="s">
        <v>10</v>
      </c>
      <c r="Y43" s="221" t="s">
        <v>10</v>
      </c>
      <c r="AA43" s="79"/>
      <c r="AB43" s="225" t="s">
        <v>490</v>
      </c>
    </row>
    <row r="44" spans="2:37" ht="27" customHeight="1" x14ac:dyDescent="0.45">
      <c r="B44" s="395" t="s">
        <v>9</v>
      </c>
      <c r="C44" s="396"/>
      <c r="D44" s="1" t="s">
        <v>85</v>
      </c>
      <c r="E44" s="1" t="s">
        <v>84</v>
      </c>
      <c r="F44" s="1" t="s">
        <v>83</v>
      </c>
      <c r="G44" s="1" t="s">
        <v>85</v>
      </c>
      <c r="H44" s="1" t="s">
        <v>85</v>
      </c>
      <c r="I44" s="1" t="s">
        <v>86</v>
      </c>
      <c r="J44" s="1"/>
      <c r="K44" s="1"/>
      <c r="L44" s="1"/>
      <c r="M44" s="1"/>
      <c r="N44" s="1"/>
      <c r="O44" s="1"/>
      <c r="P44" s="1"/>
      <c r="Q44" s="1"/>
      <c r="R44" s="1"/>
      <c r="S44" s="1"/>
      <c r="T44" s="1"/>
      <c r="U44" s="1"/>
      <c r="V44" s="1"/>
      <c r="W44" s="1"/>
      <c r="X44" s="220" t="s">
        <v>10</v>
      </c>
      <c r="Y44" s="221" t="s">
        <v>10</v>
      </c>
      <c r="Z44" s="23"/>
      <c r="AA44" s="79"/>
    </row>
    <row r="45" spans="2:37" ht="27" customHeight="1" thickBot="1" x14ac:dyDescent="0.5">
      <c r="B45" s="403" t="s">
        <v>108</v>
      </c>
      <c r="C45" s="404"/>
      <c r="D45" s="224" t="s">
        <v>90</v>
      </c>
      <c r="E45" s="224" t="s">
        <v>90</v>
      </c>
      <c r="F45" s="224" t="s">
        <v>90</v>
      </c>
      <c r="G45" s="224" t="s">
        <v>90</v>
      </c>
      <c r="H45" s="224" t="s">
        <v>100</v>
      </c>
      <c r="I45" s="224" t="s">
        <v>90</v>
      </c>
      <c r="J45" s="224"/>
      <c r="K45" s="224"/>
      <c r="L45" s="224"/>
      <c r="M45" s="224"/>
      <c r="N45" s="224"/>
      <c r="O45" s="224"/>
      <c r="P45" s="224"/>
      <c r="Q45" s="224"/>
      <c r="R45" s="224"/>
      <c r="S45" s="224"/>
      <c r="T45" s="224"/>
      <c r="U45" s="224"/>
      <c r="V45" s="224"/>
      <c r="W45" s="224"/>
      <c r="X45" s="216" t="s">
        <v>10</v>
      </c>
      <c r="Y45" s="217" t="s">
        <v>10</v>
      </c>
      <c r="Z45" s="23"/>
      <c r="AA45" s="79"/>
    </row>
    <row r="46" spans="2:37" ht="27" customHeight="1" thickBot="1" x14ac:dyDescent="0.5">
      <c r="B46" s="397" t="s">
        <v>3</v>
      </c>
      <c r="C46" s="397"/>
      <c r="D46" s="301">
        <v>1</v>
      </c>
      <c r="E46" s="301">
        <v>1</v>
      </c>
      <c r="F46" s="301">
        <v>1</v>
      </c>
      <c r="G46" s="301">
        <v>1</v>
      </c>
      <c r="H46" s="301">
        <v>2</v>
      </c>
      <c r="I46" s="301">
        <v>2</v>
      </c>
      <c r="J46" s="204"/>
      <c r="K46" s="204"/>
      <c r="L46" s="204"/>
      <c r="M46" s="204"/>
      <c r="N46" s="204"/>
      <c r="O46" s="204"/>
      <c r="P46" s="204"/>
      <c r="Q46" s="204"/>
      <c r="R46" s="204"/>
      <c r="S46" s="204"/>
      <c r="T46" s="204"/>
      <c r="U46" s="204"/>
      <c r="V46" s="204"/>
      <c r="W46" s="204"/>
      <c r="X46" s="335">
        <f>IF(AND(AC65=0,AD65=0,AE65=0),"",AB52+AD52)</f>
        <v>5</v>
      </c>
      <c r="Y46" s="336">
        <f>IF(AND(AC65=0,AD65=0,AE65=0),"",AC52)</f>
        <v>1</v>
      </c>
      <c r="Z46" s="23"/>
      <c r="AB46" s="225" t="s">
        <v>548</v>
      </c>
    </row>
    <row r="47" spans="2:37" ht="27" customHeight="1" thickTop="1" x14ac:dyDescent="0.45">
      <c r="B47" s="398" t="s">
        <v>4</v>
      </c>
      <c r="C47" s="399"/>
      <c r="D47" s="303">
        <v>600</v>
      </c>
      <c r="E47" s="307">
        <v>520</v>
      </c>
      <c r="F47" s="307">
        <v>550</v>
      </c>
      <c r="G47" s="307">
        <v>1000</v>
      </c>
      <c r="H47" s="320">
        <v>350</v>
      </c>
      <c r="I47" s="322">
        <v>200</v>
      </c>
      <c r="J47" s="169"/>
      <c r="K47" s="169"/>
      <c r="L47" s="169"/>
      <c r="M47" s="169"/>
      <c r="N47" s="169"/>
      <c r="O47" s="169"/>
      <c r="P47" s="169"/>
      <c r="Q47" s="169"/>
      <c r="R47" s="169"/>
      <c r="S47" s="169"/>
      <c r="T47" s="169"/>
      <c r="U47" s="169"/>
      <c r="V47" s="169"/>
      <c r="W47" s="211"/>
      <c r="X47" s="339">
        <f>IF(AND(AC65=0,AE65=0),"",X52+AA52)</f>
        <v>2370</v>
      </c>
      <c r="Y47" s="339">
        <f>IF(AND(AD65=0,AE65=0),"",Y52+AA52)</f>
        <v>1700</v>
      </c>
      <c r="Z47" s="23"/>
      <c r="AB47" s="225" t="s">
        <v>532</v>
      </c>
    </row>
    <row r="48" spans="2:37" ht="27" customHeight="1" thickBot="1" x14ac:dyDescent="0.5">
      <c r="B48" s="397" t="s">
        <v>5</v>
      </c>
      <c r="C48" s="395"/>
      <c r="D48" s="305">
        <v>50</v>
      </c>
      <c r="E48" s="308">
        <v>32</v>
      </c>
      <c r="F48" s="308">
        <v>40</v>
      </c>
      <c r="G48" s="308">
        <v>120</v>
      </c>
      <c r="H48" s="321">
        <v>250</v>
      </c>
      <c r="I48" s="306">
        <v>50</v>
      </c>
      <c r="J48" s="170"/>
      <c r="K48" s="171"/>
      <c r="L48" s="171"/>
      <c r="M48" s="171"/>
      <c r="N48" s="171"/>
      <c r="O48" s="171"/>
      <c r="P48" s="171"/>
      <c r="Q48" s="171"/>
      <c r="R48" s="171"/>
      <c r="S48" s="171"/>
      <c r="T48" s="171"/>
      <c r="U48" s="171"/>
      <c r="V48" s="171"/>
      <c r="W48" s="171"/>
      <c r="X48" s="337">
        <f>IF(AND(AC65=0,AE65=0),"",X53+AA53)</f>
        <v>622</v>
      </c>
      <c r="Y48" s="338">
        <f>IF(AND(AD65=0,AE65=0),"",Y53+AA53)</f>
        <v>620</v>
      </c>
      <c r="Z48" s="23"/>
      <c r="AB48" s="79" t="s">
        <v>533</v>
      </c>
    </row>
    <row r="49" spans="2:37" ht="27" customHeight="1" thickTop="1" thickBot="1" x14ac:dyDescent="0.5">
      <c r="B49" s="400" t="s">
        <v>13</v>
      </c>
      <c r="C49" s="400"/>
      <c r="D49" s="309">
        <f t="shared" ref="D49:W49" si="3">IF(D42="高効率換気設備",IF(ISERROR(D48/D47),"",D48/D47),"---")</f>
        <v>8.3333333333333329E-2</v>
      </c>
      <c r="E49" s="310">
        <f t="shared" si="3"/>
        <v>6.1538461538461542E-2</v>
      </c>
      <c r="F49" s="310">
        <f t="shared" si="3"/>
        <v>7.2727272727272724E-2</v>
      </c>
      <c r="G49" s="310">
        <f t="shared" si="3"/>
        <v>0.12</v>
      </c>
      <c r="H49" s="310" t="str">
        <f t="shared" si="3"/>
        <v>---</v>
      </c>
      <c r="I49" s="310" t="str">
        <f t="shared" si="3"/>
        <v>---</v>
      </c>
      <c r="J49" s="33" t="str">
        <f t="shared" si="3"/>
        <v>---</v>
      </c>
      <c r="K49" s="33" t="str">
        <f t="shared" si="3"/>
        <v>---</v>
      </c>
      <c r="L49" s="33" t="str">
        <f t="shared" si="3"/>
        <v>---</v>
      </c>
      <c r="M49" s="33" t="str">
        <f t="shared" si="3"/>
        <v>---</v>
      </c>
      <c r="N49" s="33" t="str">
        <f t="shared" si="3"/>
        <v>---</v>
      </c>
      <c r="O49" s="33" t="str">
        <f t="shared" si="3"/>
        <v>---</v>
      </c>
      <c r="P49" s="33" t="str">
        <f t="shared" si="3"/>
        <v>---</v>
      </c>
      <c r="Q49" s="33" t="str">
        <f t="shared" si="3"/>
        <v>---</v>
      </c>
      <c r="R49" s="33" t="str">
        <f t="shared" si="3"/>
        <v>---</v>
      </c>
      <c r="S49" s="33" t="str">
        <f t="shared" si="3"/>
        <v>---</v>
      </c>
      <c r="T49" s="33" t="str">
        <f t="shared" si="3"/>
        <v>---</v>
      </c>
      <c r="U49" s="33" t="str">
        <f t="shared" si="3"/>
        <v>---</v>
      </c>
      <c r="V49" s="33" t="str">
        <f t="shared" si="3"/>
        <v>---</v>
      </c>
      <c r="W49" s="33" t="str">
        <f t="shared" si="3"/>
        <v>---</v>
      </c>
      <c r="X49" s="222" t="s">
        <v>10</v>
      </c>
      <c r="Y49" s="223" t="s">
        <v>10</v>
      </c>
      <c r="Z49" s="23"/>
    </row>
    <row r="50" spans="2:37" ht="27" customHeight="1" thickTop="1" x14ac:dyDescent="0.45">
      <c r="B50" s="46" t="s">
        <v>87</v>
      </c>
      <c r="C50" s="297" t="s">
        <v>7</v>
      </c>
      <c r="D50" s="311"/>
      <c r="E50" s="312"/>
      <c r="F50" s="312"/>
      <c r="G50" s="312"/>
      <c r="H50" s="323">
        <v>65</v>
      </c>
      <c r="I50" s="313"/>
      <c r="J50" s="116"/>
      <c r="K50" s="117"/>
      <c r="L50" s="117"/>
      <c r="M50" s="117"/>
      <c r="N50" s="117"/>
      <c r="O50" s="117"/>
      <c r="P50" s="117"/>
      <c r="Q50" s="117"/>
      <c r="R50" s="117"/>
      <c r="S50" s="117"/>
      <c r="T50" s="117"/>
      <c r="U50" s="117"/>
      <c r="V50" s="117"/>
      <c r="W50" s="117"/>
      <c r="X50" s="220" t="s">
        <v>10</v>
      </c>
      <c r="Y50" s="221" t="s">
        <v>10</v>
      </c>
      <c r="Z50" s="23"/>
      <c r="AB50" s="79" t="s">
        <v>440</v>
      </c>
    </row>
    <row r="51" spans="2:37" ht="27" customHeight="1" thickBot="1" x14ac:dyDescent="0.5">
      <c r="B51" s="47" t="s">
        <v>12</v>
      </c>
      <c r="C51" s="297" t="s">
        <v>8</v>
      </c>
      <c r="D51" s="314"/>
      <c r="E51" s="315"/>
      <c r="F51" s="315"/>
      <c r="G51" s="315"/>
      <c r="H51" s="324">
        <v>68</v>
      </c>
      <c r="I51" s="316"/>
      <c r="J51" s="116"/>
      <c r="K51" s="117"/>
      <c r="L51" s="117"/>
      <c r="M51" s="117"/>
      <c r="N51" s="117"/>
      <c r="O51" s="117"/>
      <c r="P51" s="117"/>
      <c r="Q51" s="117"/>
      <c r="R51" s="117"/>
      <c r="S51" s="117"/>
      <c r="T51" s="117"/>
      <c r="U51" s="117"/>
      <c r="V51" s="117"/>
      <c r="W51" s="117"/>
      <c r="X51" s="220" t="s">
        <v>10</v>
      </c>
      <c r="Y51" s="221" t="s">
        <v>10</v>
      </c>
      <c r="Z51" s="23"/>
    </row>
    <row r="52" spans="2:37" ht="27" hidden="1" customHeight="1" thickTop="1" x14ac:dyDescent="0.45">
      <c r="B52" s="398" t="s">
        <v>486</v>
      </c>
      <c r="C52" s="398"/>
      <c r="D52" s="302">
        <f>D46*D47</f>
        <v>600</v>
      </c>
      <c r="E52" s="302">
        <f t="shared" ref="E52:W52" si="4">E46*E47</f>
        <v>520</v>
      </c>
      <c r="F52" s="302">
        <f t="shared" si="4"/>
        <v>550</v>
      </c>
      <c r="G52" s="302">
        <f t="shared" si="4"/>
        <v>1000</v>
      </c>
      <c r="H52" s="302">
        <f t="shared" si="4"/>
        <v>700</v>
      </c>
      <c r="I52" s="302">
        <f t="shared" si="4"/>
        <v>400</v>
      </c>
      <c r="J52" s="169">
        <f t="shared" si="4"/>
        <v>0</v>
      </c>
      <c r="K52" s="169">
        <f t="shared" si="4"/>
        <v>0</v>
      </c>
      <c r="L52" s="169">
        <f t="shared" si="4"/>
        <v>0</v>
      </c>
      <c r="M52" s="169">
        <f t="shared" si="4"/>
        <v>0</v>
      </c>
      <c r="N52" s="169">
        <f t="shared" si="4"/>
        <v>0</v>
      </c>
      <c r="O52" s="169">
        <f t="shared" si="4"/>
        <v>0</v>
      </c>
      <c r="P52" s="169">
        <f t="shared" si="4"/>
        <v>0</v>
      </c>
      <c r="Q52" s="169">
        <f t="shared" si="4"/>
        <v>0</v>
      </c>
      <c r="R52" s="169">
        <f t="shared" si="4"/>
        <v>0</v>
      </c>
      <c r="S52" s="169">
        <f t="shared" si="4"/>
        <v>0</v>
      </c>
      <c r="T52" s="169">
        <f t="shared" si="4"/>
        <v>0</v>
      </c>
      <c r="U52" s="169">
        <f t="shared" si="4"/>
        <v>0</v>
      </c>
      <c r="V52" s="169">
        <f t="shared" si="4"/>
        <v>0</v>
      </c>
      <c r="W52" s="169">
        <f t="shared" si="4"/>
        <v>0</v>
      </c>
      <c r="X52" s="220">
        <f>IF(SUMIF($D$43:$W$43,"排気",$D$52:$W$52)=0,0,SUMIF($D$43:$W$43,"排気",$D$52:$W$52))</f>
        <v>1670</v>
      </c>
      <c r="Y52" s="221">
        <f>IF(SUMIF($D$43:$W$43,"給気",$D$52:$W$52)=0,0,SUMIF($D$43:$W$43,"給気",$D$52:$W$52))</f>
        <v>1000</v>
      </c>
      <c r="AA52" s="191">
        <f>IF(SUMIF($D$43:$W$43,"給気・排気",$D$52:$W$52)=0,0,SUMIF($D$43:$W$43,"給気・排気",$D$52:$W$52))</f>
        <v>700</v>
      </c>
      <c r="AB52" s="317">
        <f>IF(SUMIF($D$43:$W$43,"排気",$D$46:$W$46)=0,0,SUMIF($D$43:$W$43,"排気",$D$46:$W$46))</f>
        <v>3</v>
      </c>
      <c r="AC52" s="317">
        <f>IF(SUMIF($D$43:$W$43,"給気",$D$46:$W$46)=0,0,SUMIF($D$43:$W$43,"給気",$D$46:$W$46))</f>
        <v>1</v>
      </c>
      <c r="AD52" s="317">
        <f>IF(SUMIF($D$43:$W$43,"給気・排気",$D$46:$W$46)=0,0,SUMIF($D$43:$W$43,"給気・排気",$D$46:$W$46))</f>
        <v>2</v>
      </c>
      <c r="AE52" s="317"/>
      <c r="AF52" s="317" t="s">
        <v>549</v>
      </c>
      <c r="AG52" s="318"/>
      <c r="AH52" s="318"/>
      <c r="AI52" s="318"/>
      <c r="AJ52" s="318"/>
      <c r="AK52" s="318"/>
    </row>
    <row r="53" spans="2:37" ht="27" hidden="1" customHeight="1" thickBot="1" x14ac:dyDescent="0.5">
      <c r="B53" s="397" t="s">
        <v>487</v>
      </c>
      <c r="C53" s="397"/>
      <c r="D53" s="169">
        <f>D46*D48</f>
        <v>50</v>
      </c>
      <c r="E53" s="169">
        <f t="shared" ref="E53:W53" si="5">E46*E48</f>
        <v>32</v>
      </c>
      <c r="F53" s="169">
        <f t="shared" si="5"/>
        <v>40</v>
      </c>
      <c r="G53" s="169">
        <f t="shared" si="5"/>
        <v>120</v>
      </c>
      <c r="H53" s="169">
        <f t="shared" si="5"/>
        <v>500</v>
      </c>
      <c r="I53" s="169">
        <f t="shared" si="5"/>
        <v>100</v>
      </c>
      <c r="J53" s="169">
        <f t="shared" si="5"/>
        <v>0</v>
      </c>
      <c r="K53" s="169">
        <f t="shared" si="5"/>
        <v>0</v>
      </c>
      <c r="L53" s="169">
        <f t="shared" si="5"/>
        <v>0</v>
      </c>
      <c r="M53" s="169">
        <f t="shared" si="5"/>
        <v>0</v>
      </c>
      <c r="N53" s="169">
        <f t="shared" si="5"/>
        <v>0</v>
      </c>
      <c r="O53" s="169">
        <f t="shared" si="5"/>
        <v>0</v>
      </c>
      <c r="P53" s="169">
        <f t="shared" si="5"/>
        <v>0</v>
      </c>
      <c r="Q53" s="169">
        <f t="shared" si="5"/>
        <v>0</v>
      </c>
      <c r="R53" s="169">
        <f t="shared" si="5"/>
        <v>0</v>
      </c>
      <c r="S53" s="169">
        <f t="shared" si="5"/>
        <v>0</v>
      </c>
      <c r="T53" s="169">
        <f t="shared" si="5"/>
        <v>0</v>
      </c>
      <c r="U53" s="169">
        <f t="shared" si="5"/>
        <v>0</v>
      </c>
      <c r="V53" s="169">
        <f t="shared" si="5"/>
        <v>0</v>
      </c>
      <c r="W53" s="169">
        <f t="shared" si="5"/>
        <v>0</v>
      </c>
      <c r="X53" s="216">
        <f>IF(SUMIF($D$43:$W$43,"排気",$D$53:$W$53)=0,0,SUMIF($D$43:$W$43,"排気",$D$53:$W$53))</f>
        <v>122</v>
      </c>
      <c r="Y53" s="217">
        <f>IF(SUMIF($D$43:$W$43,"給気",$D$53:$W$53)=0,0,SUMIF($D$43:$W$43,"給気",$D$53:$W$53))</f>
        <v>120</v>
      </c>
      <c r="AA53" s="191">
        <f>IF(SUMIF($D$43:$W$43,"給気・排気",$D$53:$W$53)=0,0,SUMIF($D$43:$W$43,"給気・排気",$D$53:$W$53))</f>
        <v>500</v>
      </c>
    </row>
    <row r="54" spans="2:37" ht="20.25" hidden="1" thickTop="1" x14ac:dyDescent="0.45">
      <c r="B54" s="129" t="s">
        <v>274</v>
      </c>
      <c r="C54" s="129"/>
      <c r="D54" s="129">
        <f>IF(D$42&lt;&gt;"機械換気（換気扇等）",2,IF(AND(D$42="機械換気（換気扇等）",D$44="継続"),0,1))</f>
        <v>2</v>
      </c>
      <c r="E54" s="129">
        <f t="shared" ref="E54:W54" si="6">IF(E$42&lt;&gt;"機械換気（換気扇等）",2,IF(AND(E$42="機械換気（換気扇等）",E$44="継続"),0,1))</f>
        <v>2</v>
      </c>
      <c r="F54" s="129">
        <f t="shared" si="6"/>
        <v>2</v>
      </c>
      <c r="G54" s="129">
        <f t="shared" si="6"/>
        <v>2</v>
      </c>
      <c r="H54" s="129">
        <f t="shared" si="6"/>
        <v>2</v>
      </c>
      <c r="I54" s="129">
        <f t="shared" si="6"/>
        <v>0</v>
      </c>
      <c r="J54" s="129">
        <f t="shared" si="6"/>
        <v>2</v>
      </c>
      <c r="K54" s="129">
        <f t="shared" si="6"/>
        <v>2</v>
      </c>
      <c r="L54" s="129">
        <f t="shared" si="6"/>
        <v>2</v>
      </c>
      <c r="M54" s="129">
        <f t="shared" si="6"/>
        <v>2</v>
      </c>
      <c r="N54" s="129">
        <f t="shared" si="6"/>
        <v>2</v>
      </c>
      <c r="O54" s="129">
        <f t="shared" si="6"/>
        <v>2</v>
      </c>
      <c r="P54" s="129">
        <f t="shared" si="6"/>
        <v>2</v>
      </c>
      <c r="Q54" s="129">
        <f t="shared" si="6"/>
        <v>2</v>
      </c>
      <c r="R54" s="129">
        <f t="shared" si="6"/>
        <v>2</v>
      </c>
      <c r="S54" s="129">
        <f t="shared" si="6"/>
        <v>2</v>
      </c>
      <c r="T54" s="129">
        <f t="shared" si="6"/>
        <v>2</v>
      </c>
      <c r="U54" s="129">
        <f t="shared" si="6"/>
        <v>2</v>
      </c>
      <c r="V54" s="129">
        <f t="shared" si="6"/>
        <v>2</v>
      </c>
      <c r="W54" s="129">
        <f t="shared" si="6"/>
        <v>2</v>
      </c>
      <c r="X54" s="108" t="str">
        <f>IF(AC54=Y54,"適合","非適合")</f>
        <v>適合</v>
      </c>
      <c r="Y54" s="23">
        <f>COUNTIF($D54:$W54,0)</f>
        <v>1</v>
      </c>
      <c r="Z54" s="191">
        <f>COUNTIF($D54:$W54,1)</f>
        <v>0</v>
      </c>
      <c r="AA54" s="191">
        <f>COUNTIF($D54:$W54,2)</f>
        <v>19</v>
      </c>
      <c r="AB54" s="23"/>
      <c r="AC54" s="23">
        <f>COUNTIF($D$42:$W$42,"機械換気（換気扇等）")</f>
        <v>1</v>
      </c>
      <c r="AF54" s="118">
        <v>50</v>
      </c>
    </row>
    <row r="55" spans="2:37" ht="20.25" hidden="1" thickTop="1" x14ac:dyDescent="0.45">
      <c r="B55" s="201" t="s">
        <v>462</v>
      </c>
      <c r="C55" s="201"/>
      <c r="D55" s="201">
        <f>IF(OR(D43="補器（排気）",D43="補器（給気）",D44="継続"),0,IF(D44="新設",1,IF(D44="増設",2,IF(D44="更新",3,9))))</f>
        <v>3</v>
      </c>
      <c r="E55" s="201">
        <f t="shared" ref="E55:W55" si="7">IF(OR(E43="補器（排気）",E43="補器（給気）",E44="継続"),0,IF(E44="新設",1,IF(E44="増設",2,IF(E44="更新",3,9))))</f>
        <v>2</v>
      </c>
      <c r="F55" s="201">
        <f t="shared" si="7"/>
        <v>1</v>
      </c>
      <c r="G55" s="201">
        <f t="shared" si="7"/>
        <v>3</v>
      </c>
      <c r="H55" s="201">
        <f t="shared" si="7"/>
        <v>3</v>
      </c>
      <c r="I55" s="201">
        <f t="shared" si="7"/>
        <v>0</v>
      </c>
      <c r="J55" s="201">
        <f t="shared" si="7"/>
        <v>9</v>
      </c>
      <c r="K55" s="201">
        <f t="shared" si="7"/>
        <v>9</v>
      </c>
      <c r="L55" s="201">
        <f t="shared" si="7"/>
        <v>9</v>
      </c>
      <c r="M55" s="201">
        <f t="shared" si="7"/>
        <v>9</v>
      </c>
      <c r="N55" s="201">
        <f t="shared" si="7"/>
        <v>9</v>
      </c>
      <c r="O55" s="201">
        <f t="shared" si="7"/>
        <v>9</v>
      </c>
      <c r="P55" s="201">
        <f t="shared" si="7"/>
        <v>9</v>
      </c>
      <c r="Q55" s="201">
        <f t="shared" si="7"/>
        <v>9</v>
      </c>
      <c r="R55" s="201">
        <f t="shared" si="7"/>
        <v>9</v>
      </c>
      <c r="S55" s="201">
        <f t="shared" si="7"/>
        <v>9</v>
      </c>
      <c r="T55" s="201">
        <f t="shared" si="7"/>
        <v>9</v>
      </c>
      <c r="U55" s="201">
        <f t="shared" si="7"/>
        <v>9</v>
      </c>
      <c r="V55" s="201">
        <f t="shared" si="7"/>
        <v>9</v>
      </c>
      <c r="W55" s="201">
        <f t="shared" si="7"/>
        <v>9</v>
      </c>
      <c r="X55" s="108" t="str">
        <f>IF(Y55=AD55,"非適合","適合")</f>
        <v>適合</v>
      </c>
      <c r="Y55" s="23">
        <f>COUNTIF($D55:$W55,0)</f>
        <v>1</v>
      </c>
      <c r="Z55" s="191">
        <f>COUNTIF($D55:$W55,1)</f>
        <v>1</v>
      </c>
      <c r="AA55" s="191">
        <f>COUNTIF($D55:$W55,2)</f>
        <v>1</v>
      </c>
      <c r="AB55" s="191">
        <f>COUNTIF($D55:$W55,3)</f>
        <v>3</v>
      </c>
      <c r="AC55" s="191">
        <f>COUNTIF($D55:$W55,9)</f>
        <v>14</v>
      </c>
      <c r="AD55" s="23">
        <f>20-COUNTIF($D$42:$W$42,"")</f>
        <v>6</v>
      </c>
      <c r="AF55" s="118">
        <v>52</v>
      </c>
    </row>
    <row r="56" spans="2:37" ht="20.25" hidden="1" thickTop="1" x14ac:dyDescent="0.45">
      <c r="B56" s="110" t="s">
        <v>267</v>
      </c>
      <c r="C56" s="108"/>
      <c r="D56" s="108">
        <f t="shared" ref="D56:W56" si="8">IF(D49="---",2,IF(AND(D42="高効率換気設備",D49&lt;=0.4),0,1))</f>
        <v>0</v>
      </c>
      <c r="E56" s="108">
        <f t="shared" si="8"/>
        <v>0</v>
      </c>
      <c r="F56" s="108">
        <f t="shared" si="8"/>
        <v>0</v>
      </c>
      <c r="G56" s="108">
        <f t="shared" si="8"/>
        <v>0</v>
      </c>
      <c r="H56" s="108">
        <f t="shared" si="8"/>
        <v>2</v>
      </c>
      <c r="I56" s="108">
        <f t="shared" si="8"/>
        <v>2</v>
      </c>
      <c r="J56" s="108">
        <f t="shared" si="8"/>
        <v>2</v>
      </c>
      <c r="K56" s="108">
        <f t="shared" si="8"/>
        <v>2</v>
      </c>
      <c r="L56" s="108">
        <f t="shared" si="8"/>
        <v>2</v>
      </c>
      <c r="M56" s="108">
        <f t="shared" si="8"/>
        <v>2</v>
      </c>
      <c r="N56" s="108">
        <f t="shared" si="8"/>
        <v>2</v>
      </c>
      <c r="O56" s="108">
        <f t="shared" si="8"/>
        <v>2</v>
      </c>
      <c r="P56" s="108">
        <f t="shared" si="8"/>
        <v>2</v>
      </c>
      <c r="Q56" s="108">
        <f t="shared" si="8"/>
        <v>2</v>
      </c>
      <c r="R56" s="108">
        <f t="shared" si="8"/>
        <v>2</v>
      </c>
      <c r="S56" s="108">
        <f t="shared" si="8"/>
        <v>2</v>
      </c>
      <c r="T56" s="108">
        <f t="shared" si="8"/>
        <v>2</v>
      </c>
      <c r="U56" s="108">
        <f t="shared" si="8"/>
        <v>2</v>
      </c>
      <c r="V56" s="108">
        <f t="shared" si="8"/>
        <v>2</v>
      </c>
      <c r="W56" s="108">
        <f t="shared" si="8"/>
        <v>2</v>
      </c>
      <c r="X56" s="108" t="str">
        <f>IF(AC56=Y56,"適合","非適合")</f>
        <v>適合</v>
      </c>
      <c r="Y56" s="23">
        <f>COUNTIF($D56:$W56,0)</f>
        <v>4</v>
      </c>
      <c r="Z56" s="191">
        <f>COUNTIF($D56:$W56,1)</f>
        <v>0</v>
      </c>
      <c r="AA56" s="191">
        <f>COUNTIF($D56:$W56,2)</f>
        <v>16</v>
      </c>
      <c r="AB56" s="191">
        <f>COUNTIF($D$49:$W$49,"---")</f>
        <v>16</v>
      </c>
      <c r="AC56" s="23">
        <f>COUNTIF($D$42:$W$42,"高効率換気設備")</f>
        <v>4</v>
      </c>
      <c r="AF56" s="118">
        <v>53</v>
      </c>
    </row>
    <row r="57" spans="2:37" ht="20.25" hidden="1" thickTop="1" x14ac:dyDescent="0.45">
      <c r="B57" s="108" t="s">
        <v>251</v>
      </c>
      <c r="C57" s="108"/>
      <c r="D57" s="108">
        <f>IF(D$42&lt;&gt;"換気・空調一体型設備",2,IF(D$42="換気・空調一体型設備",0,1))</f>
        <v>2</v>
      </c>
      <c r="E57" s="108">
        <f t="shared" ref="E57:W57" si="9">IF(E$42&lt;&gt;"換気・空調一体型設備",2,IF(E$42="換気・空調一体型設備",0,1))</f>
        <v>2</v>
      </c>
      <c r="F57" s="108">
        <f t="shared" si="9"/>
        <v>2</v>
      </c>
      <c r="G57" s="108">
        <f t="shared" si="9"/>
        <v>2</v>
      </c>
      <c r="H57" s="108">
        <f t="shared" si="9"/>
        <v>2</v>
      </c>
      <c r="I57" s="108">
        <f t="shared" si="9"/>
        <v>2</v>
      </c>
      <c r="J57" s="108">
        <f t="shared" si="9"/>
        <v>2</v>
      </c>
      <c r="K57" s="108">
        <f t="shared" si="9"/>
        <v>2</v>
      </c>
      <c r="L57" s="108">
        <f t="shared" si="9"/>
        <v>2</v>
      </c>
      <c r="M57" s="108">
        <f t="shared" si="9"/>
        <v>2</v>
      </c>
      <c r="N57" s="108">
        <f t="shared" si="9"/>
        <v>2</v>
      </c>
      <c r="O57" s="108">
        <f t="shared" si="9"/>
        <v>2</v>
      </c>
      <c r="P57" s="108">
        <f t="shared" si="9"/>
        <v>2</v>
      </c>
      <c r="Q57" s="108">
        <f t="shared" si="9"/>
        <v>2</v>
      </c>
      <c r="R57" s="108">
        <f t="shared" si="9"/>
        <v>2</v>
      </c>
      <c r="S57" s="108">
        <f t="shared" si="9"/>
        <v>2</v>
      </c>
      <c r="T57" s="108">
        <f t="shared" si="9"/>
        <v>2</v>
      </c>
      <c r="U57" s="108">
        <f t="shared" si="9"/>
        <v>2</v>
      </c>
      <c r="V57" s="108">
        <f t="shared" si="9"/>
        <v>2</v>
      </c>
      <c r="W57" s="108">
        <f t="shared" si="9"/>
        <v>2</v>
      </c>
      <c r="X57" s="108" t="str">
        <f>IF(AC57=Y57,"適合","非適合")</f>
        <v>適合</v>
      </c>
      <c r="Y57" s="23">
        <f>COUNTIF($D57:$W57,0)</f>
        <v>0</v>
      </c>
      <c r="Z57" s="191">
        <f>COUNTIF($D57:$W57,1)</f>
        <v>0</v>
      </c>
      <c r="AA57" s="191">
        <f>COUNTIF($D57:$W57,2)</f>
        <v>20</v>
      </c>
      <c r="AC57" s="23">
        <f>COUNTIF($D$42:$W$42,"換気・空調一体型設備")</f>
        <v>0</v>
      </c>
      <c r="AF57" s="118">
        <v>54</v>
      </c>
    </row>
    <row r="58" spans="2:37" ht="20.25" hidden="1" thickTop="1" x14ac:dyDescent="0.45">
      <c r="B58" s="108" t="s">
        <v>281</v>
      </c>
      <c r="C58" s="108"/>
      <c r="D58" s="108">
        <f t="shared" ref="D58:W58" si="10">IF(AND(D57=0,OR(D44="新設",D44="増設",D44="更新")),0,2)</f>
        <v>2</v>
      </c>
      <c r="E58" s="108">
        <f t="shared" si="10"/>
        <v>2</v>
      </c>
      <c r="F58" s="108">
        <f t="shared" si="10"/>
        <v>2</v>
      </c>
      <c r="G58" s="108">
        <f t="shared" si="10"/>
        <v>2</v>
      </c>
      <c r="H58" s="108">
        <f t="shared" si="10"/>
        <v>2</v>
      </c>
      <c r="I58" s="108">
        <f t="shared" si="10"/>
        <v>2</v>
      </c>
      <c r="J58" s="108">
        <f t="shared" si="10"/>
        <v>2</v>
      </c>
      <c r="K58" s="108">
        <f t="shared" si="10"/>
        <v>2</v>
      </c>
      <c r="L58" s="108">
        <f t="shared" si="10"/>
        <v>2</v>
      </c>
      <c r="M58" s="108">
        <f t="shared" si="10"/>
        <v>2</v>
      </c>
      <c r="N58" s="108">
        <f t="shared" si="10"/>
        <v>2</v>
      </c>
      <c r="O58" s="108">
        <f t="shared" si="10"/>
        <v>2</v>
      </c>
      <c r="P58" s="108">
        <f t="shared" si="10"/>
        <v>2</v>
      </c>
      <c r="Q58" s="108">
        <f t="shared" si="10"/>
        <v>2</v>
      </c>
      <c r="R58" s="108">
        <f t="shared" si="10"/>
        <v>2</v>
      </c>
      <c r="S58" s="108">
        <f t="shared" si="10"/>
        <v>2</v>
      </c>
      <c r="T58" s="108">
        <f t="shared" si="10"/>
        <v>2</v>
      </c>
      <c r="U58" s="108">
        <f t="shared" si="10"/>
        <v>2</v>
      </c>
      <c r="V58" s="108">
        <f t="shared" si="10"/>
        <v>2</v>
      </c>
      <c r="W58" s="108">
        <f t="shared" si="10"/>
        <v>2</v>
      </c>
      <c r="X58" s="108"/>
      <c r="AF58" s="118">
        <v>55</v>
      </c>
    </row>
    <row r="59" spans="2:37" ht="20.25" hidden="1" thickTop="1" x14ac:dyDescent="0.45">
      <c r="B59" s="129" t="s">
        <v>275</v>
      </c>
      <c r="C59" s="129"/>
      <c r="D59" s="129">
        <f>IF(AND(D$42&lt;&gt;"熱交換型換気設備",D$42&lt;&gt;"顕熱交換器"),2,IF(OR(D$42="熱交換型換気設備",D$42="顕熱交換器"),0,1))</f>
        <v>2</v>
      </c>
      <c r="E59" s="129">
        <f t="shared" ref="E59:W59" si="11">IF(AND(E$42&lt;&gt;"熱交換型換気設備",E$42&lt;&gt;"顕熱交換器"),2,IF(OR(E$42="熱交換型換気設備",E$42="顕熱交換器"),0,1))</f>
        <v>2</v>
      </c>
      <c r="F59" s="129">
        <f t="shared" si="11"/>
        <v>2</v>
      </c>
      <c r="G59" s="129">
        <f t="shared" si="11"/>
        <v>2</v>
      </c>
      <c r="H59" s="129">
        <f t="shared" si="11"/>
        <v>0</v>
      </c>
      <c r="I59" s="129">
        <f t="shared" si="11"/>
        <v>2</v>
      </c>
      <c r="J59" s="129">
        <f t="shared" si="11"/>
        <v>2</v>
      </c>
      <c r="K59" s="129">
        <f t="shared" si="11"/>
        <v>2</v>
      </c>
      <c r="L59" s="129">
        <f t="shared" si="11"/>
        <v>2</v>
      </c>
      <c r="M59" s="129">
        <f t="shared" si="11"/>
        <v>2</v>
      </c>
      <c r="N59" s="129">
        <f t="shared" si="11"/>
        <v>2</v>
      </c>
      <c r="O59" s="129">
        <f t="shared" si="11"/>
        <v>2</v>
      </c>
      <c r="P59" s="129">
        <f t="shared" si="11"/>
        <v>2</v>
      </c>
      <c r="Q59" s="129">
        <f t="shared" si="11"/>
        <v>2</v>
      </c>
      <c r="R59" s="129">
        <f t="shared" si="11"/>
        <v>2</v>
      </c>
      <c r="S59" s="129">
        <f t="shared" si="11"/>
        <v>2</v>
      </c>
      <c r="T59" s="129">
        <f t="shared" si="11"/>
        <v>2</v>
      </c>
      <c r="U59" s="129">
        <f t="shared" si="11"/>
        <v>2</v>
      </c>
      <c r="V59" s="129">
        <f t="shared" si="11"/>
        <v>2</v>
      </c>
      <c r="W59" s="129">
        <f t="shared" si="11"/>
        <v>2</v>
      </c>
      <c r="X59" s="108" t="str">
        <f>IF(AB59+AC59=Y59,"適合","非適合")</f>
        <v>適合</v>
      </c>
      <c r="Y59" s="23">
        <f t="shared" ref="Y59:Y64" si="12">COUNTIF($D59:$W59,0)</f>
        <v>1</v>
      </c>
      <c r="Z59" s="191">
        <f t="shared" ref="Z59:Z64" si="13">COUNTIF($D59:$W59,1)</f>
        <v>0</v>
      </c>
      <c r="AA59" s="191">
        <f t="shared" ref="AA59:AA64" si="14">COUNTIF($D59:$W59,2)</f>
        <v>19</v>
      </c>
      <c r="AB59" s="191">
        <f>COUNTIF($D$42:$W$42,"熱交換型換気設備")</f>
        <v>1</v>
      </c>
      <c r="AC59" s="23">
        <f>COUNTIF($D$42:$W$42,"顕熱交換器")</f>
        <v>0</v>
      </c>
      <c r="AF59" s="118">
        <v>56</v>
      </c>
    </row>
    <row r="60" spans="2:37" ht="20.25" hidden="1" thickTop="1" x14ac:dyDescent="0.45">
      <c r="B60" s="108" t="s">
        <v>253</v>
      </c>
      <c r="C60" s="108"/>
      <c r="D60" s="108">
        <f>IF(D$42&lt;&gt;"顕熱交換器",2,IF(AND(D$42="顕熱交換器",D50&gt;=40),0,1))</f>
        <v>2</v>
      </c>
      <c r="E60" s="108">
        <f t="shared" ref="E60:W61" si="15">IF(E$42&lt;&gt;"顕熱交換器",2,IF(AND(E$42="顕熱交換器",E50&gt;=40),0,1))</f>
        <v>2</v>
      </c>
      <c r="F60" s="108">
        <f t="shared" si="15"/>
        <v>2</v>
      </c>
      <c r="G60" s="108">
        <f t="shared" si="15"/>
        <v>2</v>
      </c>
      <c r="H60" s="108">
        <f t="shared" si="15"/>
        <v>2</v>
      </c>
      <c r="I60" s="108">
        <f t="shared" si="15"/>
        <v>2</v>
      </c>
      <c r="J60" s="108">
        <f t="shared" si="15"/>
        <v>2</v>
      </c>
      <c r="K60" s="108">
        <f t="shared" si="15"/>
        <v>2</v>
      </c>
      <c r="L60" s="108">
        <f t="shared" si="15"/>
        <v>2</v>
      </c>
      <c r="M60" s="108">
        <f t="shared" si="15"/>
        <v>2</v>
      </c>
      <c r="N60" s="108">
        <f t="shared" si="15"/>
        <v>2</v>
      </c>
      <c r="O60" s="108">
        <f t="shared" si="15"/>
        <v>2</v>
      </c>
      <c r="P60" s="108">
        <f t="shared" si="15"/>
        <v>2</v>
      </c>
      <c r="Q60" s="108">
        <f t="shared" si="15"/>
        <v>2</v>
      </c>
      <c r="R60" s="108">
        <f t="shared" si="15"/>
        <v>2</v>
      </c>
      <c r="S60" s="108">
        <f t="shared" si="15"/>
        <v>2</v>
      </c>
      <c r="T60" s="108">
        <f t="shared" si="15"/>
        <v>2</v>
      </c>
      <c r="U60" s="108">
        <f t="shared" si="15"/>
        <v>2</v>
      </c>
      <c r="V60" s="108">
        <f t="shared" si="15"/>
        <v>2</v>
      </c>
      <c r="W60" s="108">
        <f t="shared" si="15"/>
        <v>2</v>
      </c>
      <c r="X60" s="108"/>
      <c r="Y60" s="23">
        <f t="shared" si="12"/>
        <v>0</v>
      </c>
      <c r="Z60" s="191">
        <f t="shared" si="13"/>
        <v>0</v>
      </c>
      <c r="AA60" s="191">
        <f t="shared" si="14"/>
        <v>20</v>
      </c>
      <c r="AC60" s="23">
        <f>COUNTIF($D$42:$W$42,"顕熱交換器")</f>
        <v>0</v>
      </c>
      <c r="AF60" s="118">
        <v>57</v>
      </c>
    </row>
    <row r="61" spans="2:37" ht="20.25" hidden="1" thickTop="1" x14ac:dyDescent="0.45">
      <c r="B61" s="108" t="s">
        <v>254</v>
      </c>
      <c r="C61" s="108"/>
      <c r="D61" s="108">
        <f>IF(D$42&lt;&gt;"顕熱交換器",2,IF(AND(D$42="顕熱交換器",D51&gt;=40),0,1))</f>
        <v>2</v>
      </c>
      <c r="E61" s="108">
        <f t="shared" si="15"/>
        <v>2</v>
      </c>
      <c r="F61" s="108">
        <f t="shared" si="15"/>
        <v>2</v>
      </c>
      <c r="G61" s="108">
        <f t="shared" si="15"/>
        <v>2</v>
      </c>
      <c r="H61" s="108">
        <f t="shared" si="15"/>
        <v>2</v>
      </c>
      <c r="I61" s="108">
        <f t="shared" si="15"/>
        <v>2</v>
      </c>
      <c r="J61" s="108">
        <f t="shared" si="15"/>
        <v>2</v>
      </c>
      <c r="K61" s="108">
        <f t="shared" si="15"/>
        <v>2</v>
      </c>
      <c r="L61" s="108">
        <f t="shared" si="15"/>
        <v>2</v>
      </c>
      <c r="M61" s="108">
        <f t="shared" si="15"/>
        <v>2</v>
      </c>
      <c r="N61" s="108">
        <f t="shared" si="15"/>
        <v>2</v>
      </c>
      <c r="O61" s="108">
        <f t="shared" si="15"/>
        <v>2</v>
      </c>
      <c r="P61" s="108">
        <f t="shared" si="15"/>
        <v>2</v>
      </c>
      <c r="Q61" s="108">
        <f t="shared" si="15"/>
        <v>2</v>
      </c>
      <c r="R61" s="108">
        <f t="shared" si="15"/>
        <v>2</v>
      </c>
      <c r="S61" s="108">
        <f t="shared" si="15"/>
        <v>2</v>
      </c>
      <c r="T61" s="108">
        <f t="shared" si="15"/>
        <v>2</v>
      </c>
      <c r="U61" s="108">
        <f t="shared" si="15"/>
        <v>2</v>
      </c>
      <c r="V61" s="108">
        <f t="shared" si="15"/>
        <v>2</v>
      </c>
      <c r="W61" s="108">
        <f t="shared" si="15"/>
        <v>2</v>
      </c>
      <c r="X61" s="108" t="str">
        <f>IF(AND(AC60=Y60,AC60=Y61),"適合","非適合")</f>
        <v>適合</v>
      </c>
      <c r="Y61" s="23">
        <f t="shared" si="12"/>
        <v>0</v>
      </c>
      <c r="Z61" s="191">
        <f t="shared" si="13"/>
        <v>0</v>
      </c>
      <c r="AA61" s="191">
        <f t="shared" si="14"/>
        <v>20</v>
      </c>
      <c r="AF61" s="118">
        <v>58</v>
      </c>
    </row>
    <row r="62" spans="2:37" ht="20.25" hidden="1" thickTop="1" x14ac:dyDescent="0.45">
      <c r="B62" s="110" t="s">
        <v>249</v>
      </c>
      <c r="C62" s="108"/>
      <c r="D62" s="108">
        <f>IF(D$42&lt;&gt;"熱交換型換気設備",2,IF(AND(D$42="熱交換型換気設備",D50&gt;=40),0,1))</f>
        <v>2</v>
      </c>
      <c r="E62" s="108">
        <f t="shared" ref="E62:W63" si="16">IF(E$42&lt;&gt;"熱交換型換気設備",2,IF(AND(E$42="熱交換型換気設備",E50&gt;=40),0,1))</f>
        <v>2</v>
      </c>
      <c r="F62" s="108">
        <f t="shared" si="16"/>
        <v>2</v>
      </c>
      <c r="G62" s="108">
        <f t="shared" si="16"/>
        <v>2</v>
      </c>
      <c r="H62" s="108">
        <f t="shared" si="16"/>
        <v>0</v>
      </c>
      <c r="I62" s="108">
        <f t="shared" si="16"/>
        <v>2</v>
      </c>
      <c r="J62" s="108">
        <f t="shared" si="16"/>
        <v>2</v>
      </c>
      <c r="K62" s="108">
        <f t="shared" si="16"/>
        <v>2</v>
      </c>
      <c r="L62" s="108">
        <f t="shared" si="16"/>
        <v>2</v>
      </c>
      <c r="M62" s="108">
        <f t="shared" si="16"/>
        <v>2</v>
      </c>
      <c r="N62" s="108">
        <f t="shared" si="16"/>
        <v>2</v>
      </c>
      <c r="O62" s="108">
        <f t="shared" si="16"/>
        <v>2</v>
      </c>
      <c r="P62" s="108">
        <f t="shared" si="16"/>
        <v>2</v>
      </c>
      <c r="Q62" s="108">
        <f t="shared" si="16"/>
        <v>2</v>
      </c>
      <c r="R62" s="108">
        <f t="shared" si="16"/>
        <v>2</v>
      </c>
      <c r="S62" s="108">
        <f t="shared" si="16"/>
        <v>2</v>
      </c>
      <c r="T62" s="108">
        <f t="shared" si="16"/>
        <v>2</v>
      </c>
      <c r="U62" s="108">
        <f t="shared" si="16"/>
        <v>2</v>
      </c>
      <c r="V62" s="108">
        <f t="shared" si="16"/>
        <v>2</v>
      </c>
      <c r="W62" s="108">
        <f t="shared" si="16"/>
        <v>2</v>
      </c>
      <c r="X62" s="108"/>
      <c r="Y62" s="23">
        <f t="shared" si="12"/>
        <v>1</v>
      </c>
      <c r="Z62" s="191">
        <f t="shared" si="13"/>
        <v>0</v>
      </c>
      <c r="AA62" s="191">
        <f>COUNTIF($D62:$W62,2)</f>
        <v>19</v>
      </c>
      <c r="AB62" s="191">
        <f>COUNT($D50:$W50)</f>
        <v>1</v>
      </c>
      <c r="AC62" s="23">
        <f>COUNTIF($D$42:$W$42,"熱交換型換気設備")</f>
        <v>1</v>
      </c>
      <c r="AF62" s="118">
        <v>59</v>
      </c>
    </row>
    <row r="63" spans="2:37" ht="20.25" hidden="1" thickTop="1" x14ac:dyDescent="0.45">
      <c r="B63" s="110" t="s">
        <v>250</v>
      </c>
      <c r="C63" s="108"/>
      <c r="D63" s="108">
        <f>IF(D$42&lt;&gt;"熱交換型換気設備",2,IF(AND(D$42="熱交換型換気設備",D51&gt;=40),0,1))</f>
        <v>2</v>
      </c>
      <c r="E63" s="108">
        <f t="shared" si="16"/>
        <v>2</v>
      </c>
      <c r="F63" s="108">
        <f t="shared" si="16"/>
        <v>2</v>
      </c>
      <c r="G63" s="108">
        <f t="shared" si="16"/>
        <v>2</v>
      </c>
      <c r="H63" s="108">
        <f t="shared" si="16"/>
        <v>0</v>
      </c>
      <c r="I63" s="108">
        <f t="shared" si="16"/>
        <v>2</v>
      </c>
      <c r="J63" s="108">
        <f t="shared" si="16"/>
        <v>2</v>
      </c>
      <c r="K63" s="108">
        <f t="shared" si="16"/>
        <v>2</v>
      </c>
      <c r="L63" s="108">
        <f t="shared" si="16"/>
        <v>2</v>
      </c>
      <c r="M63" s="108">
        <f t="shared" si="16"/>
        <v>2</v>
      </c>
      <c r="N63" s="108">
        <f t="shared" si="16"/>
        <v>2</v>
      </c>
      <c r="O63" s="108">
        <f t="shared" si="16"/>
        <v>2</v>
      </c>
      <c r="P63" s="108">
        <f t="shared" si="16"/>
        <v>2</v>
      </c>
      <c r="Q63" s="108">
        <f t="shared" si="16"/>
        <v>2</v>
      </c>
      <c r="R63" s="108">
        <f t="shared" si="16"/>
        <v>2</v>
      </c>
      <c r="S63" s="108">
        <f t="shared" si="16"/>
        <v>2</v>
      </c>
      <c r="T63" s="108">
        <f t="shared" si="16"/>
        <v>2</v>
      </c>
      <c r="U63" s="108">
        <f t="shared" si="16"/>
        <v>2</v>
      </c>
      <c r="V63" s="108">
        <f t="shared" si="16"/>
        <v>2</v>
      </c>
      <c r="W63" s="108">
        <f t="shared" si="16"/>
        <v>2</v>
      </c>
      <c r="X63" s="108" t="str">
        <f>IF(AND(AC62=Y62,AC62=Y63),"適合","非適合")</f>
        <v>適合</v>
      </c>
      <c r="Y63" s="23">
        <f t="shared" si="12"/>
        <v>1</v>
      </c>
      <c r="Z63" s="191">
        <f t="shared" si="13"/>
        <v>0</v>
      </c>
      <c r="AA63" s="191">
        <f t="shared" si="14"/>
        <v>19</v>
      </c>
      <c r="AB63" s="191">
        <f>COUNT($D51:$W51)</f>
        <v>1</v>
      </c>
      <c r="AF63" s="118">
        <v>60</v>
      </c>
    </row>
    <row r="64" spans="2:37" ht="20.25" hidden="1" thickTop="1" x14ac:dyDescent="0.45">
      <c r="B64" s="110" t="s">
        <v>252</v>
      </c>
      <c r="C64" s="108"/>
      <c r="D64" s="108">
        <f t="shared" ref="D64:W64" si="17">IF(AND(D42="",D43="",D44="",D45="",D46="",D47="",D48="",D50="",D51=""),2,IF(AND(D42&lt;&gt;"",D43&lt;&gt;"",D44&lt;&gt;"",D45&lt;&gt;"",D46&lt;&gt;"",D47&lt;&gt;"",D48&lt;&gt;"",D50&lt;&gt;"",D51&lt;&gt;"",OR(D$42="顕熱交換器",D$42="熱交換型換気設備")),0,IF(AND(D42&lt;&gt;"",D44&lt;&gt;"",D45&lt;&gt;"",D46&lt;&gt;"",D47&lt;&gt;"",D48&lt;&gt;"",D50="",D51="",D$42&lt;&gt;"顕熱交換器",D$42&lt;&gt;"熱交換型換気設備"),0,1)))</f>
        <v>0</v>
      </c>
      <c r="E64" s="108">
        <f t="shared" si="17"/>
        <v>0</v>
      </c>
      <c r="F64" s="108">
        <f t="shared" si="17"/>
        <v>0</v>
      </c>
      <c r="G64" s="108">
        <f t="shared" si="17"/>
        <v>0</v>
      </c>
      <c r="H64" s="108">
        <f t="shared" si="17"/>
        <v>0</v>
      </c>
      <c r="I64" s="108">
        <f t="shared" si="17"/>
        <v>0</v>
      </c>
      <c r="J64" s="108">
        <f t="shared" si="17"/>
        <v>2</v>
      </c>
      <c r="K64" s="108">
        <f t="shared" si="17"/>
        <v>2</v>
      </c>
      <c r="L64" s="108">
        <f t="shared" si="17"/>
        <v>2</v>
      </c>
      <c r="M64" s="108">
        <f t="shared" si="17"/>
        <v>2</v>
      </c>
      <c r="N64" s="108">
        <f t="shared" si="17"/>
        <v>2</v>
      </c>
      <c r="O64" s="108">
        <f t="shared" si="17"/>
        <v>2</v>
      </c>
      <c r="P64" s="108">
        <f t="shared" si="17"/>
        <v>2</v>
      </c>
      <c r="Q64" s="108">
        <f t="shared" si="17"/>
        <v>2</v>
      </c>
      <c r="R64" s="108">
        <f t="shared" si="17"/>
        <v>2</v>
      </c>
      <c r="S64" s="108">
        <f t="shared" si="17"/>
        <v>2</v>
      </c>
      <c r="T64" s="108">
        <f t="shared" si="17"/>
        <v>2</v>
      </c>
      <c r="U64" s="108">
        <f t="shared" si="17"/>
        <v>2</v>
      </c>
      <c r="V64" s="108">
        <f t="shared" si="17"/>
        <v>2</v>
      </c>
      <c r="W64" s="108">
        <f t="shared" si="17"/>
        <v>2</v>
      </c>
      <c r="X64" s="108" t="str">
        <f>IF(OR((AC60+AC62)&lt;&gt;AB62,(AC60+AC62)&lt;&gt;AB63,Z64&gt;0),"入力確認",IF(AC64=Y64,"適合","不適合"))</f>
        <v>適合</v>
      </c>
      <c r="Y64" s="23">
        <f t="shared" si="12"/>
        <v>6</v>
      </c>
      <c r="Z64" s="191">
        <f t="shared" si="13"/>
        <v>0</v>
      </c>
      <c r="AA64" s="191">
        <f t="shared" si="14"/>
        <v>14</v>
      </c>
      <c r="AC64" s="23">
        <f>20-COUNTIF($D$42:$W$42,"")</f>
        <v>6</v>
      </c>
      <c r="AF64" s="118">
        <v>61</v>
      </c>
    </row>
    <row r="65" spans="2:32" ht="20.25" hidden="1" thickTop="1" x14ac:dyDescent="0.45">
      <c r="B65" s="110" t="s">
        <v>498</v>
      </c>
      <c r="C65" s="108"/>
      <c r="D65" s="108"/>
      <c r="E65" s="108"/>
      <c r="F65" s="108"/>
      <c r="G65" s="108"/>
      <c r="H65" s="108"/>
      <c r="I65" s="108"/>
      <c r="J65" s="108"/>
      <c r="K65" s="108"/>
      <c r="L65" s="108"/>
      <c r="M65" s="108"/>
      <c r="N65" s="108"/>
      <c r="O65" s="108"/>
      <c r="P65" s="108"/>
      <c r="Q65" s="232" t="s">
        <v>499</v>
      </c>
      <c r="R65" s="108">
        <f>IF(OR(X36=0,Y36=0),X36+Y36+AA36,MAX(X36+AA36,Y36+AA36))</f>
        <v>3400</v>
      </c>
      <c r="S65" s="108"/>
      <c r="T65" s="233" t="s">
        <v>500</v>
      </c>
      <c r="U65" s="108">
        <f>IF(OR(X52=0,Y52=0),X52+Y52+AA52,MAX(X52+AA52,Y52+AA52))</f>
        <v>2370</v>
      </c>
      <c r="V65" s="108"/>
      <c r="W65" s="108"/>
      <c r="X65" s="108" t="str">
        <f>IF(OR(Z65=0,AA65=0),"適合","不適合")</f>
        <v>不適合</v>
      </c>
      <c r="Z65" s="191">
        <f>IF(AND(X36=0,X52=0),2,IF(R65&lt;=U65,0,1))</f>
        <v>1</v>
      </c>
      <c r="AA65" s="191">
        <f>IF(AND(Y36=0,Y52=0),2,IF(R65&lt;=U65,0,1))</f>
        <v>1</v>
      </c>
      <c r="AC65" s="23">
        <f>COUNTIF($D$43:$W$43,"排気")</f>
        <v>3</v>
      </c>
      <c r="AD65" s="23">
        <f>COUNTIF($D$43:$W$43,"給気")</f>
        <v>1</v>
      </c>
      <c r="AE65" s="23">
        <f>COUNTIF($D$43:$W$43,"給気・排気")</f>
        <v>1</v>
      </c>
      <c r="AF65" s="118">
        <v>62</v>
      </c>
    </row>
    <row r="66" spans="2:32" ht="27" customHeight="1" thickTop="1" x14ac:dyDescent="0.45">
      <c r="B66" s="35" t="s">
        <v>247</v>
      </c>
      <c r="C66" s="36"/>
    </row>
    <row r="67" spans="2:32" x14ac:dyDescent="0.45">
      <c r="B67" s="35"/>
      <c r="C67" s="36"/>
      <c r="E67" s="138"/>
    </row>
    <row r="68" spans="2:32" ht="42.75" customHeight="1" x14ac:dyDescent="0.45">
      <c r="B68" s="28" t="s">
        <v>272</v>
      </c>
      <c r="C68" s="36"/>
    </row>
    <row r="69" spans="2:32" ht="9" customHeight="1" thickBot="1" x14ac:dyDescent="0.5">
      <c r="B69" s="23"/>
      <c r="C69" s="36"/>
    </row>
    <row r="70" spans="2:32" ht="27" customHeight="1" thickTop="1" x14ac:dyDescent="0.45">
      <c r="B70" s="279" t="s">
        <v>180</v>
      </c>
      <c r="C70" s="408" t="s">
        <v>123</v>
      </c>
      <c r="D70" s="409"/>
      <c r="E70" s="409"/>
      <c r="F70" s="409"/>
      <c r="G70" s="409"/>
      <c r="H70" s="410" t="s">
        <v>124</v>
      </c>
      <c r="I70" s="410"/>
      <c r="J70" s="410"/>
      <c r="K70" s="410"/>
      <c r="L70" s="410"/>
      <c r="M70" s="410"/>
      <c r="N70" s="410"/>
      <c r="O70" s="407" t="s">
        <v>2</v>
      </c>
      <c r="P70" s="407"/>
      <c r="Q70" s="407"/>
      <c r="R70" s="407"/>
      <c r="S70" s="407"/>
      <c r="T70" s="407"/>
      <c r="U70" s="405" t="s">
        <v>179</v>
      </c>
      <c r="V70" s="406"/>
      <c r="W70" s="99"/>
    </row>
    <row r="71" spans="2:32" ht="27" customHeight="1" x14ac:dyDescent="0.45">
      <c r="B71" s="280" t="s">
        <v>142</v>
      </c>
      <c r="C71" s="411" t="s">
        <v>558</v>
      </c>
      <c r="D71" s="412"/>
      <c r="E71" s="412"/>
      <c r="F71" s="412"/>
      <c r="G71" s="412"/>
      <c r="H71" s="412" t="s">
        <v>550</v>
      </c>
      <c r="I71" s="412"/>
      <c r="J71" s="412"/>
      <c r="K71" s="412"/>
      <c r="L71" s="412"/>
      <c r="M71" s="412"/>
      <c r="N71" s="412"/>
      <c r="O71" s="412" t="s">
        <v>539</v>
      </c>
      <c r="P71" s="412"/>
      <c r="Q71" s="412"/>
      <c r="R71" s="412"/>
      <c r="S71" s="412"/>
      <c r="T71" s="412"/>
      <c r="U71" s="414" t="s">
        <v>541</v>
      </c>
      <c r="V71" s="414"/>
      <c r="W71" s="99"/>
    </row>
    <row r="72" spans="2:32" ht="27" customHeight="1" x14ac:dyDescent="0.45">
      <c r="B72" s="330" t="s">
        <v>143</v>
      </c>
      <c r="C72" s="413" t="s">
        <v>551</v>
      </c>
      <c r="D72" s="393"/>
      <c r="E72" s="393"/>
      <c r="F72" s="393"/>
      <c r="G72" s="393"/>
      <c r="H72" s="393" t="s">
        <v>555</v>
      </c>
      <c r="I72" s="393"/>
      <c r="J72" s="393"/>
      <c r="K72" s="393"/>
      <c r="L72" s="393"/>
      <c r="M72" s="393"/>
      <c r="N72" s="393"/>
      <c r="O72" s="393" t="s">
        <v>540</v>
      </c>
      <c r="P72" s="393"/>
      <c r="Q72" s="393"/>
      <c r="R72" s="393"/>
      <c r="S72" s="393"/>
      <c r="T72" s="393"/>
      <c r="U72" s="415" t="s">
        <v>541</v>
      </c>
      <c r="V72" s="415"/>
      <c r="W72" s="99"/>
    </row>
    <row r="73" spans="2:32" ht="27" customHeight="1" x14ac:dyDescent="0.45">
      <c r="B73" s="329" t="s">
        <v>144</v>
      </c>
      <c r="C73" s="413" t="s">
        <v>538</v>
      </c>
      <c r="D73" s="393"/>
      <c r="E73" s="393"/>
      <c r="F73" s="393"/>
      <c r="G73" s="393"/>
      <c r="H73" s="393" t="s">
        <v>556</v>
      </c>
      <c r="I73" s="393"/>
      <c r="J73" s="393"/>
      <c r="K73" s="393"/>
      <c r="L73" s="393"/>
      <c r="M73" s="393"/>
      <c r="N73" s="393"/>
      <c r="O73" s="393" t="s">
        <v>554</v>
      </c>
      <c r="P73" s="393"/>
      <c r="Q73" s="393"/>
      <c r="R73" s="393"/>
      <c r="S73" s="393"/>
      <c r="T73" s="393"/>
      <c r="U73" s="415" t="s">
        <v>541</v>
      </c>
      <c r="V73" s="415"/>
      <c r="W73" s="99"/>
    </row>
    <row r="74" spans="2:32" ht="27" customHeight="1" thickBot="1" x14ac:dyDescent="0.5">
      <c r="B74" s="281" t="s">
        <v>145</v>
      </c>
      <c r="C74" s="413" t="s">
        <v>552</v>
      </c>
      <c r="D74" s="393"/>
      <c r="E74" s="393"/>
      <c r="F74" s="393"/>
      <c r="G74" s="393"/>
      <c r="H74" s="393" t="s">
        <v>557</v>
      </c>
      <c r="I74" s="393"/>
      <c r="J74" s="393"/>
      <c r="K74" s="393"/>
      <c r="L74" s="393"/>
      <c r="M74" s="393"/>
      <c r="N74" s="393"/>
      <c r="O74" s="393" t="s">
        <v>553</v>
      </c>
      <c r="P74" s="393"/>
      <c r="Q74" s="393"/>
      <c r="R74" s="393"/>
      <c r="S74" s="393"/>
      <c r="T74" s="393"/>
      <c r="U74" s="415" t="s">
        <v>541</v>
      </c>
      <c r="V74" s="415"/>
      <c r="W74" s="99"/>
    </row>
    <row r="75" spans="2:32" ht="27" customHeight="1" thickTop="1" x14ac:dyDescent="0.45">
      <c r="B75" s="278" t="s">
        <v>146</v>
      </c>
      <c r="C75" s="390"/>
      <c r="D75" s="390"/>
      <c r="E75" s="390"/>
      <c r="F75" s="390"/>
      <c r="G75" s="390"/>
      <c r="H75" s="390"/>
      <c r="I75" s="390"/>
      <c r="J75" s="390"/>
      <c r="K75" s="390"/>
      <c r="L75" s="390"/>
      <c r="M75" s="390"/>
      <c r="N75" s="390"/>
      <c r="O75" s="390"/>
      <c r="P75" s="390"/>
      <c r="Q75" s="390"/>
      <c r="R75" s="390"/>
      <c r="S75" s="390"/>
      <c r="T75" s="390"/>
      <c r="U75" s="390"/>
      <c r="V75" s="390"/>
      <c r="W75" s="99"/>
    </row>
    <row r="76" spans="2:32" ht="27" customHeight="1" x14ac:dyDescent="0.45">
      <c r="B76" s="80" t="s">
        <v>147</v>
      </c>
      <c r="C76" s="390"/>
      <c r="D76" s="390"/>
      <c r="E76" s="390"/>
      <c r="F76" s="390"/>
      <c r="G76" s="390"/>
      <c r="H76" s="390"/>
      <c r="I76" s="390"/>
      <c r="J76" s="390"/>
      <c r="K76" s="390"/>
      <c r="L76" s="390"/>
      <c r="M76" s="390"/>
      <c r="N76" s="390"/>
      <c r="O76" s="390"/>
      <c r="P76" s="390"/>
      <c r="Q76" s="390"/>
      <c r="R76" s="390"/>
      <c r="S76" s="390"/>
      <c r="T76" s="390"/>
      <c r="U76" s="390"/>
      <c r="V76" s="390"/>
      <c r="W76" s="99"/>
    </row>
    <row r="77" spans="2:32" ht="27" customHeight="1" x14ac:dyDescent="0.45">
      <c r="B77" s="80" t="s">
        <v>148</v>
      </c>
      <c r="C77" s="390"/>
      <c r="D77" s="390"/>
      <c r="E77" s="390"/>
      <c r="F77" s="390"/>
      <c r="G77" s="390"/>
      <c r="H77" s="390"/>
      <c r="I77" s="390"/>
      <c r="J77" s="390"/>
      <c r="K77" s="390"/>
      <c r="L77" s="390"/>
      <c r="M77" s="390"/>
      <c r="N77" s="390"/>
      <c r="O77" s="390"/>
      <c r="P77" s="390"/>
      <c r="Q77" s="390"/>
      <c r="R77" s="390"/>
      <c r="S77" s="390"/>
      <c r="T77" s="390"/>
      <c r="U77" s="390"/>
      <c r="V77" s="390"/>
      <c r="W77" s="99"/>
    </row>
    <row r="78" spans="2:32" ht="27" customHeight="1" x14ac:dyDescent="0.45">
      <c r="B78" s="80" t="s">
        <v>149</v>
      </c>
      <c r="C78" s="390"/>
      <c r="D78" s="390"/>
      <c r="E78" s="390"/>
      <c r="F78" s="390"/>
      <c r="G78" s="390"/>
      <c r="H78" s="390"/>
      <c r="I78" s="390"/>
      <c r="J78" s="390"/>
      <c r="K78" s="390"/>
      <c r="L78" s="390"/>
      <c r="M78" s="390"/>
      <c r="N78" s="390"/>
      <c r="O78" s="390"/>
      <c r="P78" s="390"/>
      <c r="Q78" s="390"/>
      <c r="R78" s="390"/>
      <c r="S78" s="390"/>
      <c r="T78" s="390"/>
      <c r="U78" s="390"/>
      <c r="V78" s="390"/>
      <c r="W78" s="99"/>
    </row>
    <row r="79" spans="2:32" ht="27" customHeight="1" x14ac:dyDescent="0.45">
      <c r="B79" s="80" t="s">
        <v>150</v>
      </c>
      <c r="C79" s="390"/>
      <c r="D79" s="390"/>
      <c r="E79" s="390"/>
      <c r="F79" s="390"/>
      <c r="G79" s="390"/>
      <c r="H79" s="390"/>
      <c r="I79" s="390"/>
      <c r="J79" s="390"/>
      <c r="K79" s="390"/>
      <c r="L79" s="390"/>
      <c r="M79" s="390"/>
      <c r="N79" s="390"/>
      <c r="O79" s="390"/>
      <c r="P79" s="390"/>
      <c r="Q79" s="390"/>
      <c r="R79" s="390"/>
      <c r="S79" s="390"/>
      <c r="T79" s="390"/>
      <c r="U79" s="390"/>
      <c r="V79" s="390"/>
      <c r="W79" s="99"/>
    </row>
    <row r="80" spans="2:32" ht="27" customHeight="1" x14ac:dyDescent="0.45">
      <c r="B80" s="80" t="s">
        <v>151</v>
      </c>
      <c r="C80" s="390"/>
      <c r="D80" s="390"/>
      <c r="E80" s="390"/>
      <c r="F80" s="390"/>
      <c r="G80" s="390"/>
      <c r="H80" s="390"/>
      <c r="I80" s="390"/>
      <c r="J80" s="390"/>
      <c r="K80" s="390"/>
      <c r="L80" s="390"/>
      <c r="M80" s="390"/>
      <c r="N80" s="390"/>
      <c r="O80" s="390"/>
      <c r="P80" s="390"/>
      <c r="Q80" s="390"/>
      <c r="R80" s="390"/>
      <c r="S80" s="390"/>
      <c r="T80" s="390"/>
      <c r="U80" s="390"/>
      <c r="V80" s="390"/>
      <c r="W80" s="99"/>
    </row>
    <row r="81" spans="2:24" ht="27" customHeight="1" x14ac:dyDescent="0.45">
      <c r="B81" s="80" t="s">
        <v>346</v>
      </c>
      <c r="C81" s="390"/>
      <c r="D81" s="390"/>
      <c r="E81" s="390"/>
      <c r="F81" s="390"/>
      <c r="G81" s="390"/>
      <c r="H81" s="390"/>
      <c r="I81" s="390"/>
      <c r="J81" s="390"/>
      <c r="K81" s="390"/>
      <c r="L81" s="390"/>
      <c r="M81" s="390"/>
      <c r="N81" s="390"/>
      <c r="O81" s="390"/>
      <c r="P81" s="390"/>
      <c r="Q81" s="390"/>
      <c r="R81" s="390"/>
      <c r="S81" s="390"/>
      <c r="T81" s="390"/>
      <c r="U81" s="390"/>
      <c r="V81" s="390"/>
      <c r="W81" s="99"/>
    </row>
    <row r="82" spans="2:24" ht="27" customHeight="1" x14ac:dyDescent="0.45">
      <c r="B82" s="80" t="s">
        <v>152</v>
      </c>
      <c r="C82" s="390"/>
      <c r="D82" s="390"/>
      <c r="E82" s="390"/>
      <c r="F82" s="390"/>
      <c r="G82" s="390"/>
      <c r="H82" s="390"/>
      <c r="I82" s="390"/>
      <c r="J82" s="390"/>
      <c r="K82" s="390"/>
      <c r="L82" s="390"/>
      <c r="M82" s="390"/>
      <c r="N82" s="390"/>
      <c r="O82" s="390"/>
      <c r="P82" s="390"/>
      <c r="Q82" s="390"/>
      <c r="R82" s="390"/>
      <c r="S82" s="390"/>
      <c r="T82" s="390"/>
      <c r="U82" s="390"/>
      <c r="V82" s="390"/>
      <c r="W82" s="99"/>
    </row>
    <row r="83" spans="2:24" ht="27" customHeight="1" x14ac:dyDescent="0.45">
      <c r="B83" s="80" t="s">
        <v>153</v>
      </c>
      <c r="C83" s="390"/>
      <c r="D83" s="390"/>
      <c r="E83" s="390"/>
      <c r="F83" s="390"/>
      <c r="G83" s="390"/>
      <c r="H83" s="390"/>
      <c r="I83" s="390"/>
      <c r="J83" s="390"/>
      <c r="K83" s="390"/>
      <c r="L83" s="390"/>
      <c r="M83" s="390"/>
      <c r="N83" s="390"/>
      <c r="O83" s="390"/>
      <c r="P83" s="390"/>
      <c r="Q83" s="390"/>
      <c r="R83" s="390"/>
      <c r="S83" s="390"/>
      <c r="T83" s="390"/>
      <c r="U83" s="390"/>
      <c r="V83" s="390"/>
      <c r="W83" s="99"/>
    </row>
    <row r="84" spans="2:24" ht="27" customHeight="1" x14ac:dyDescent="0.45">
      <c r="B84" s="80" t="s">
        <v>154</v>
      </c>
      <c r="C84" s="390"/>
      <c r="D84" s="390"/>
      <c r="E84" s="390"/>
      <c r="F84" s="390"/>
      <c r="G84" s="390"/>
      <c r="H84" s="390"/>
      <c r="I84" s="390"/>
      <c r="J84" s="390"/>
      <c r="K84" s="390"/>
      <c r="L84" s="390"/>
      <c r="M84" s="390"/>
      <c r="N84" s="390"/>
      <c r="O84" s="390"/>
      <c r="P84" s="390"/>
      <c r="Q84" s="390"/>
      <c r="R84" s="390"/>
      <c r="S84" s="390"/>
      <c r="T84" s="390"/>
      <c r="U84" s="390"/>
      <c r="V84" s="390"/>
      <c r="W84" s="99"/>
    </row>
    <row r="85" spans="2:24" ht="27" customHeight="1" x14ac:dyDescent="0.45">
      <c r="B85" s="80" t="s">
        <v>155</v>
      </c>
      <c r="C85" s="390"/>
      <c r="D85" s="390"/>
      <c r="E85" s="390"/>
      <c r="F85" s="390"/>
      <c r="G85" s="390"/>
      <c r="H85" s="390"/>
      <c r="I85" s="390"/>
      <c r="J85" s="390"/>
      <c r="K85" s="390"/>
      <c r="L85" s="390"/>
      <c r="M85" s="390"/>
      <c r="N85" s="390"/>
      <c r="O85" s="390"/>
      <c r="P85" s="390"/>
      <c r="Q85" s="390"/>
      <c r="R85" s="390"/>
      <c r="S85" s="390"/>
      <c r="T85" s="390"/>
      <c r="U85" s="390"/>
      <c r="V85" s="390"/>
      <c r="W85" s="99"/>
    </row>
    <row r="86" spans="2:24" ht="27" customHeight="1" x14ac:dyDescent="0.45">
      <c r="B86" s="80" t="s">
        <v>156</v>
      </c>
      <c r="C86" s="390"/>
      <c r="D86" s="390"/>
      <c r="E86" s="390"/>
      <c r="F86" s="390"/>
      <c r="G86" s="390"/>
      <c r="H86" s="390"/>
      <c r="I86" s="390"/>
      <c r="J86" s="390"/>
      <c r="K86" s="390"/>
      <c r="L86" s="390"/>
      <c r="M86" s="390"/>
      <c r="N86" s="390"/>
      <c r="O86" s="390"/>
      <c r="P86" s="390"/>
      <c r="Q86" s="390"/>
      <c r="R86" s="390"/>
      <c r="S86" s="390"/>
      <c r="T86" s="390"/>
      <c r="U86" s="390"/>
      <c r="V86" s="390"/>
      <c r="W86" s="99"/>
    </row>
    <row r="87" spans="2:24" ht="27" customHeight="1" x14ac:dyDescent="0.45">
      <c r="B87" s="80" t="s">
        <v>157</v>
      </c>
      <c r="C87" s="390"/>
      <c r="D87" s="390"/>
      <c r="E87" s="390"/>
      <c r="F87" s="390"/>
      <c r="G87" s="390"/>
      <c r="H87" s="390"/>
      <c r="I87" s="390"/>
      <c r="J87" s="390"/>
      <c r="K87" s="390"/>
      <c r="L87" s="390"/>
      <c r="M87" s="390"/>
      <c r="N87" s="390"/>
      <c r="O87" s="390"/>
      <c r="P87" s="390"/>
      <c r="Q87" s="390"/>
      <c r="R87" s="390"/>
      <c r="S87" s="390"/>
      <c r="T87" s="390"/>
      <c r="U87" s="390"/>
      <c r="V87" s="390"/>
      <c r="W87" s="99"/>
    </row>
    <row r="88" spans="2:24" ht="27" customHeight="1" x14ac:dyDescent="0.45">
      <c r="B88" s="80" t="s">
        <v>158</v>
      </c>
      <c r="C88" s="390"/>
      <c r="D88" s="390"/>
      <c r="E88" s="390"/>
      <c r="F88" s="390"/>
      <c r="G88" s="390"/>
      <c r="H88" s="390"/>
      <c r="I88" s="390"/>
      <c r="J88" s="390"/>
      <c r="K88" s="390"/>
      <c r="L88" s="390"/>
      <c r="M88" s="390"/>
      <c r="N88" s="390"/>
      <c r="O88" s="390"/>
      <c r="P88" s="390"/>
      <c r="Q88" s="390"/>
      <c r="R88" s="390"/>
      <c r="S88" s="390"/>
      <c r="T88" s="390"/>
      <c r="U88" s="390"/>
      <c r="V88" s="390"/>
      <c r="W88" s="99"/>
    </row>
    <row r="89" spans="2:24" ht="27" customHeight="1" x14ac:dyDescent="0.45">
      <c r="B89" s="80" t="s">
        <v>159</v>
      </c>
      <c r="C89" s="390"/>
      <c r="D89" s="390"/>
      <c r="E89" s="390"/>
      <c r="F89" s="390"/>
      <c r="G89" s="390"/>
      <c r="H89" s="390"/>
      <c r="I89" s="390"/>
      <c r="J89" s="390"/>
      <c r="K89" s="390"/>
      <c r="L89" s="390"/>
      <c r="M89" s="390"/>
      <c r="N89" s="390"/>
      <c r="O89" s="390"/>
      <c r="P89" s="390"/>
      <c r="Q89" s="390"/>
      <c r="R89" s="390"/>
      <c r="S89" s="390"/>
      <c r="T89" s="390"/>
      <c r="U89" s="390"/>
      <c r="V89" s="390"/>
      <c r="W89" s="99"/>
    </row>
    <row r="90" spans="2:24" ht="27" customHeight="1" x14ac:dyDescent="0.45">
      <c r="B90" s="80" t="s">
        <v>160</v>
      </c>
      <c r="C90" s="416"/>
      <c r="D90" s="416"/>
      <c r="E90" s="416"/>
      <c r="F90" s="416"/>
      <c r="G90" s="416"/>
      <c r="H90" s="416"/>
      <c r="I90" s="416"/>
      <c r="J90" s="416"/>
      <c r="K90" s="416"/>
      <c r="L90" s="416"/>
      <c r="M90" s="416"/>
      <c r="N90" s="416"/>
      <c r="O90" s="416"/>
      <c r="P90" s="416"/>
      <c r="Q90" s="416"/>
      <c r="R90" s="416"/>
      <c r="S90" s="416"/>
      <c r="T90" s="416"/>
      <c r="U90" s="416"/>
      <c r="V90" s="416"/>
      <c r="W90" s="99"/>
    </row>
    <row r="91" spans="2:24" ht="20.25" thickBot="1" x14ac:dyDescent="0.5">
      <c r="B91" s="212"/>
      <c r="C91" s="150"/>
      <c r="D91" s="150"/>
      <c r="E91" s="150"/>
      <c r="F91" s="150"/>
      <c r="G91" s="150"/>
      <c r="H91" s="150"/>
      <c r="I91" s="151"/>
      <c r="J91" s="151"/>
      <c r="K91" s="151"/>
      <c r="L91" s="151"/>
      <c r="M91" s="139"/>
      <c r="N91" s="147"/>
      <c r="O91" s="147"/>
      <c r="P91" s="147"/>
      <c r="Q91" s="147"/>
      <c r="R91" s="147"/>
      <c r="S91" s="147"/>
      <c r="T91" s="147"/>
      <c r="U91" s="147"/>
      <c r="V91" s="147"/>
      <c r="W91" s="147"/>
    </row>
    <row r="92" spans="2:24" ht="27" customHeight="1" thickTop="1" x14ac:dyDescent="0.45">
      <c r="B92" s="285" t="s">
        <v>181</v>
      </c>
      <c r="C92" s="408" t="s">
        <v>123</v>
      </c>
      <c r="D92" s="409"/>
      <c r="E92" s="409"/>
      <c r="F92" s="409"/>
      <c r="G92" s="409"/>
      <c r="H92" s="410" t="s">
        <v>124</v>
      </c>
      <c r="I92" s="410"/>
      <c r="J92" s="410"/>
      <c r="K92" s="410"/>
      <c r="L92" s="410"/>
      <c r="M92" s="410"/>
      <c r="N92" s="410"/>
      <c r="O92" s="407" t="s">
        <v>2</v>
      </c>
      <c r="P92" s="407"/>
      <c r="Q92" s="407"/>
      <c r="R92" s="407"/>
      <c r="S92" s="407"/>
      <c r="T92" s="407"/>
      <c r="U92" s="405" t="s">
        <v>179</v>
      </c>
      <c r="V92" s="406"/>
      <c r="W92" s="405" t="s">
        <v>198</v>
      </c>
      <c r="X92" s="406"/>
    </row>
    <row r="93" spans="2:24" ht="27" customHeight="1" x14ac:dyDescent="0.45">
      <c r="B93" s="286" t="s">
        <v>283</v>
      </c>
      <c r="C93" s="411" t="s">
        <v>537</v>
      </c>
      <c r="D93" s="412"/>
      <c r="E93" s="412"/>
      <c r="F93" s="412"/>
      <c r="G93" s="412"/>
      <c r="H93" s="412" t="s">
        <v>542</v>
      </c>
      <c r="I93" s="412"/>
      <c r="J93" s="412"/>
      <c r="K93" s="412"/>
      <c r="L93" s="412"/>
      <c r="M93" s="412"/>
      <c r="N93" s="412"/>
      <c r="O93" s="412" t="s">
        <v>543</v>
      </c>
      <c r="P93" s="412"/>
      <c r="Q93" s="412"/>
      <c r="R93" s="412"/>
      <c r="S93" s="412"/>
      <c r="T93" s="412"/>
      <c r="U93" s="412" t="s">
        <v>541</v>
      </c>
      <c r="V93" s="412"/>
      <c r="W93" s="417"/>
      <c r="X93" s="418"/>
    </row>
    <row r="94" spans="2:24" ht="27" customHeight="1" x14ac:dyDescent="0.45">
      <c r="B94" s="287" t="s">
        <v>284</v>
      </c>
      <c r="C94" s="413" t="s">
        <v>551</v>
      </c>
      <c r="D94" s="393"/>
      <c r="E94" s="393"/>
      <c r="F94" s="393"/>
      <c r="G94" s="393"/>
      <c r="H94" s="393" t="s">
        <v>560</v>
      </c>
      <c r="I94" s="393"/>
      <c r="J94" s="393"/>
      <c r="K94" s="393"/>
      <c r="L94" s="393"/>
      <c r="M94" s="393"/>
      <c r="N94" s="393"/>
      <c r="O94" s="393" t="s">
        <v>567</v>
      </c>
      <c r="P94" s="393"/>
      <c r="Q94" s="393"/>
      <c r="R94" s="393"/>
      <c r="S94" s="393"/>
      <c r="T94" s="393"/>
      <c r="U94" s="393" t="s">
        <v>541</v>
      </c>
      <c r="V94" s="393"/>
      <c r="W94" s="419"/>
      <c r="X94" s="420"/>
    </row>
    <row r="95" spans="2:24" ht="27" customHeight="1" x14ac:dyDescent="0.45">
      <c r="B95" s="287" t="s">
        <v>285</v>
      </c>
      <c r="C95" s="413" t="s">
        <v>562</v>
      </c>
      <c r="D95" s="393"/>
      <c r="E95" s="393"/>
      <c r="F95" s="393"/>
      <c r="G95" s="393"/>
      <c r="H95" s="393" t="s">
        <v>561</v>
      </c>
      <c r="I95" s="393"/>
      <c r="J95" s="393"/>
      <c r="K95" s="393"/>
      <c r="L95" s="393"/>
      <c r="M95" s="393"/>
      <c r="N95" s="393"/>
      <c r="O95" s="393" t="s">
        <v>568</v>
      </c>
      <c r="P95" s="393"/>
      <c r="Q95" s="393"/>
      <c r="R95" s="393"/>
      <c r="S95" s="393"/>
      <c r="T95" s="393"/>
      <c r="U95" s="393" t="s">
        <v>541</v>
      </c>
      <c r="V95" s="393"/>
      <c r="W95" s="419"/>
      <c r="X95" s="420"/>
    </row>
    <row r="96" spans="2:24" ht="27" customHeight="1" x14ac:dyDescent="0.45">
      <c r="B96" s="287" t="s">
        <v>286</v>
      </c>
      <c r="C96" s="413" t="s">
        <v>563</v>
      </c>
      <c r="D96" s="393"/>
      <c r="E96" s="393"/>
      <c r="F96" s="393"/>
      <c r="G96" s="393"/>
      <c r="H96" s="393" t="s">
        <v>564</v>
      </c>
      <c r="I96" s="393"/>
      <c r="J96" s="393"/>
      <c r="K96" s="393"/>
      <c r="L96" s="393"/>
      <c r="M96" s="393"/>
      <c r="N96" s="393"/>
      <c r="O96" s="393" t="s">
        <v>544</v>
      </c>
      <c r="P96" s="393"/>
      <c r="Q96" s="393"/>
      <c r="R96" s="393"/>
      <c r="S96" s="393"/>
      <c r="T96" s="393"/>
      <c r="U96" s="393" t="s">
        <v>546</v>
      </c>
      <c r="V96" s="393"/>
      <c r="W96" s="419"/>
      <c r="X96" s="420"/>
    </row>
    <row r="97" spans="2:24" ht="27" customHeight="1" x14ac:dyDescent="0.45">
      <c r="B97" s="331" t="s">
        <v>287</v>
      </c>
      <c r="C97" s="413" t="s">
        <v>565</v>
      </c>
      <c r="D97" s="393"/>
      <c r="E97" s="393"/>
      <c r="F97" s="393"/>
      <c r="G97" s="393"/>
      <c r="H97" s="393" t="s">
        <v>566</v>
      </c>
      <c r="I97" s="393"/>
      <c r="J97" s="393"/>
      <c r="K97" s="393"/>
      <c r="L97" s="393"/>
      <c r="M97" s="393"/>
      <c r="N97" s="393"/>
      <c r="O97" s="393" t="s">
        <v>545</v>
      </c>
      <c r="P97" s="393"/>
      <c r="Q97" s="393"/>
      <c r="R97" s="393"/>
      <c r="S97" s="393"/>
      <c r="T97" s="393"/>
      <c r="U97" s="393" t="s">
        <v>546</v>
      </c>
      <c r="V97" s="393"/>
      <c r="W97" s="419"/>
      <c r="X97" s="420"/>
    </row>
    <row r="98" spans="2:24" ht="27" customHeight="1" thickBot="1" x14ac:dyDescent="0.5">
      <c r="B98" s="332" t="s">
        <v>288</v>
      </c>
      <c r="C98" s="413" t="s">
        <v>559</v>
      </c>
      <c r="D98" s="393"/>
      <c r="E98" s="393"/>
      <c r="F98" s="393"/>
      <c r="G98" s="393"/>
      <c r="H98" s="393" t="s">
        <v>557</v>
      </c>
      <c r="I98" s="393"/>
      <c r="J98" s="393"/>
      <c r="K98" s="393"/>
      <c r="L98" s="393"/>
      <c r="M98" s="393"/>
      <c r="N98" s="393"/>
      <c r="O98" s="393" t="s">
        <v>553</v>
      </c>
      <c r="P98" s="393"/>
      <c r="Q98" s="393"/>
      <c r="R98" s="393"/>
      <c r="S98" s="393"/>
      <c r="T98" s="393"/>
      <c r="U98" s="415" t="s">
        <v>541</v>
      </c>
      <c r="V98" s="415"/>
      <c r="W98" s="419"/>
      <c r="X98" s="420"/>
    </row>
    <row r="99" spans="2:24" ht="27" customHeight="1" thickTop="1" x14ac:dyDescent="0.45">
      <c r="B99" s="284" t="s">
        <v>289</v>
      </c>
      <c r="C99" s="390"/>
      <c r="D99" s="390"/>
      <c r="E99" s="390"/>
      <c r="F99" s="390"/>
      <c r="G99" s="390"/>
      <c r="H99" s="390"/>
      <c r="I99" s="390"/>
      <c r="J99" s="390"/>
      <c r="K99" s="390"/>
      <c r="L99" s="390"/>
      <c r="M99" s="390"/>
      <c r="N99" s="390"/>
      <c r="O99" s="390"/>
      <c r="P99" s="390"/>
      <c r="Q99" s="390"/>
      <c r="R99" s="390"/>
      <c r="S99" s="390"/>
      <c r="T99" s="390"/>
      <c r="U99" s="390"/>
      <c r="V99" s="390"/>
      <c r="W99" s="419"/>
      <c r="X99" s="420"/>
    </row>
    <row r="100" spans="2:24" ht="27" customHeight="1" x14ac:dyDescent="0.45">
      <c r="B100" s="142" t="s">
        <v>290</v>
      </c>
      <c r="C100" s="390"/>
      <c r="D100" s="390"/>
      <c r="E100" s="390"/>
      <c r="F100" s="390"/>
      <c r="G100" s="390"/>
      <c r="H100" s="390"/>
      <c r="I100" s="390"/>
      <c r="J100" s="390"/>
      <c r="K100" s="390"/>
      <c r="L100" s="390"/>
      <c r="M100" s="390"/>
      <c r="N100" s="390"/>
      <c r="O100" s="390"/>
      <c r="P100" s="390"/>
      <c r="Q100" s="390"/>
      <c r="R100" s="390"/>
      <c r="S100" s="390"/>
      <c r="T100" s="390"/>
      <c r="U100" s="390"/>
      <c r="V100" s="390"/>
      <c r="W100" s="419"/>
      <c r="X100" s="420"/>
    </row>
    <row r="101" spans="2:24" ht="27" customHeight="1" x14ac:dyDescent="0.45">
      <c r="B101" s="142" t="s">
        <v>291</v>
      </c>
      <c r="C101" s="390"/>
      <c r="D101" s="390"/>
      <c r="E101" s="390"/>
      <c r="F101" s="390"/>
      <c r="G101" s="390"/>
      <c r="H101" s="390"/>
      <c r="I101" s="390"/>
      <c r="J101" s="390"/>
      <c r="K101" s="390"/>
      <c r="L101" s="390"/>
      <c r="M101" s="390"/>
      <c r="N101" s="390"/>
      <c r="O101" s="390"/>
      <c r="P101" s="390"/>
      <c r="Q101" s="390"/>
      <c r="R101" s="390"/>
      <c r="S101" s="390"/>
      <c r="T101" s="390"/>
      <c r="U101" s="390"/>
      <c r="V101" s="390"/>
      <c r="W101" s="419"/>
      <c r="X101" s="420"/>
    </row>
    <row r="102" spans="2:24" ht="27" customHeight="1" x14ac:dyDescent="0.45">
      <c r="B102" s="142" t="s">
        <v>292</v>
      </c>
      <c r="C102" s="390"/>
      <c r="D102" s="390"/>
      <c r="E102" s="390"/>
      <c r="F102" s="390"/>
      <c r="G102" s="390"/>
      <c r="H102" s="390"/>
      <c r="I102" s="390"/>
      <c r="J102" s="390"/>
      <c r="K102" s="390"/>
      <c r="L102" s="390"/>
      <c r="M102" s="390"/>
      <c r="N102" s="390"/>
      <c r="O102" s="390"/>
      <c r="P102" s="390"/>
      <c r="Q102" s="390"/>
      <c r="R102" s="390"/>
      <c r="S102" s="390"/>
      <c r="T102" s="390"/>
      <c r="U102" s="390"/>
      <c r="V102" s="390"/>
      <c r="W102" s="419"/>
      <c r="X102" s="420"/>
    </row>
    <row r="103" spans="2:24" ht="27" customHeight="1" x14ac:dyDescent="0.45">
      <c r="B103" s="142" t="s">
        <v>347</v>
      </c>
      <c r="C103" s="390"/>
      <c r="D103" s="390"/>
      <c r="E103" s="390"/>
      <c r="F103" s="390"/>
      <c r="G103" s="390"/>
      <c r="H103" s="390"/>
      <c r="I103" s="390"/>
      <c r="J103" s="390"/>
      <c r="K103" s="390"/>
      <c r="L103" s="390"/>
      <c r="M103" s="390"/>
      <c r="N103" s="390"/>
      <c r="O103" s="390"/>
      <c r="P103" s="390"/>
      <c r="Q103" s="390"/>
      <c r="R103" s="390"/>
      <c r="S103" s="390"/>
      <c r="T103" s="390"/>
      <c r="U103" s="390"/>
      <c r="V103" s="390"/>
      <c r="W103" s="419"/>
      <c r="X103" s="420"/>
    </row>
    <row r="104" spans="2:24" ht="27" customHeight="1" x14ac:dyDescent="0.45">
      <c r="B104" s="142" t="s">
        <v>348</v>
      </c>
      <c r="C104" s="390"/>
      <c r="D104" s="390"/>
      <c r="E104" s="390"/>
      <c r="F104" s="390"/>
      <c r="G104" s="390"/>
      <c r="H104" s="390"/>
      <c r="I104" s="390"/>
      <c r="J104" s="390"/>
      <c r="K104" s="390"/>
      <c r="L104" s="390"/>
      <c r="M104" s="390"/>
      <c r="N104" s="390"/>
      <c r="O104" s="390"/>
      <c r="P104" s="390"/>
      <c r="Q104" s="390"/>
      <c r="R104" s="390"/>
      <c r="S104" s="390"/>
      <c r="T104" s="390"/>
      <c r="U104" s="390"/>
      <c r="V104" s="390"/>
      <c r="W104" s="419"/>
      <c r="X104" s="420"/>
    </row>
    <row r="105" spans="2:24" ht="27" customHeight="1" x14ac:dyDescent="0.45">
      <c r="B105" s="142" t="s">
        <v>349</v>
      </c>
      <c r="C105" s="390"/>
      <c r="D105" s="390"/>
      <c r="E105" s="390"/>
      <c r="F105" s="390"/>
      <c r="G105" s="390"/>
      <c r="H105" s="390"/>
      <c r="I105" s="390"/>
      <c r="J105" s="390"/>
      <c r="K105" s="390"/>
      <c r="L105" s="390"/>
      <c r="M105" s="390"/>
      <c r="N105" s="390"/>
      <c r="O105" s="390"/>
      <c r="P105" s="390"/>
      <c r="Q105" s="390"/>
      <c r="R105" s="390"/>
      <c r="S105" s="390"/>
      <c r="T105" s="390"/>
      <c r="U105" s="390"/>
      <c r="V105" s="390"/>
      <c r="W105" s="419"/>
      <c r="X105" s="420"/>
    </row>
    <row r="106" spans="2:24" ht="27" customHeight="1" x14ac:dyDescent="0.45">
      <c r="B106" s="142" t="s">
        <v>350</v>
      </c>
      <c r="C106" s="390"/>
      <c r="D106" s="390"/>
      <c r="E106" s="390"/>
      <c r="F106" s="390"/>
      <c r="G106" s="390"/>
      <c r="H106" s="390"/>
      <c r="I106" s="390"/>
      <c r="J106" s="390"/>
      <c r="K106" s="390"/>
      <c r="L106" s="390"/>
      <c r="M106" s="390"/>
      <c r="N106" s="390"/>
      <c r="O106" s="390"/>
      <c r="P106" s="390"/>
      <c r="Q106" s="390"/>
      <c r="R106" s="390"/>
      <c r="S106" s="390"/>
      <c r="T106" s="390"/>
      <c r="U106" s="390"/>
      <c r="V106" s="390"/>
      <c r="W106" s="419"/>
      <c r="X106" s="420"/>
    </row>
    <row r="107" spans="2:24" ht="27" customHeight="1" x14ac:dyDescent="0.45">
      <c r="B107" s="142" t="s">
        <v>351</v>
      </c>
      <c r="C107" s="390"/>
      <c r="D107" s="390"/>
      <c r="E107" s="390"/>
      <c r="F107" s="390"/>
      <c r="G107" s="390"/>
      <c r="H107" s="390"/>
      <c r="I107" s="390"/>
      <c r="J107" s="390"/>
      <c r="K107" s="390"/>
      <c r="L107" s="390"/>
      <c r="M107" s="390"/>
      <c r="N107" s="390"/>
      <c r="O107" s="390"/>
      <c r="P107" s="390"/>
      <c r="Q107" s="390"/>
      <c r="R107" s="390"/>
      <c r="S107" s="390"/>
      <c r="T107" s="390"/>
      <c r="U107" s="390"/>
      <c r="V107" s="390"/>
      <c r="W107" s="419"/>
      <c r="X107" s="420"/>
    </row>
    <row r="108" spans="2:24" ht="27" customHeight="1" x14ac:dyDescent="0.45">
      <c r="B108" s="142" t="s">
        <v>352</v>
      </c>
      <c r="C108" s="390"/>
      <c r="D108" s="390"/>
      <c r="E108" s="390"/>
      <c r="F108" s="390"/>
      <c r="G108" s="390"/>
      <c r="H108" s="390"/>
      <c r="I108" s="390"/>
      <c r="J108" s="390"/>
      <c r="K108" s="390"/>
      <c r="L108" s="390"/>
      <c r="M108" s="390"/>
      <c r="N108" s="390"/>
      <c r="O108" s="390"/>
      <c r="P108" s="390"/>
      <c r="Q108" s="390"/>
      <c r="R108" s="390"/>
      <c r="S108" s="390"/>
      <c r="T108" s="390"/>
      <c r="U108" s="390"/>
      <c r="V108" s="390"/>
      <c r="W108" s="419"/>
      <c r="X108" s="420"/>
    </row>
    <row r="109" spans="2:24" ht="27" customHeight="1" x14ac:dyDescent="0.45">
      <c r="B109" s="142" t="s">
        <v>353</v>
      </c>
      <c r="C109" s="390"/>
      <c r="D109" s="390"/>
      <c r="E109" s="390"/>
      <c r="F109" s="390"/>
      <c r="G109" s="390"/>
      <c r="H109" s="390"/>
      <c r="I109" s="390"/>
      <c r="J109" s="390"/>
      <c r="K109" s="390"/>
      <c r="L109" s="390"/>
      <c r="M109" s="390"/>
      <c r="N109" s="390"/>
      <c r="O109" s="390"/>
      <c r="P109" s="390"/>
      <c r="Q109" s="390"/>
      <c r="R109" s="390"/>
      <c r="S109" s="390"/>
      <c r="T109" s="390"/>
      <c r="U109" s="390"/>
      <c r="V109" s="390"/>
      <c r="W109" s="419"/>
      <c r="X109" s="420"/>
    </row>
    <row r="110" spans="2:24" ht="27" customHeight="1" x14ac:dyDescent="0.45">
      <c r="B110" s="142" t="s">
        <v>354</v>
      </c>
      <c r="C110" s="390"/>
      <c r="D110" s="390"/>
      <c r="E110" s="390"/>
      <c r="F110" s="390"/>
      <c r="G110" s="390"/>
      <c r="H110" s="390"/>
      <c r="I110" s="390"/>
      <c r="J110" s="390"/>
      <c r="K110" s="390"/>
      <c r="L110" s="390"/>
      <c r="M110" s="390"/>
      <c r="N110" s="390"/>
      <c r="O110" s="390"/>
      <c r="P110" s="390"/>
      <c r="Q110" s="390"/>
      <c r="R110" s="390"/>
      <c r="S110" s="390"/>
      <c r="T110" s="390"/>
      <c r="U110" s="390"/>
      <c r="V110" s="390"/>
      <c r="W110" s="419"/>
      <c r="X110" s="420"/>
    </row>
    <row r="111" spans="2:24" ht="27" customHeight="1" x14ac:dyDescent="0.45">
      <c r="B111" s="142" t="s">
        <v>355</v>
      </c>
      <c r="C111" s="390"/>
      <c r="D111" s="390"/>
      <c r="E111" s="390"/>
      <c r="F111" s="390"/>
      <c r="G111" s="390"/>
      <c r="H111" s="390"/>
      <c r="I111" s="390"/>
      <c r="J111" s="390"/>
      <c r="K111" s="390"/>
      <c r="L111" s="390"/>
      <c r="M111" s="390"/>
      <c r="N111" s="390"/>
      <c r="O111" s="390"/>
      <c r="P111" s="390"/>
      <c r="Q111" s="390"/>
      <c r="R111" s="390"/>
      <c r="S111" s="390"/>
      <c r="T111" s="390"/>
      <c r="U111" s="390"/>
      <c r="V111" s="390"/>
      <c r="W111" s="419"/>
      <c r="X111" s="420"/>
    </row>
    <row r="112" spans="2:24" ht="27" customHeight="1" x14ac:dyDescent="0.45">
      <c r="B112" s="143" t="s">
        <v>356</v>
      </c>
      <c r="C112" s="416"/>
      <c r="D112" s="416"/>
      <c r="E112" s="416"/>
      <c r="F112" s="416"/>
      <c r="G112" s="416"/>
      <c r="H112" s="416"/>
      <c r="I112" s="416"/>
      <c r="J112" s="416"/>
      <c r="K112" s="416"/>
      <c r="L112" s="416"/>
      <c r="M112" s="416"/>
      <c r="N112" s="416"/>
      <c r="O112" s="416"/>
      <c r="P112" s="416"/>
      <c r="Q112" s="416"/>
      <c r="R112" s="416"/>
      <c r="S112" s="416"/>
      <c r="T112" s="416"/>
      <c r="U112" s="416"/>
      <c r="V112" s="416"/>
      <c r="W112" s="421"/>
      <c r="X112" s="422"/>
    </row>
    <row r="113" spans="2:27" x14ac:dyDescent="0.45">
      <c r="B113" s="35"/>
      <c r="C113" s="36"/>
    </row>
    <row r="114" spans="2:27" ht="14.25" customHeight="1" thickBot="1" x14ac:dyDescent="0.5">
      <c r="B114" s="36"/>
      <c r="C114" s="36"/>
    </row>
    <row r="115" spans="2:27" ht="36" customHeight="1" thickBot="1" x14ac:dyDescent="0.5">
      <c r="B115" s="428" t="s">
        <v>212</v>
      </c>
      <c r="C115" s="429"/>
      <c r="D115" s="429"/>
      <c r="E115" s="429"/>
      <c r="F115" s="430"/>
      <c r="G115" s="375" t="s">
        <v>534</v>
      </c>
      <c r="H115" s="376"/>
      <c r="M115" s="43"/>
      <c r="N115" s="43"/>
      <c r="O115" s="43"/>
      <c r="P115" s="43"/>
      <c r="Q115" s="43"/>
      <c r="R115" s="43"/>
      <c r="S115" s="43"/>
      <c r="T115" s="43"/>
      <c r="U115" s="43"/>
      <c r="V115" s="43"/>
      <c r="W115" s="43"/>
    </row>
    <row r="116" spans="2:27" ht="27" customHeight="1" x14ac:dyDescent="0.45">
      <c r="B116" s="109" t="str">
        <f>IF(G115="実施を選択","",IF(G115="はい","※「はい」を選択した場合は、【３．空調設備の新旧仕様入力表】に必要事項を入力してください。","※「いいえ」を選択した場合は、【３．空調設備の新旧仕様表】の入力は不要です。"))</f>
        <v>※「はい」を選択した場合は、【３．空調設備の新旧仕様入力表】に必要事項を入力してください。</v>
      </c>
      <c r="C116" s="29"/>
      <c r="M116" s="43"/>
      <c r="N116" s="43"/>
      <c r="O116" s="43"/>
      <c r="P116" s="43"/>
      <c r="Q116" s="43"/>
      <c r="R116" s="43"/>
      <c r="S116" s="43"/>
      <c r="T116" s="43"/>
      <c r="U116" s="43"/>
      <c r="V116" s="43"/>
      <c r="W116" s="43"/>
    </row>
    <row r="117" spans="2:27" ht="8.25" customHeight="1" thickBot="1" x14ac:dyDescent="0.5">
      <c r="B117" s="109"/>
      <c r="C117" s="29"/>
      <c r="M117" s="43"/>
      <c r="N117" s="43"/>
      <c r="O117" s="43"/>
      <c r="P117" s="43"/>
      <c r="Q117" s="43"/>
      <c r="R117" s="43"/>
      <c r="S117" s="43"/>
      <c r="T117" s="43"/>
      <c r="U117" s="43"/>
      <c r="V117" s="43"/>
      <c r="W117" s="43"/>
    </row>
    <row r="118" spans="2:27" ht="42.75" customHeight="1" thickTop="1" thickBot="1" x14ac:dyDescent="0.5">
      <c r="B118" s="28" t="s">
        <v>197</v>
      </c>
      <c r="C118" s="29"/>
      <c r="F118" s="435" t="s">
        <v>255</v>
      </c>
      <c r="G118" s="436"/>
      <c r="H118" s="443" t="str">
        <f>IF($G$115="実施を選択","実施確認：空調設備の更新＜はい＞又は、＜いいえ＞を選択してください。",IF(OR($G$115="いいえ",$G$115="実施を選択"),"",IF(AND(G115="はい",AE139=0),"旧設備について入力してください。",IF(OR(X137="入力確認",X138="入力確認",X139="入力確認"),"旧設備の入力をご確認ください。",IF(AND(G115="はい",AE160=0),"新設備について入力してください。",IF(OR(X158="入力確認",X159="入力確認",X160="入力確認"),"新設備の入力をご確認ください。",IF(AND(G115&lt;&gt;"はい",X132-X153&lt;&gt;0),"実施確認：空調設備の更新＜はい＞を選択してください。",IF(AND(G115="はい",X132-X153&gt;0),"省エネ設備更新の要件を満たしています。","省エネ設備更新の要件を満たしていないため、申請できません。"))))))))</f>
        <v>省エネ設備更新の要件を満たしていないため、申請できません。</v>
      </c>
      <c r="I118" s="444"/>
      <c r="J118" s="444"/>
      <c r="K118" s="444"/>
      <c r="L118" s="444"/>
      <c r="M118" s="444"/>
      <c r="N118" s="444"/>
      <c r="O118" s="445"/>
      <c r="P118" s="43"/>
      <c r="Q118" s="43"/>
      <c r="R118" s="43"/>
      <c r="S118" s="43"/>
      <c r="T118" s="43"/>
      <c r="U118" s="43"/>
      <c r="V118" s="43"/>
      <c r="W118" s="43"/>
    </row>
    <row r="119" spans="2:27" ht="9" customHeight="1" thickTop="1" x14ac:dyDescent="0.45">
      <c r="B119" s="28"/>
      <c r="C119" s="29"/>
      <c r="M119" s="43"/>
      <c r="N119" s="43"/>
      <c r="O119" s="43"/>
      <c r="P119" s="43"/>
      <c r="Q119" s="43"/>
      <c r="R119" s="43"/>
      <c r="S119" s="43"/>
      <c r="T119" s="43"/>
      <c r="U119" s="43"/>
      <c r="V119" s="43"/>
      <c r="W119" s="43"/>
    </row>
    <row r="120" spans="2:27" ht="42" customHeight="1" thickBot="1" x14ac:dyDescent="0.5">
      <c r="B120" s="188" t="s">
        <v>509</v>
      </c>
      <c r="C120" s="30"/>
    </row>
    <row r="121" spans="2:27" ht="27" customHeight="1" thickTop="1" thickBot="1" x14ac:dyDescent="0.5">
      <c r="B121" s="401" t="s">
        <v>122</v>
      </c>
      <c r="C121" s="402"/>
      <c r="D121" s="277" t="s">
        <v>293</v>
      </c>
      <c r="E121" s="31" t="s">
        <v>294</v>
      </c>
      <c r="F121" s="31" t="s">
        <v>295</v>
      </c>
      <c r="G121" s="31" t="s">
        <v>296</v>
      </c>
      <c r="H121" s="31" t="s">
        <v>297</v>
      </c>
      <c r="I121" s="31" t="s">
        <v>298</v>
      </c>
      <c r="J121" s="31" t="s">
        <v>299</v>
      </c>
      <c r="K121" s="31" t="s">
        <v>300</v>
      </c>
      <c r="L121" s="31" t="s">
        <v>301</v>
      </c>
      <c r="M121" s="31" t="s">
        <v>302</v>
      </c>
      <c r="N121" s="31" t="s">
        <v>357</v>
      </c>
      <c r="O121" s="31" t="s">
        <v>358</v>
      </c>
      <c r="P121" s="31" t="s">
        <v>359</v>
      </c>
      <c r="Q121" s="31" t="s">
        <v>360</v>
      </c>
      <c r="R121" s="31" t="s">
        <v>361</v>
      </c>
      <c r="S121" s="31" t="s">
        <v>362</v>
      </c>
      <c r="T121" s="31" t="s">
        <v>363</v>
      </c>
      <c r="U121" s="31" t="s">
        <v>364</v>
      </c>
      <c r="V121" s="31" t="s">
        <v>365</v>
      </c>
      <c r="W121" s="31" t="s">
        <v>366</v>
      </c>
      <c r="X121" s="37" t="s">
        <v>0</v>
      </c>
      <c r="Z121" s="79" t="s">
        <v>433</v>
      </c>
      <c r="AA121" s="192"/>
    </row>
    <row r="122" spans="2:27" ht="63" customHeight="1" thickTop="1" thickBot="1" x14ac:dyDescent="0.5">
      <c r="B122" s="388" t="s">
        <v>271</v>
      </c>
      <c r="C122" s="388"/>
      <c r="D122" s="296" t="s">
        <v>14</v>
      </c>
      <c r="E122" s="2"/>
      <c r="F122" s="2"/>
      <c r="G122" s="2"/>
      <c r="H122" s="2"/>
      <c r="I122" s="2"/>
      <c r="J122" s="2"/>
      <c r="K122" s="2"/>
      <c r="L122" s="2"/>
      <c r="M122" s="2"/>
      <c r="N122" s="2"/>
      <c r="O122" s="2"/>
      <c r="P122" s="2"/>
      <c r="Q122" s="2"/>
      <c r="R122" s="2"/>
      <c r="S122" s="2"/>
      <c r="T122" s="2"/>
      <c r="U122" s="2"/>
      <c r="V122" s="2"/>
      <c r="W122" s="2"/>
      <c r="X122" s="32" t="s">
        <v>10</v>
      </c>
      <c r="Z122" s="79" t="s">
        <v>436</v>
      </c>
      <c r="AA122" s="192"/>
    </row>
    <row r="123" spans="2:27" ht="27" customHeight="1" thickBot="1" x14ac:dyDescent="0.5">
      <c r="B123" s="397" t="s">
        <v>3</v>
      </c>
      <c r="C123" s="397"/>
      <c r="D123" s="203">
        <v>1</v>
      </c>
      <c r="E123" s="203"/>
      <c r="F123" s="203"/>
      <c r="G123" s="203"/>
      <c r="H123" s="203"/>
      <c r="I123" s="203"/>
      <c r="J123" s="203"/>
      <c r="K123" s="203"/>
      <c r="L123" s="203"/>
      <c r="M123" s="203"/>
      <c r="N123" s="203"/>
      <c r="O123" s="203"/>
      <c r="P123" s="203"/>
      <c r="Q123" s="203"/>
      <c r="R123" s="203"/>
      <c r="S123" s="203"/>
      <c r="T123" s="203"/>
      <c r="U123" s="203"/>
      <c r="V123" s="203"/>
      <c r="W123" s="203"/>
      <c r="X123" s="172">
        <f>IF(SUM(D123:W123)=0,"",SUM(D123:W123))</f>
        <v>1</v>
      </c>
      <c r="Z123" s="79"/>
    </row>
    <row r="124" spans="2:27" ht="27" customHeight="1" x14ac:dyDescent="0.45">
      <c r="B124" s="426" t="s">
        <v>16</v>
      </c>
      <c r="C124" s="427"/>
      <c r="D124" s="21" t="s">
        <v>89</v>
      </c>
      <c r="E124" s="21"/>
      <c r="F124" s="21"/>
      <c r="G124" s="21"/>
      <c r="H124" s="21"/>
      <c r="I124" s="21"/>
      <c r="J124" s="21"/>
      <c r="K124" s="21"/>
      <c r="L124" s="21"/>
      <c r="M124" s="21"/>
      <c r="N124" s="21"/>
      <c r="O124" s="21"/>
      <c r="P124" s="21"/>
      <c r="Q124" s="21"/>
      <c r="R124" s="21"/>
      <c r="S124" s="21"/>
      <c r="T124" s="21"/>
      <c r="U124" s="21"/>
      <c r="V124" s="21"/>
      <c r="W124" s="21"/>
      <c r="X124" s="39" t="s">
        <v>10</v>
      </c>
      <c r="Z124" s="79" t="s">
        <v>437</v>
      </c>
    </row>
    <row r="125" spans="2:27" ht="27" customHeight="1" thickBot="1" x14ac:dyDescent="0.5">
      <c r="B125" s="431" t="s">
        <v>108</v>
      </c>
      <c r="C125" s="432"/>
      <c r="D125" s="290" t="s">
        <v>90</v>
      </c>
      <c r="E125" s="21"/>
      <c r="F125" s="21"/>
      <c r="G125" s="21"/>
      <c r="H125" s="21"/>
      <c r="I125" s="21"/>
      <c r="J125" s="21"/>
      <c r="K125" s="21"/>
      <c r="L125" s="21"/>
      <c r="M125" s="21"/>
      <c r="N125" s="21"/>
      <c r="O125" s="21"/>
      <c r="P125" s="21"/>
      <c r="Q125" s="21"/>
      <c r="R125" s="21"/>
      <c r="S125" s="21"/>
      <c r="T125" s="21"/>
      <c r="U125" s="21"/>
      <c r="V125" s="21"/>
      <c r="W125" s="21"/>
      <c r="X125" s="39" t="s">
        <v>10</v>
      </c>
      <c r="Z125" s="79" t="s">
        <v>435</v>
      </c>
    </row>
    <row r="126" spans="2:27" ht="27" customHeight="1" thickTop="1" x14ac:dyDescent="0.45">
      <c r="B126" s="387" t="s">
        <v>512</v>
      </c>
      <c r="C126" s="297" t="s">
        <v>7</v>
      </c>
      <c r="D126" s="292">
        <v>10</v>
      </c>
      <c r="E126" s="169"/>
      <c r="F126" s="175"/>
      <c r="G126" s="175"/>
      <c r="H126" s="175"/>
      <c r="I126" s="175"/>
      <c r="J126" s="175"/>
      <c r="K126" s="175"/>
      <c r="L126" s="175"/>
      <c r="M126" s="175"/>
      <c r="N126" s="175"/>
      <c r="O126" s="175"/>
      <c r="P126" s="175"/>
      <c r="Q126" s="175"/>
      <c r="R126" s="175"/>
      <c r="S126" s="175"/>
      <c r="T126" s="175"/>
      <c r="U126" s="175"/>
      <c r="V126" s="175"/>
      <c r="W126" s="175"/>
      <c r="X126" s="39" t="s">
        <v>10</v>
      </c>
      <c r="Z126" s="146"/>
    </row>
    <row r="127" spans="2:27" ht="27" customHeight="1" x14ac:dyDescent="0.45">
      <c r="B127" s="388"/>
      <c r="C127" s="297" t="s">
        <v>8</v>
      </c>
      <c r="D127" s="293">
        <v>11.2</v>
      </c>
      <c r="E127" s="169"/>
      <c r="F127" s="175"/>
      <c r="G127" s="175"/>
      <c r="H127" s="175"/>
      <c r="I127" s="175"/>
      <c r="J127" s="175"/>
      <c r="K127" s="175"/>
      <c r="L127" s="175"/>
      <c r="M127" s="175"/>
      <c r="N127" s="175"/>
      <c r="O127" s="175"/>
      <c r="P127" s="175"/>
      <c r="Q127" s="175"/>
      <c r="R127" s="175"/>
      <c r="S127" s="175"/>
      <c r="T127" s="175"/>
      <c r="U127" s="175"/>
      <c r="V127" s="175"/>
      <c r="W127" s="175"/>
      <c r="X127" s="34" t="s">
        <v>10</v>
      </c>
      <c r="Z127" s="146"/>
    </row>
    <row r="128" spans="2:27" ht="27" customHeight="1" x14ac:dyDescent="0.45">
      <c r="B128" s="387" t="s">
        <v>202</v>
      </c>
      <c r="C128" s="297" t="s">
        <v>7</v>
      </c>
      <c r="D128" s="299">
        <v>5</v>
      </c>
      <c r="E128" s="298"/>
      <c r="F128" s="174"/>
      <c r="G128" s="174"/>
      <c r="H128" s="174"/>
      <c r="I128" s="174"/>
      <c r="J128" s="174"/>
      <c r="K128" s="174"/>
      <c r="L128" s="174"/>
      <c r="M128" s="174"/>
      <c r="N128" s="174"/>
      <c r="O128" s="174"/>
      <c r="P128" s="174"/>
      <c r="Q128" s="174"/>
      <c r="R128" s="174"/>
      <c r="S128" s="174"/>
      <c r="T128" s="174"/>
      <c r="U128" s="174"/>
      <c r="V128" s="174"/>
      <c r="W128" s="174"/>
      <c r="X128" s="32" t="s">
        <v>10</v>
      </c>
      <c r="Z128" s="146"/>
    </row>
    <row r="129" spans="2:32" ht="27" customHeight="1" thickBot="1" x14ac:dyDescent="0.5">
      <c r="B129" s="389"/>
      <c r="C129" s="297" t="s">
        <v>8</v>
      </c>
      <c r="D129" s="300">
        <v>3.8</v>
      </c>
      <c r="E129" s="298"/>
      <c r="F129" s="174"/>
      <c r="G129" s="174"/>
      <c r="H129" s="174"/>
      <c r="I129" s="174"/>
      <c r="J129" s="174"/>
      <c r="K129" s="174"/>
      <c r="L129" s="174"/>
      <c r="M129" s="174"/>
      <c r="N129" s="174"/>
      <c r="O129" s="174"/>
      <c r="P129" s="174"/>
      <c r="Q129" s="174"/>
      <c r="R129" s="174"/>
      <c r="S129" s="174"/>
      <c r="T129" s="174"/>
      <c r="U129" s="174"/>
      <c r="V129" s="174"/>
      <c r="W129" s="174"/>
      <c r="X129" s="34" t="s">
        <v>10</v>
      </c>
      <c r="Z129" s="146"/>
    </row>
    <row r="130" spans="2:32" ht="27" customHeight="1" thickTop="1" thickBot="1" x14ac:dyDescent="0.5">
      <c r="B130" s="388"/>
      <c r="C130" s="239" t="s">
        <v>88</v>
      </c>
      <c r="D130" s="291" t="s">
        <v>547</v>
      </c>
      <c r="E130" s="22"/>
      <c r="F130" s="22"/>
      <c r="G130" s="22"/>
      <c r="H130" s="22"/>
      <c r="I130" s="22"/>
      <c r="J130" s="22"/>
      <c r="K130" s="22"/>
      <c r="L130" s="22"/>
      <c r="M130" s="22"/>
      <c r="N130" s="22"/>
      <c r="O130" s="22"/>
      <c r="P130" s="22"/>
      <c r="Q130" s="22"/>
      <c r="R130" s="22"/>
      <c r="S130" s="22"/>
      <c r="T130" s="22"/>
      <c r="U130" s="22"/>
      <c r="V130" s="22"/>
      <c r="W130" s="22"/>
      <c r="X130" s="34" t="s">
        <v>10</v>
      </c>
      <c r="Z130" s="79" t="s">
        <v>438</v>
      </c>
    </row>
    <row r="131" spans="2:32" ht="45.75" customHeight="1" x14ac:dyDescent="0.45">
      <c r="B131" s="381" t="s">
        <v>204</v>
      </c>
      <c r="C131" s="384"/>
      <c r="D131" s="187">
        <f>IF(計算!$O31=1,計算!$R31,IF(計算!$O31=2,計算!$U31,IF(計算!$O31=3,計算!$X31,IF(計算!$O31=4,計算!$AA31,IF(計算!$O31=5,計算!$AD31,"")))))</f>
        <v>42.900000000000006</v>
      </c>
      <c r="E131" s="183" t="str">
        <f>IF(計算!$O32=1,計算!$R32,IF(計算!$O32=2,計算!$U32,IF(計算!$O32=3,計算!$X32,IF(計算!$O32=4,計算!$AA32,IF(計算!$O32=5,計算!$AD32,"")))))</f>
        <v/>
      </c>
      <c r="F131" s="183" t="str">
        <f>IF(計算!$O33=1,計算!$R33,IF(計算!$O33=2,計算!$U33,IF(計算!$O33=3,計算!$X33,IF(計算!$O33=4,計算!$AA33,IF(計算!$O33=5,計算!$AD33,"")))))</f>
        <v/>
      </c>
      <c r="G131" s="183" t="str">
        <f>IF(計算!$O34=1,計算!$R34,IF(計算!$O34=2,計算!$U34,IF(計算!$O34=3,計算!$X34,IF(計算!$O34=4,計算!$AA34,IF(計算!$O34=5,計算!$AD34,"")))))</f>
        <v/>
      </c>
      <c r="H131" s="183" t="str">
        <f>IF(計算!$O35=1,計算!$R35,IF(計算!$O35=2,計算!$U35,IF(計算!$O35=3,計算!$X35,IF(計算!$O35=4,計算!$AA35,IF(計算!$O35=5,計算!$AD35,"")))))</f>
        <v/>
      </c>
      <c r="I131" s="183" t="str">
        <f>IF(計算!$O36=1,計算!$R36,IF(計算!$O36=2,計算!$U36,IF(計算!$O36=3,計算!$X36,IF(計算!$O36=4,計算!$AA36,IF(計算!$O36=5,計算!$AD36,"")))))</f>
        <v/>
      </c>
      <c r="J131" s="183" t="str">
        <f>IF(計算!$O37=1,計算!$R37,IF(計算!$O37=2,計算!$U37,IF(計算!$O37=3,計算!$X37,IF(計算!$O37=4,計算!$AA37,IF(計算!$O37=5,計算!$AD37,"")))))</f>
        <v/>
      </c>
      <c r="K131" s="183" t="str">
        <f>IF(計算!$O38=1,計算!$R38,IF(計算!$O38=2,計算!$U38,IF(計算!$O38=3,計算!$X38,IF(計算!$O38=4,計算!$AA38,IF(計算!$O38=5,計算!$AD38,"")))))</f>
        <v/>
      </c>
      <c r="L131" s="183" t="str">
        <f>IF(計算!$O39=1,計算!$R39,IF(計算!$O39=2,計算!$U39,IF(計算!$O39=3,計算!$X39,IF(計算!$O39=4,計算!$AA39,IF(計算!$O39=5,計算!$AD39,"")))))</f>
        <v/>
      </c>
      <c r="M131" s="183" t="str">
        <f>IF(計算!$O40=1,計算!$R40,IF(計算!$O40=2,計算!$U40,IF(計算!$O40=3,計算!$X40,IF(計算!$O40=4,計算!$AA40,IF(計算!$O40=5,計算!$AD40,"")))))</f>
        <v/>
      </c>
      <c r="N131" s="183" t="str">
        <f>IF(計算!$O41=1,計算!$R41,IF(計算!$O41=2,計算!$U41,IF(計算!$O41=3,計算!$X41,IF(計算!$O41=4,計算!$AA41,IF(計算!$O41=5,計算!$AD41,"")))))</f>
        <v/>
      </c>
      <c r="O131" s="183" t="str">
        <f>IF(計算!$O42=1,計算!$R42,IF(計算!$O42=2,計算!$U42,IF(計算!$O42=3,計算!$X42,IF(計算!$O42=4,計算!$AA42,IF(計算!$O42=5,計算!$AD42,"")))))</f>
        <v/>
      </c>
      <c r="P131" s="183" t="str">
        <f>IF(計算!$O43=1,計算!$R43,IF(計算!$O43=2,計算!$U43,IF(計算!$O43=3,計算!$X43,IF(計算!$O43=4,計算!$AA43,IF(計算!$O43=5,計算!$AD43,"")))))</f>
        <v/>
      </c>
      <c r="Q131" s="183" t="str">
        <f>IF(計算!$O44=1,計算!$R44,IF(計算!$O44=2,計算!$U44,IF(計算!$O44=3,計算!$X44,IF(計算!$O44=4,計算!$AA44,IF(計算!$O44=5,計算!$AD44,"")))))</f>
        <v/>
      </c>
      <c r="R131" s="183" t="str">
        <f>IF(計算!$O45=1,計算!$R45,IF(計算!$O45=2,計算!$U45,IF(計算!$O45=3,計算!$X45,IF(計算!$O45=4,計算!$AA45,IF(計算!$O45=5,計算!$AD45,"")))))</f>
        <v/>
      </c>
      <c r="S131" s="183" t="str">
        <f>IF(計算!$O46=1,計算!$R46,IF(計算!$O46=2,計算!$U46,IF(計算!$O46=3,計算!$X46,IF(計算!$O46=4,計算!$AA46,IF(計算!$O46=5,計算!$AD46,"")))))</f>
        <v/>
      </c>
      <c r="T131" s="183" t="str">
        <f>IF(計算!$O47=1,計算!$R47,IF(計算!$O47=2,計算!$U47,IF(計算!$O47=3,計算!$X47,IF(計算!$O47=4,計算!$AA47,IF(計算!$O47=5,計算!$AD47,"")))))</f>
        <v/>
      </c>
      <c r="U131" s="183" t="str">
        <f>IF(計算!$O48=1,計算!$R48,IF(計算!$O48=2,計算!$U48,IF(計算!$O48=3,計算!$X48,IF(計算!$O48=4,計算!$AA48,IF(計算!$O48=5,計算!$AD48,"")))))</f>
        <v/>
      </c>
      <c r="V131" s="183" t="str">
        <f>IF(計算!$O49=1,計算!$R49,IF(計算!$O49=2,計算!$U49,IF(計算!$O49=3,計算!$X49,IF(計算!$O49=4,計算!$AA49,IF(計算!$O49=5,計算!$AD49,"")))))</f>
        <v/>
      </c>
      <c r="W131" s="183" t="str">
        <f>IF(計算!$O50=1,計算!$R50,IF(計算!$O50=2,計算!$U50,IF(計算!$O50=3,計算!$X50,IF(計算!$O50=4,計算!$AA50,IF(計算!$O50=5,計算!$AD50,"")))))</f>
        <v/>
      </c>
      <c r="X131" s="184">
        <f>IF(SUM(D131:W131)=0,"",SUM(D131:W131))</f>
        <v>42.900000000000006</v>
      </c>
    </row>
    <row r="132" spans="2:32" ht="27" customHeight="1" thickBot="1" x14ac:dyDescent="0.5">
      <c r="B132" s="383" t="s">
        <v>205</v>
      </c>
      <c r="C132" s="384"/>
      <c r="D132" s="185">
        <f>IF(D131="","",ROUND(D131*0.0258,2))</f>
        <v>1.1100000000000001</v>
      </c>
      <c r="E132" s="185" t="str">
        <f t="shared" ref="E132:W132" si="18">IF(E131="","",ROUND(E131*0.0258,2))</f>
        <v/>
      </c>
      <c r="F132" s="185" t="str">
        <f t="shared" si="18"/>
        <v/>
      </c>
      <c r="G132" s="185" t="str">
        <f t="shared" si="18"/>
        <v/>
      </c>
      <c r="H132" s="185" t="str">
        <f t="shared" si="18"/>
        <v/>
      </c>
      <c r="I132" s="185" t="str">
        <f t="shared" si="18"/>
        <v/>
      </c>
      <c r="J132" s="185" t="str">
        <f t="shared" si="18"/>
        <v/>
      </c>
      <c r="K132" s="185" t="str">
        <f t="shared" si="18"/>
        <v/>
      </c>
      <c r="L132" s="185" t="str">
        <f t="shared" si="18"/>
        <v/>
      </c>
      <c r="M132" s="185" t="str">
        <f t="shared" si="18"/>
        <v/>
      </c>
      <c r="N132" s="185" t="str">
        <f t="shared" si="18"/>
        <v/>
      </c>
      <c r="O132" s="185" t="str">
        <f t="shared" si="18"/>
        <v/>
      </c>
      <c r="P132" s="185" t="str">
        <f t="shared" si="18"/>
        <v/>
      </c>
      <c r="Q132" s="185" t="str">
        <f t="shared" si="18"/>
        <v/>
      </c>
      <c r="R132" s="185" t="str">
        <f t="shared" si="18"/>
        <v/>
      </c>
      <c r="S132" s="185" t="str">
        <f t="shared" si="18"/>
        <v/>
      </c>
      <c r="T132" s="185" t="str">
        <f t="shared" si="18"/>
        <v/>
      </c>
      <c r="U132" s="185" t="str">
        <f t="shared" si="18"/>
        <v/>
      </c>
      <c r="V132" s="185" t="str">
        <f t="shared" si="18"/>
        <v/>
      </c>
      <c r="W132" s="185" t="str">
        <f t="shared" si="18"/>
        <v/>
      </c>
      <c r="X132" s="186">
        <f>IF(SUM(D132:W132)=0,"",SUM(D132:W132))</f>
        <v>1.1100000000000001</v>
      </c>
    </row>
    <row r="133" spans="2:32" ht="27" hidden="1" customHeight="1" x14ac:dyDescent="0.45">
      <c r="B133" s="377" t="s">
        <v>201</v>
      </c>
      <c r="C133" s="90" t="s">
        <v>199</v>
      </c>
      <c r="D133" s="176"/>
      <c r="E133" s="176"/>
      <c r="F133" s="176"/>
      <c r="G133" s="176"/>
      <c r="H133" s="176"/>
      <c r="I133" s="176"/>
      <c r="J133" s="176"/>
      <c r="K133" s="176"/>
      <c r="L133" s="176"/>
      <c r="M133" s="176"/>
      <c r="N133" s="176"/>
      <c r="O133" s="176"/>
      <c r="P133" s="176"/>
      <c r="Q133" s="176"/>
      <c r="R133" s="176"/>
      <c r="S133" s="176"/>
      <c r="T133" s="176"/>
      <c r="U133" s="176"/>
      <c r="V133" s="176"/>
      <c r="W133" s="176"/>
      <c r="X133" s="32" t="s">
        <v>10</v>
      </c>
    </row>
    <row r="134" spans="2:32" ht="27" hidden="1" customHeight="1" x14ac:dyDescent="0.45">
      <c r="B134" s="378"/>
      <c r="C134" s="90" t="s">
        <v>200</v>
      </c>
      <c r="D134" s="176">
        <f>IFERROR(((D126/D128)+(D127/D129))/2,"")</f>
        <v>2.4736842105263159</v>
      </c>
      <c r="E134" s="176" t="str">
        <f t="shared" ref="E134:W134" si="19">IFERROR(((E126/E128)+(E127/E129))/2,"")</f>
        <v/>
      </c>
      <c r="F134" s="176" t="str">
        <f t="shared" si="19"/>
        <v/>
      </c>
      <c r="G134" s="176" t="str">
        <f t="shared" si="19"/>
        <v/>
      </c>
      <c r="H134" s="176" t="str">
        <f t="shared" si="19"/>
        <v/>
      </c>
      <c r="I134" s="176" t="str">
        <f t="shared" si="19"/>
        <v/>
      </c>
      <c r="J134" s="176" t="str">
        <f t="shared" si="19"/>
        <v/>
      </c>
      <c r="K134" s="176" t="str">
        <f t="shared" si="19"/>
        <v/>
      </c>
      <c r="L134" s="176" t="str">
        <f t="shared" si="19"/>
        <v/>
      </c>
      <c r="M134" s="176" t="str">
        <f t="shared" si="19"/>
        <v/>
      </c>
      <c r="N134" s="176" t="str">
        <f t="shared" si="19"/>
        <v/>
      </c>
      <c r="O134" s="176" t="str">
        <f t="shared" si="19"/>
        <v/>
      </c>
      <c r="P134" s="176" t="str">
        <f t="shared" si="19"/>
        <v/>
      </c>
      <c r="Q134" s="176" t="str">
        <f t="shared" si="19"/>
        <v/>
      </c>
      <c r="R134" s="176" t="str">
        <f t="shared" si="19"/>
        <v/>
      </c>
      <c r="S134" s="176" t="str">
        <f t="shared" si="19"/>
        <v/>
      </c>
      <c r="T134" s="176" t="str">
        <f t="shared" si="19"/>
        <v/>
      </c>
      <c r="U134" s="176" t="str">
        <f t="shared" si="19"/>
        <v/>
      </c>
      <c r="V134" s="176" t="str">
        <f t="shared" si="19"/>
        <v/>
      </c>
      <c r="W134" s="176" t="str">
        <f t="shared" si="19"/>
        <v/>
      </c>
      <c r="X134" s="34" t="s">
        <v>10</v>
      </c>
    </row>
    <row r="135" spans="2:32" hidden="1" x14ac:dyDescent="0.45">
      <c r="B135" s="130" t="s">
        <v>280</v>
      </c>
      <c r="C135" s="130"/>
      <c r="D135" s="131">
        <f t="shared" ref="D135:W135" si="20">IF(D$122="",9,IF(OR(D$122="電気式パッケージ形空調機",D$122="ルームエアコン"),1,IF(AND(D$122="ガスヒートポンプ式空調機",D$124="都市ガス",D$130="kW"),2,IF(AND(D$122="ガスヒートポンプ式空調機",D$124="都市ガス",D$130="ｍ3N/h"),3,IF(AND(D$122="ガスヒートポンプ式空調機",D$124="LPG",D$130="kW"),4,IF(AND(D$122="ガスヒートポンプ式空調機",D$124="LPG",D$130="kg/h"),5,0))))))</f>
        <v>1</v>
      </c>
      <c r="E135" s="131">
        <f t="shared" si="20"/>
        <v>9</v>
      </c>
      <c r="F135" s="131">
        <f t="shared" si="20"/>
        <v>9</v>
      </c>
      <c r="G135" s="131">
        <f t="shared" si="20"/>
        <v>9</v>
      </c>
      <c r="H135" s="131">
        <f t="shared" si="20"/>
        <v>9</v>
      </c>
      <c r="I135" s="131">
        <f t="shared" si="20"/>
        <v>9</v>
      </c>
      <c r="J135" s="131">
        <f t="shared" si="20"/>
        <v>9</v>
      </c>
      <c r="K135" s="131">
        <f t="shared" si="20"/>
        <v>9</v>
      </c>
      <c r="L135" s="131">
        <f t="shared" si="20"/>
        <v>9</v>
      </c>
      <c r="M135" s="131">
        <f t="shared" si="20"/>
        <v>9</v>
      </c>
      <c r="N135" s="131">
        <f t="shared" si="20"/>
        <v>9</v>
      </c>
      <c r="O135" s="131">
        <f>IF(O$122="",9,IF(OR(O$122="電気式パッケージ形空調機",O$122="ルームエアコン"),1,IF(AND(O$122="ガスヒートポンプ式空調機",O$124="都市ガス",O$130="kW"),2,IF(AND(O$122="ガスヒートポンプ式空調機",O$124="都市ガス",O$130="ｍ3N/h"),3,IF(AND(O$122="ガスヒートポンプ式空調機",O$124="LPG",O$130="kW"),4,IF(AND(O$122="ガスヒートポンプ式空調機",O$124="LPG",O$130="kg/h"),5,0))))))</f>
        <v>9</v>
      </c>
      <c r="P135" s="131">
        <f t="shared" si="20"/>
        <v>9</v>
      </c>
      <c r="Q135" s="131">
        <f t="shared" si="20"/>
        <v>9</v>
      </c>
      <c r="R135" s="131">
        <f t="shared" si="20"/>
        <v>9</v>
      </c>
      <c r="S135" s="131">
        <f t="shared" si="20"/>
        <v>9</v>
      </c>
      <c r="T135" s="131">
        <f t="shared" si="20"/>
        <v>9</v>
      </c>
      <c r="U135" s="131">
        <f t="shared" si="20"/>
        <v>9</v>
      </c>
      <c r="V135" s="131">
        <f t="shared" si="20"/>
        <v>9</v>
      </c>
      <c r="W135" s="131">
        <f t="shared" si="20"/>
        <v>9</v>
      </c>
      <c r="X135" s="108"/>
      <c r="Y135" s="132">
        <f>COUNTIF($D135:$W135,0)</f>
        <v>0</v>
      </c>
      <c r="Z135" s="193">
        <f>COUNTIF($D135:$W135,1)</f>
        <v>1</v>
      </c>
      <c r="AA135" s="193">
        <f>COUNTIF($D135:$W135,2)</f>
        <v>0</v>
      </c>
      <c r="AB135" s="193">
        <f>COUNTIF($D135:$W135,3)</f>
        <v>0</v>
      </c>
      <c r="AC135" s="132">
        <f>COUNTIF($D135:$W135,4)</f>
        <v>0</v>
      </c>
      <c r="AD135" s="132">
        <f>COUNTIF($D135:$W135,5)</f>
        <v>0</v>
      </c>
      <c r="AE135" s="132"/>
      <c r="AF135" s="118">
        <v>119</v>
      </c>
    </row>
    <row r="136" spans="2:32" hidden="1" x14ac:dyDescent="0.45">
      <c r="B136" s="130" t="s">
        <v>279</v>
      </c>
      <c r="C136" s="130"/>
      <c r="D136" s="131">
        <f>IF(AND(D$124="",D$130=""),9,IF(AND(D$124="電気",D$130="kW"),1,IF(AND(D$124="都市ガス",D$130="kW"),2,IF(AND(D$124="都市ガス",D$130="ｍ3N/h"),3,IF(AND(D$124="LPG",D$130="kW"),4,IF(AND(D$124="LPG",D$130="kg/h"),5,0))))))</f>
        <v>1</v>
      </c>
      <c r="E136" s="131">
        <f t="shared" ref="E136:W136" si="21">IF(AND(E$124="",E$130=""),9,IF(AND(E$124="電気",E$130="kW"),1,IF(AND(E$124="都市ガス",E$130="kW"),2,IF(AND(E$124="都市ガス",E$130="ｍ3N/h"),3,IF(AND(E$124="LPG",E$130="kW"),4,IF(AND(E$124="LPG",E$130="kg/h"),5,0))))))</f>
        <v>9</v>
      </c>
      <c r="F136" s="131">
        <f t="shared" si="21"/>
        <v>9</v>
      </c>
      <c r="G136" s="131">
        <f t="shared" si="21"/>
        <v>9</v>
      </c>
      <c r="H136" s="131">
        <f t="shared" si="21"/>
        <v>9</v>
      </c>
      <c r="I136" s="131">
        <f t="shared" si="21"/>
        <v>9</v>
      </c>
      <c r="J136" s="131">
        <f t="shared" si="21"/>
        <v>9</v>
      </c>
      <c r="K136" s="131">
        <f t="shared" si="21"/>
        <v>9</v>
      </c>
      <c r="L136" s="131">
        <f t="shared" si="21"/>
        <v>9</v>
      </c>
      <c r="M136" s="131">
        <f t="shared" si="21"/>
        <v>9</v>
      </c>
      <c r="N136" s="131">
        <f t="shared" si="21"/>
        <v>9</v>
      </c>
      <c r="O136" s="131">
        <f>IF(AND(O$124="",O$130=""),9,IF(AND(O$124="電気",O$130="kW"),1,IF(AND(O$124="都市ガス",O$130="kW"),2,IF(AND(O$124="都市ガス",O$130="ｍ3N/h"),3,IF(AND(O$124="LPG",O$130="kW"),4,IF(AND(O$124="LPG",O$130="kg/h"),5,0))))))</f>
        <v>9</v>
      </c>
      <c r="P136" s="131">
        <f t="shared" si="21"/>
        <v>9</v>
      </c>
      <c r="Q136" s="131">
        <f t="shared" si="21"/>
        <v>9</v>
      </c>
      <c r="R136" s="131">
        <f t="shared" si="21"/>
        <v>9</v>
      </c>
      <c r="S136" s="131">
        <f t="shared" si="21"/>
        <v>9</v>
      </c>
      <c r="T136" s="131">
        <f t="shared" si="21"/>
        <v>9</v>
      </c>
      <c r="U136" s="131">
        <f t="shared" si="21"/>
        <v>9</v>
      </c>
      <c r="V136" s="131">
        <f t="shared" si="21"/>
        <v>9</v>
      </c>
      <c r="W136" s="131">
        <f t="shared" si="21"/>
        <v>9</v>
      </c>
      <c r="X136" s="108"/>
      <c r="Y136" s="132">
        <f>COUNTIF($D136:$W136,0)</f>
        <v>0</v>
      </c>
      <c r="Z136" s="193">
        <f>COUNTIF($D136:$W136,1)</f>
        <v>1</v>
      </c>
      <c r="AA136" s="193">
        <f>COUNTIF($D136:$W136,2)</f>
        <v>0</v>
      </c>
      <c r="AB136" s="193">
        <f>COUNTIF($D136:$W136,3)</f>
        <v>0</v>
      </c>
      <c r="AC136" s="132">
        <f>COUNTIF($D136:$W136,4)</f>
        <v>0</v>
      </c>
      <c r="AD136" s="132">
        <f>COUNTIF($D136:$W136,5)</f>
        <v>0</v>
      </c>
      <c r="AE136" s="132"/>
      <c r="AF136" s="118">
        <v>120</v>
      </c>
    </row>
    <row r="137" spans="2:32" hidden="1" x14ac:dyDescent="0.45">
      <c r="B137" s="133" t="s">
        <v>276</v>
      </c>
      <c r="C137" s="133"/>
      <c r="D137" s="134">
        <f>IF(OR(AND(D135=0,D136=0),D135&lt;&gt;D136),1,IF(AND(D135=9,D136=9),2,IF(D135=D136,0,"")))</f>
        <v>0</v>
      </c>
      <c r="E137" s="134">
        <f t="shared" ref="E137:V137" si="22">IF(OR(AND(E135=0,E136=0),E135&lt;&gt;E136),1,IF(AND(E135=9,E136=9),2,IF(E135=E136,0,"")))</f>
        <v>2</v>
      </c>
      <c r="F137" s="134">
        <f t="shared" si="22"/>
        <v>2</v>
      </c>
      <c r="G137" s="134">
        <f t="shared" si="22"/>
        <v>2</v>
      </c>
      <c r="H137" s="134">
        <f t="shared" si="22"/>
        <v>2</v>
      </c>
      <c r="I137" s="134">
        <f t="shared" si="22"/>
        <v>2</v>
      </c>
      <c r="J137" s="134">
        <f t="shared" si="22"/>
        <v>2</v>
      </c>
      <c r="K137" s="134">
        <f t="shared" si="22"/>
        <v>2</v>
      </c>
      <c r="L137" s="134">
        <f t="shared" si="22"/>
        <v>2</v>
      </c>
      <c r="M137" s="134">
        <f t="shared" si="22"/>
        <v>2</v>
      </c>
      <c r="N137" s="134">
        <f t="shared" si="22"/>
        <v>2</v>
      </c>
      <c r="O137" s="134">
        <f>IF(OR(AND(O135=0,O136=0),O135&lt;&gt;O136),1,IF(AND(O135=9,O136=9),2,IF(O135=O136,0,"")))</f>
        <v>2</v>
      </c>
      <c r="P137" s="134">
        <f t="shared" si="22"/>
        <v>2</v>
      </c>
      <c r="Q137" s="134">
        <f t="shared" si="22"/>
        <v>2</v>
      </c>
      <c r="R137" s="134">
        <f t="shared" si="22"/>
        <v>2</v>
      </c>
      <c r="S137" s="134">
        <f t="shared" si="22"/>
        <v>2</v>
      </c>
      <c r="T137" s="134">
        <f t="shared" si="22"/>
        <v>2</v>
      </c>
      <c r="U137" s="134">
        <f t="shared" si="22"/>
        <v>2</v>
      </c>
      <c r="V137" s="134">
        <f t="shared" si="22"/>
        <v>2</v>
      </c>
      <c r="W137" s="134">
        <f>IF(OR(AND(W135=0,W136=0),W135&lt;&gt;W136),1,IF(AND(W135=9,W136=9),2,IF(W135=W136,0,"")))</f>
        <v>2</v>
      </c>
      <c r="X137" s="108" t="str">
        <f>IF(Z137&gt;0,"入力確認",IF(AE139=Y137,"適合","不適合"))</f>
        <v>適合</v>
      </c>
      <c r="Y137" s="132">
        <f>COUNTIF($D137:$W137,0)</f>
        <v>1</v>
      </c>
      <c r="Z137" s="193">
        <f>COUNTIF($D137:$W137,1)</f>
        <v>0</v>
      </c>
      <c r="AA137" s="193">
        <f>COUNTIF($D137:$W137,2)</f>
        <v>19</v>
      </c>
      <c r="AB137" s="193"/>
      <c r="AC137" s="132"/>
      <c r="AD137" s="132"/>
      <c r="AE137" s="132"/>
      <c r="AF137" s="118">
        <v>121</v>
      </c>
    </row>
    <row r="138" spans="2:32" hidden="1" x14ac:dyDescent="0.45">
      <c r="B138" s="181" t="s">
        <v>430</v>
      </c>
      <c r="C138" s="181"/>
      <c r="D138" s="182">
        <f>IF(OR(D128&lt;0,D129&lt;0),1,IF(OR(D128&gt;0,D129&gt;0),0,2))</f>
        <v>0</v>
      </c>
      <c r="E138" s="182">
        <f t="shared" ref="E138:N138" si="23">IF(OR(E128&lt;0,E129&lt;0),1,IF(OR(E128&gt;0,E129&gt;0),0,2))</f>
        <v>2</v>
      </c>
      <c r="F138" s="182">
        <f t="shared" si="23"/>
        <v>2</v>
      </c>
      <c r="G138" s="182">
        <f t="shared" si="23"/>
        <v>2</v>
      </c>
      <c r="H138" s="182">
        <f t="shared" si="23"/>
        <v>2</v>
      </c>
      <c r="I138" s="182">
        <f t="shared" si="23"/>
        <v>2</v>
      </c>
      <c r="J138" s="182">
        <f t="shared" si="23"/>
        <v>2</v>
      </c>
      <c r="K138" s="182">
        <f t="shared" si="23"/>
        <v>2</v>
      </c>
      <c r="L138" s="182">
        <f t="shared" si="23"/>
        <v>2</v>
      </c>
      <c r="M138" s="182">
        <f t="shared" si="23"/>
        <v>2</v>
      </c>
      <c r="N138" s="182">
        <f t="shared" si="23"/>
        <v>2</v>
      </c>
      <c r="O138" s="182">
        <f>IF(OR(O128&lt;0,O129&lt;0),1,IF(OR(O128&gt;0,O129&gt;0),0,2))</f>
        <v>2</v>
      </c>
      <c r="P138" s="182">
        <f t="shared" ref="P138:W138" si="24">IF(OR(P128&lt;0,P129&lt;0),1,IF(OR(P128&gt;0,P129&gt;0),0,2))</f>
        <v>2</v>
      </c>
      <c r="Q138" s="182">
        <f t="shared" si="24"/>
        <v>2</v>
      </c>
      <c r="R138" s="182">
        <f t="shared" si="24"/>
        <v>2</v>
      </c>
      <c r="S138" s="182">
        <f t="shared" si="24"/>
        <v>2</v>
      </c>
      <c r="T138" s="182">
        <f t="shared" si="24"/>
        <v>2</v>
      </c>
      <c r="U138" s="182">
        <f t="shared" si="24"/>
        <v>2</v>
      </c>
      <c r="V138" s="182">
        <f t="shared" si="24"/>
        <v>2</v>
      </c>
      <c r="W138" s="182">
        <f t="shared" si="24"/>
        <v>2</v>
      </c>
      <c r="X138" s="108" t="str">
        <f>IF(Z138&gt;0,"入力確認",IF(AE139=Y138,"適合","不適合"))</f>
        <v>適合</v>
      </c>
      <c r="Y138" s="132">
        <f>COUNTIF($D138:$W138,0)</f>
        <v>1</v>
      </c>
      <c r="Z138" s="193">
        <f>COUNTIF($D138:$W138,1)</f>
        <v>0</v>
      </c>
      <c r="AA138" s="193">
        <f>COUNTIF($D138:$W138,2)</f>
        <v>19</v>
      </c>
      <c r="AB138" s="193"/>
      <c r="AC138" s="132"/>
      <c r="AD138" s="132"/>
      <c r="AE138" s="132"/>
      <c r="AF138" s="118">
        <v>122</v>
      </c>
    </row>
    <row r="139" spans="2:32" hidden="1" x14ac:dyDescent="0.45">
      <c r="B139" s="110" t="s">
        <v>252</v>
      </c>
      <c r="C139" s="108"/>
      <c r="D139" s="108">
        <f>IF(AND(D122="",D123="",D124="",D125="",D126="",D127="",D128="",D129="",D130=""),2,IF(AND(D122&lt;&gt;"",D123&lt;&gt;"",D124&lt;&gt;"",D125&lt;&gt;"",D126&lt;&gt;"",D127&lt;&gt;"",D128&lt;&gt;"",D129&lt;&gt;"",D130&lt;&gt;""),0,1))</f>
        <v>0</v>
      </c>
      <c r="E139" s="108">
        <f t="shared" ref="E139:W139" si="25">IF(AND(E122="",E123="",E124="",E125="",E126="",E127="",E128="",E129="",E130=""),2,IF(AND(E122&lt;&gt;"",E123&lt;&gt;"",E124&lt;&gt;"",E125&lt;&gt;"",E126&lt;&gt;"",E127&lt;&gt;"",E128&lt;&gt;"",E129&lt;&gt;"",E130&lt;&gt;""),0,1))</f>
        <v>2</v>
      </c>
      <c r="F139" s="108">
        <f t="shared" si="25"/>
        <v>2</v>
      </c>
      <c r="G139" s="108">
        <f t="shared" si="25"/>
        <v>2</v>
      </c>
      <c r="H139" s="108">
        <f t="shared" si="25"/>
        <v>2</v>
      </c>
      <c r="I139" s="108">
        <f t="shared" si="25"/>
        <v>2</v>
      </c>
      <c r="J139" s="108">
        <f t="shared" si="25"/>
        <v>2</v>
      </c>
      <c r="K139" s="108">
        <f t="shared" si="25"/>
        <v>2</v>
      </c>
      <c r="L139" s="108">
        <f t="shared" si="25"/>
        <v>2</v>
      </c>
      <c r="M139" s="108">
        <f t="shared" si="25"/>
        <v>2</v>
      </c>
      <c r="N139" s="108">
        <f t="shared" si="25"/>
        <v>2</v>
      </c>
      <c r="O139" s="108">
        <f t="shared" si="25"/>
        <v>2</v>
      </c>
      <c r="P139" s="108">
        <f t="shared" si="25"/>
        <v>2</v>
      </c>
      <c r="Q139" s="108">
        <f t="shared" si="25"/>
        <v>2</v>
      </c>
      <c r="R139" s="108">
        <f t="shared" si="25"/>
        <v>2</v>
      </c>
      <c r="S139" s="108">
        <f t="shared" si="25"/>
        <v>2</v>
      </c>
      <c r="T139" s="108">
        <f t="shared" si="25"/>
        <v>2</v>
      </c>
      <c r="U139" s="108">
        <f t="shared" si="25"/>
        <v>2</v>
      </c>
      <c r="V139" s="108">
        <f t="shared" si="25"/>
        <v>2</v>
      </c>
      <c r="W139" s="108">
        <f t="shared" si="25"/>
        <v>2</v>
      </c>
      <c r="X139" s="108" t="str">
        <f>IF(Z139&gt;0,"入力確認",IF(AE139=Y139,"適合","不適合"))</f>
        <v>適合</v>
      </c>
      <c r="Y139" s="132">
        <f>COUNTIF($D139:$W139,0)</f>
        <v>1</v>
      </c>
      <c r="Z139" s="193">
        <f>COUNTIF($D139:$W139,1)</f>
        <v>0</v>
      </c>
      <c r="AA139" s="193">
        <f>COUNTIF($D139:$W139,2)</f>
        <v>19</v>
      </c>
      <c r="AB139" s="193"/>
      <c r="AC139" s="132"/>
      <c r="AD139" s="132"/>
      <c r="AE139" s="180">
        <f>20-COUNTIF($D$122:$W$122,"")</f>
        <v>1</v>
      </c>
      <c r="AF139" s="118">
        <v>123</v>
      </c>
    </row>
    <row r="140" spans="2:32" x14ac:dyDescent="0.45">
      <c r="B140" s="40"/>
      <c r="C140" s="40"/>
      <c r="D140" s="41"/>
      <c r="E140" s="41"/>
      <c r="F140" s="41"/>
      <c r="G140" s="41"/>
      <c r="H140" s="41"/>
      <c r="I140" s="41"/>
      <c r="J140" s="41"/>
      <c r="K140" s="41"/>
      <c r="L140" s="41"/>
      <c r="M140" s="41"/>
      <c r="N140" s="41"/>
      <c r="O140" s="41"/>
      <c r="P140" s="41"/>
      <c r="Q140" s="41"/>
      <c r="R140" s="41"/>
      <c r="S140" s="41"/>
      <c r="T140" s="41"/>
      <c r="U140" s="41"/>
      <c r="V140" s="41"/>
      <c r="W140" s="41"/>
      <c r="X140" s="41"/>
    </row>
    <row r="141" spans="2:32" ht="42" customHeight="1" thickBot="1" x14ac:dyDescent="0.5">
      <c r="B141" s="188" t="s">
        <v>510</v>
      </c>
      <c r="C141" s="30"/>
    </row>
    <row r="142" spans="2:32" ht="27" customHeight="1" thickTop="1" thickBot="1" x14ac:dyDescent="0.5">
      <c r="B142" s="424" t="s">
        <v>121</v>
      </c>
      <c r="C142" s="425"/>
      <c r="D142" s="283" t="s">
        <v>303</v>
      </c>
      <c r="E142" s="31" t="s">
        <v>304</v>
      </c>
      <c r="F142" s="31" t="s">
        <v>305</v>
      </c>
      <c r="G142" s="31" t="s">
        <v>306</v>
      </c>
      <c r="H142" s="31" t="s">
        <v>307</v>
      </c>
      <c r="I142" s="31" t="s">
        <v>308</v>
      </c>
      <c r="J142" s="31" t="s">
        <v>309</v>
      </c>
      <c r="K142" s="31" t="s">
        <v>310</v>
      </c>
      <c r="L142" s="31" t="s">
        <v>311</v>
      </c>
      <c r="M142" s="31" t="s">
        <v>312</v>
      </c>
      <c r="N142" s="31" t="s">
        <v>367</v>
      </c>
      <c r="O142" s="31" t="s">
        <v>368</v>
      </c>
      <c r="P142" s="31" t="s">
        <v>369</v>
      </c>
      <c r="Q142" s="31" t="s">
        <v>370</v>
      </c>
      <c r="R142" s="31" t="s">
        <v>371</v>
      </c>
      <c r="S142" s="31" t="s">
        <v>372</v>
      </c>
      <c r="T142" s="31" t="s">
        <v>373</v>
      </c>
      <c r="U142" s="31" t="s">
        <v>374</v>
      </c>
      <c r="V142" s="31" t="s">
        <v>375</v>
      </c>
      <c r="W142" s="31" t="s">
        <v>376</v>
      </c>
      <c r="X142" s="37" t="s">
        <v>0</v>
      </c>
      <c r="Z142" s="79" t="s">
        <v>434</v>
      </c>
    </row>
    <row r="143" spans="2:32" ht="63" customHeight="1" thickTop="1" thickBot="1" x14ac:dyDescent="0.5">
      <c r="B143" s="423" t="s">
        <v>271</v>
      </c>
      <c r="C143" s="423"/>
      <c r="D143" s="296" t="s">
        <v>14</v>
      </c>
      <c r="E143" s="2"/>
      <c r="F143" s="2"/>
      <c r="G143" s="2"/>
      <c r="H143" s="2"/>
      <c r="I143" s="2"/>
      <c r="J143" s="2"/>
      <c r="K143" s="2"/>
      <c r="L143" s="2"/>
      <c r="M143" s="2"/>
      <c r="N143" s="148"/>
      <c r="O143" s="148"/>
      <c r="P143" s="148"/>
      <c r="Q143" s="148"/>
      <c r="R143" s="148"/>
      <c r="S143" s="148"/>
      <c r="T143" s="148"/>
      <c r="U143" s="148"/>
      <c r="V143" s="148"/>
      <c r="W143" s="148"/>
      <c r="X143" s="32" t="s">
        <v>10</v>
      </c>
      <c r="Z143" s="79" t="s">
        <v>436</v>
      </c>
    </row>
    <row r="144" spans="2:32" ht="27" customHeight="1" thickBot="1" x14ac:dyDescent="0.5">
      <c r="B144" s="434" t="s">
        <v>3</v>
      </c>
      <c r="C144" s="434"/>
      <c r="D144" s="203">
        <v>2</v>
      </c>
      <c r="E144" s="203"/>
      <c r="F144" s="203"/>
      <c r="G144" s="203"/>
      <c r="H144" s="203"/>
      <c r="I144" s="203"/>
      <c r="J144" s="203"/>
      <c r="K144" s="203"/>
      <c r="L144" s="203"/>
      <c r="M144" s="203"/>
      <c r="N144" s="203"/>
      <c r="O144" s="203"/>
      <c r="P144" s="203"/>
      <c r="Q144" s="203"/>
      <c r="R144" s="203"/>
      <c r="S144" s="203"/>
      <c r="T144" s="203"/>
      <c r="U144" s="203"/>
      <c r="V144" s="203"/>
      <c r="W144" s="203"/>
      <c r="X144" s="172">
        <f>IF(SUM(D144:W144)=0,"",SUM(D144:W144))</f>
        <v>2</v>
      </c>
      <c r="Z144" s="79"/>
    </row>
    <row r="145" spans="2:32" ht="27" customHeight="1" x14ac:dyDescent="0.45">
      <c r="B145" s="427" t="s">
        <v>16</v>
      </c>
      <c r="C145" s="427"/>
      <c r="D145" s="21" t="s">
        <v>89</v>
      </c>
      <c r="E145" s="21"/>
      <c r="F145" s="21"/>
      <c r="G145" s="21"/>
      <c r="H145" s="21"/>
      <c r="I145" s="21"/>
      <c r="J145" s="21"/>
      <c r="K145" s="21"/>
      <c r="L145" s="21"/>
      <c r="M145" s="21"/>
      <c r="N145" s="21"/>
      <c r="O145" s="21"/>
      <c r="P145" s="21"/>
      <c r="Q145" s="21"/>
      <c r="R145" s="21"/>
      <c r="S145" s="21"/>
      <c r="T145" s="21"/>
      <c r="U145" s="21"/>
      <c r="V145" s="21"/>
      <c r="W145" s="21"/>
      <c r="X145" s="39" t="s">
        <v>10</v>
      </c>
      <c r="Z145" s="79" t="s">
        <v>437</v>
      </c>
    </row>
    <row r="146" spans="2:32" ht="27" customHeight="1" thickBot="1" x14ac:dyDescent="0.5">
      <c r="B146" s="381" t="s">
        <v>108</v>
      </c>
      <c r="C146" s="382"/>
      <c r="D146" s="290" t="s">
        <v>90</v>
      </c>
      <c r="E146" s="21"/>
      <c r="F146" s="21"/>
      <c r="G146" s="21"/>
      <c r="H146" s="21"/>
      <c r="I146" s="21"/>
      <c r="J146" s="21"/>
      <c r="K146" s="21"/>
      <c r="L146" s="21"/>
      <c r="M146" s="21"/>
      <c r="N146" s="149"/>
      <c r="O146" s="149"/>
      <c r="P146" s="149"/>
      <c r="Q146" s="149"/>
      <c r="R146" s="149"/>
      <c r="S146" s="149"/>
      <c r="T146" s="149"/>
      <c r="U146" s="149"/>
      <c r="V146" s="149"/>
      <c r="W146" s="149"/>
      <c r="X146" s="39" t="s">
        <v>10</v>
      </c>
      <c r="Z146" s="79" t="s">
        <v>435</v>
      </c>
    </row>
    <row r="147" spans="2:32" ht="27" customHeight="1" thickTop="1" x14ac:dyDescent="0.45">
      <c r="B147" s="385" t="s">
        <v>512</v>
      </c>
      <c r="C147" s="288" t="s">
        <v>7</v>
      </c>
      <c r="D147" s="292">
        <v>5</v>
      </c>
      <c r="E147" s="169"/>
      <c r="F147" s="175"/>
      <c r="G147" s="175"/>
      <c r="H147" s="175"/>
      <c r="I147" s="175"/>
      <c r="J147" s="175"/>
      <c r="K147" s="175"/>
      <c r="L147" s="175"/>
      <c r="M147" s="175"/>
      <c r="N147" s="178"/>
      <c r="O147" s="178"/>
      <c r="P147" s="178"/>
      <c r="Q147" s="178"/>
      <c r="R147" s="178"/>
      <c r="S147" s="178"/>
      <c r="T147" s="178"/>
      <c r="U147" s="178"/>
      <c r="V147" s="178"/>
      <c r="W147" s="178"/>
      <c r="X147" s="39" t="s">
        <v>10</v>
      </c>
      <c r="Z147" s="146"/>
    </row>
    <row r="148" spans="2:32" ht="27" customHeight="1" x14ac:dyDescent="0.45">
      <c r="B148" s="386"/>
      <c r="C148" s="288" t="s">
        <v>8</v>
      </c>
      <c r="D148" s="293">
        <v>5.6</v>
      </c>
      <c r="E148" s="169"/>
      <c r="F148" s="175"/>
      <c r="G148" s="175"/>
      <c r="H148" s="175"/>
      <c r="I148" s="175"/>
      <c r="J148" s="175"/>
      <c r="K148" s="175"/>
      <c r="L148" s="175"/>
      <c r="M148" s="175"/>
      <c r="N148" s="175"/>
      <c r="O148" s="175"/>
      <c r="P148" s="175"/>
      <c r="Q148" s="175"/>
      <c r="R148" s="175"/>
      <c r="S148" s="175"/>
      <c r="T148" s="175"/>
      <c r="U148" s="175"/>
      <c r="V148" s="175"/>
      <c r="W148" s="175"/>
      <c r="X148" s="34" t="s">
        <v>10</v>
      </c>
      <c r="Z148" s="146"/>
    </row>
    <row r="149" spans="2:32" ht="27" customHeight="1" x14ac:dyDescent="0.45">
      <c r="B149" s="385" t="s">
        <v>203</v>
      </c>
      <c r="C149" s="288" t="s">
        <v>7</v>
      </c>
      <c r="D149" s="294">
        <v>1.8</v>
      </c>
      <c r="E149" s="289"/>
      <c r="F149" s="173"/>
      <c r="G149" s="173"/>
      <c r="H149" s="173"/>
      <c r="I149" s="173"/>
      <c r="J149" s="173"/>
      <c r="K149" s="173"/>
      <c r="L149" s="173"/>
      <c r="M149" s="173"/>
      <c r="N149" s="177"/>
      <c r="O149" s="177"/>
      <c r="P149" s="177"/>
      <c r="Q149" s="177"/>
      <c r="R149" s="177"/>
      <c r="S149" s="177"/>
      <c r="T149" s="177"/>
      <c r="U149" s="177"/>
      <c r="V149" s="177"/>
      <c r="W149" s="177"/>
      <c r="X149" s="32" t="s">
        <v>10</v>
      </c>
      <c r="Z149" s="146"/>
    </row>
    <row r="150" spans="2:32" ht="27" customHeight="1" thickBot="1" x14ac:dyDescent="0.5">
      <c r="B150" s="433"/>
      <c r="C150" s="288" t="s">
        <v>8</v>
      </c>
      <c r="D150" s="295">
        <v>2</v>
      </c>
      <c r="E150" s="289"/>
      <c r="F150" s="173"/>
      <c r="G150" s="173"/>
      <c r="H150" s="173"/>
      <c r="I150" s="173"/>
      <c r="J150" s="173"/>
      <c r="K150" s="173"/>
      <c r="L150" s="173"/>
      <c r="M150" s="173"/>
      <c r="N150" s="173"/>
      <c r="O150" s="173"/>
      <c r="P150" s="173"/>
      <c r="Q150" s="173"/>
      <c r="R150" s="173"/>
      <c r="S150" s="173"/>
      <c r="T150" s="173"/>
      <c r="U150" s="173"/>
      <c r="V150" s="173"/>
      <c r="W150" s="173"/>
      <c r="X150" s="34" t="s">
        <v>10</v>
      </c>
      <c r="Z150" s="146"/>
    </row>
    <row r="151" spans="2:32" ht="27" customHeight="1" thickTop="1" thickBot="1" x14ac:dyDescent="0.5">
      <c r="B151" s="386"/>
      <c r="C151" s="91" t="s">
        <v>88</v>
      </c>
      <c r="D151" s="291" t="s">
        <v>547</v>
      </c>
      <c r="E151" s="22"/>
      <c r="F151" s="22"/>
      <c r="G151" s="22"/>
      <c r="H151" s="22"/>
      <c r="I151" s="22"/>
      <c r="J151" s="22"/>
      <c r="K151" s="22"/>
      <c r="L151" s="22"/>
      <c r="M151" s="22"/>
      <c r="N151" s="22"/>
      <c r="O151" s="22"/>
      <c r="P151" s="22"/>
      <c r="Q151" s="22"/>
      <c r="R151" s="22"/>
      <c r="S151" s="22"/>
      <c r="T151" s="22"/>
      <c r="U151" s="22"/>
      <c r="V151" s="22"/>
      <c r="W151" s="22"/>
      <c r="X151" s="34" t="s">
        <v>10</v>
      </c>
      <c r="Z151" s="79" t="s">
        <v>438</v>
      </c>
    </row>
    <row r="152" spans="2:32" ht="45" customHeight="1" x14ac:dyDescent="0.45">
      <c r="B152" s="381" t="s">
        <v>204</v>
      </c>
      <c r="C152" s="382"/>
      <c r="D152" s="183">
        <v>43.7</v>
      </c>
      <c r="E152" s="183" t="str">
        <f>IF(計算!$O57=1,計算!$R57,IF(計算!$O57=2,計算!$U57,IF(計算!$O57=3,計算!$X57,IF(計算!$O57=4,計算!$AA57,IF(計算!$O57=5,計算!$AD57,"")))))</f>
        <v/>
      </c>
      <c r="F152" s="183" t="str">
        <f>IF(計算!$O58=1,計算!$R58,IF(計算!$O58=2,計算!$U58,IF(計算!$O58=3,計算!$X58,IF(計算!$O58=4,計算!$AA58,IF(計算!$O58=5,計算!$AD58,"")))))</f>
        <v/>
      </c>
      <c r="G152" s="183" t="str">
        <f>IF(計算!$O59=1,計算!$R59,IF(計算!$O59=2,計算!$U59,IF(計算!$O59=3,計算!$X59,IF(計算!$O59=4,計算!$AA59,IF(計算!$O59=5,計算!$AD59,"")))))</f>
        <v/>
      </c>
      <c r="H152" s="183" t="str">
        <f>IF(計算!$O60=1,計算!$R60,IF(計算!$O60=2,計算!$U60,IF(計算!$O60=3,計算!$X60,IF(計算!$O60=4,計算!$AA60,IF(計算!$O60=5,計算!$AD60,"")))))</f>
        <v/>
      </c>
      <c r="I152" s="183" t="str">
        <f>IF(計算!$O61=1,計算!$R61,IF(計算!$O61=2,計算!$U61,IF(計算!$O61=3,計算!$X61,IF(計算!$O61=4,計算!$AA61,IF(計算!$O61=5,計算!$AD61,"")))))</f>
        <v/>
      </c>
      <c r="J152" s="183" t="str">
        <f>IF(計算!$O62=1,計算!$R62,IF(計算!$O62=2,計算!$U62,IF(計算!$O62=3,計算!$X62,IF(計算!$O62=4,計算!$AA62,IF(計算!$O62=5,計算!$AD62,"")))))</f>
        <v/>
      </c>
      <c r="K152" s="183" t="str">
        <f>IF(計算!$O63=1,計算!$R63,IF(計算!$O63=2,計算!$U63,IF(計算!$O63=3,計算!$X63,IF(計算!$O63=4,計算!$AA63,IF(計算!$O63=5,計算!$AD63,"")))))</f>
        <v/>
      </c>
      <c r="L152" s="183" t="str">
        <f>IF(計算!$O64=1,計算!$R64,IF(計算!$O64=2,計算!$U64,IF(計算!$O64=3,計算!$X64,IF(計算!$O64=4,計算!$AA64,IF(計算!$O64=5,計算!$AD64,"")))))</f>
        <v/>
      </c>
      <c r="M152" s="183" t="str">
        <f>IF(計算!$O65=1,計算!$R65,IF(計算!$O65=2,計算!$U65,IF(計算!$O65=3,計算!$X65,IF(計算!$O65=4,計算!$AA65,IF(計算!$O65=5,計算!$AD65,"")))))</f>
        <v/>
      </c>
      <c r="N152" s="183" t="str">
        <f>IF(計算!$O66=1,計算!$R66,IF(計算!$O66=2,計算!$U66,IF(計算!$O66=3,計算!$X66,IF(計算!$O66=4,計算!$AA66,IF(計算!$O66=5,計算!$AD66,"")))))</f>
        <v/>
      </c>
      <c r="O152" s="183" t="str">
        <f>IF(計算!$O67=1,計算!$R67,IF(計算!$O67=2,計算!$U67,IF(計算!$O67=3,計算!$X67,IF(計算!$O67=4,計算!$AA67,IF(計算!$O67=5,計算!$AD67,"")))))</f>
        <v/>
      </c>
      <c r="P152" s="183" t="str">
        <f>IF(計算!$O68=1,計算!$R68,IF(計算!$O68=2,計算!$U68,IF(計算!$O68=3,計算!$X68,IF(計算!$O68=4,計算!$AA68,IF(計算!$O68=5,計算!$AD68,"")))))</f>
        <v/>
      </c>
      <c r="Q152" s="183" t="str">
        <f>IF(計算!$O69=1,計算!$R69,IF(計算!$O69=2,計算!$U69,IF(計算!$O69=3,計算!$X69,IF(計算!$O69=4,計算!$AA69,IF(計算!$O69=5,計算!$AD69,"")))))</f>
        <v/>
      </c>
      <c r="R152" s="183" t="str">
        <f>IF(計算!$O70=1,計算!$R70,IF(計算!$O70=2,計算!$U70,IF(計算!$O70=3,計算!$X70,IF(計算!$O70=4,計算!$AA70,IF(計算!$O70=5,計算!$AD70,"")))))</f>
        <v/>
      </c>
      <c r="S152" s="183" t="str">
        <f>IF(計算!$O71=1,計算!$R71,IF(計算!$O71=2,計算!$U71,IF(計算!$O71=3,計算!$X71,IF(計算!$O71=4,計算!$AA71,IF(計算!$O71=5,計算!$AD71,"")))))</f>
        <v/>
      </c>
      <c r="T152" s="183" t="str">
        <f>IF(計算!$O72=1,計算!$R72,IF(計算!$O72=2,計算!$U72,IF(計算!$O72=3,計算!$X72,IF(計算!$O72=4,計算!$AA72,IF(計算!$O72=5,計算!$AD72,"")))))</f>
        <v/>
      </c>
      <c r="U152" s="183" t="str">
        <f>IF(計算!$O73=1,計算!$R73,IF(計算!$O73=2,計算!$U73,IF(計算!$O73=3,計算!$X73,IF(計算!$O73=4,計算!$AA73,IF(計算!$O73=5,計算!$AD73,"")))))</f>
        <v/>
      </c>
      <c r="V152" s="183" t="str">
        <f>IF(計算!$O74=1,計算!$R74,IF(計算!$O74=2,計算!$U74,IF(計算!$O74=3,計算!$X74,IF(計算!$O74=4,計算!$AA74,IF(計算!$O74=5,計算!$AD74,"")))))</f>
        <v/>
      </c>
      <c r="W152" s="183" t="str">
        <f>IF(計算!$O75=1,計算!$R75,IF(計算!$O75=2,計算!$U75,IF(計算!$O75=3,計算!$X75,IF(計算!$O75=4,計算!$AA75,IF(計算!$O75=5,計算!$AD75,"")))))</f>
        <v/>
      </c>
      <c r="X152" s="184">
        <f>IF(SUM(D152:W152)=0,"",SUM(D152:W152))</f>
        <v>43.7</v>
      </c>
    </row>
    <row r="153" spans="2:32" ht="27" customHeight="1" thickBot="1" x14ac:dyDescent="0.5">
      <c r="B153" s="383" t="s">
        <v>205</v>
      </c>
      <c r="C153" s="384"/>
      <c r="D153" s="185">
        <f>IF(D152="","",ROUND(D152*0.0258,2))</f>
        <v>1.1299999999999999</v>
      </c>
      <c r="E153" s="185" t="str">
        <f t="shared" ref="E153:W153" si="26">IF(E152="","",ROUND(E152*0.0258,2))</f>
        <v/>
      </c>
      <c r="F153" s="185" t="str">
        <f t="shared" si="26"/>
        <v/>
      </c>
      <c r="G153" s="185" t="str">
        <f t="shared" si="26"/>
        <v/>
      </c>
      <c r="H153" s="185" t="str">
        <f t="shared" si="26"/>
        <v/>
      </c>
      <c r="I153" s="185" t="str">
        <f t="shared" si="26"/>
        <v/>
      </c>
      <c r="J153" s="185" t="str">
        <f t="shared" si="26"/>
        <v/>
      </c>
      <c r="K153" s="185" t="str">
        <f t="shared" si="26"/>
        <v/>
      </c>
      <c r="L153" s="185" t="str">
        <f t="shared" si="26"/>
        <v/>
      </c>
      <c r="M153" s="185" t="str">
        <f t="shared" si="26"/>
        <v/>
      </c>
      <c r="N153" s="185" t="str">
        <f t="shared" si="26"/>
        <v/>
      </c>
      <c r="O153" s="185" t="str">
        <f t="shared" si="26"/>
        <v/>
      </c>
      <c r="P153" s="185" t="str">
        <f t="shared" si="26"/>
        <v/>
      </c>
      <c r="Q153" s="185" t="str">
        <f t="shared" si="26"/>
        <v/>
      </c>
      <c r="R153" s="185" t="str">
        <f t="shared" si="26"/>
        <v/>
      </c>
      <c r="S153" s="185" t="str">
        <f t="shared" si="26"/>
        <v/>
      </c>
      <c r="T153" s="185" t="str">
        <f t="shared" si="26"/>
        <v/>
      </c>
      <c r="U153" s="185" t="str">
        <f t="shared" si="26"/>
        <v/>
      </c>
      <c r="V153" s="185" t="str">
        <f t="shared" si="26"/>
        <v/>
      </c>
      <c r="W153" s="185" t="str">
        <f t="shared" si="26"/>
        <v/>
      </c>
      <c r="X153" s="186">
        <f>IF(SUM(D153:W153)=0,"",SUM(D153:W153))</f>
        <v>1.1299999999999999</v>
      </c>
      <c r="Z153" s="79" t="s">
        <v>439</v>
      </c>
    </row>
    <row r="154" spans="2:32" ht="27" hidden="1" customHeight="1" x14ac:dyDescent="0.45">
      <c r="B154" s="379" t="s">
        <v>201</v>
      </c>
      <c r="C154" s="92" t="s">
        <v>199</v>
      </c>
      <c r="D154" s="176"/>
      <c r="E154" s="176"/>
      <c r="F154" s="176"/>
      <c r="G154" s="176"/>
      <c r="H154" s="176"/>
      <c r="I154" s="176"/>
      <c r="J154" s="176"/>
      <c r="K154" s="176"/>
      <c r="L154" s="176"/>
      <c r="M154" s="176"/>
      <c r="N154" s="176"/>
      <c r="O154" s="176"/>
      <c r="P154" s="176"/>
      <c r="Q154" s="176"/>
      <c r="R154" s="176"/>
      <c r="S154" s="176"/>
      <c r="T154" s="176"/>
      <c r="U154" s="176"/>
      <c r="V154" s="176"/>
      <c r="W154" s="176"/>
      <c r="X154" s="32" t="s">
        <v>10</v>
      </c>
    </row>
    <row r="155" spans="2:32" ht="27" hidden="1" customHeight="1" x14ac:dyDescent="0.45">
      <c r="B155" s="380"/>
      <c r="C155" s="92" t="s">
        <v>200</v>
      </c>
      <c r="D155" s="176">
        <f>IFERROR(((D147/D149)+(D148/D150))/2,"")</f>
        <v>2.7888888888888888</v>
      </c>
      <c r="E155" s="176" t="str">
        <f t="shared" ref="E155:W155" si="27">IFERROR(((E147/E149)+(E148/E150))/2,"")</f>
        <v/>
      </c>
      <c r="F155" s="176" t="str">
        <f t="shared" si="27"/>
        <v/>
      </c>
      <c r="G155" s="176" t="str">
        <f t="shared" si="27"/>
        <v/>
      </c>
      <c r="H155" s="176" t="str">
        <f t="shared" si="27"/>
        <v/>
      </c>
      <c r="I155" s="176" t="str">
        <f t="shared" si="27"/>
        <v/>
      </c>
      <c r="J155" s="176" t="str">
        <f t="shared" si="27"/>
        <v/>
      </c>
      <c r="K155" s="176" t="str">
        <f t="shared" si="27"/>
        <v/>
      </c>
      <c r="L155" s="176" t="str">
        <f t="shared" si="27"/>
        <v/>
      </c>
      <c r="M155" s="176" t="str">
        <f t="shared" si="27"/>
        <v/>
      </c>
      <c r="N155" s="176" t="str">
        <f t="shared" si="27"/>
        <v/>
      </c>
      <c r="O155" s="176" t="str">
        <f t="shared" si="27"/>
        <v/>
      </c>
      <c r="P155" s="176" t="str">
        <f t="shared" si="27"/>
        <v/>
      </c>
      <c r="Q155" s="176" t="str">
        <f t="shared" si="27"/>
        <v/>
      </c>
      <c r="R155" s="176" t="str">
        <f t="shared" si="27"/>
        <v/>
      </c>
      <c r="S155" s="176" t="str">
        <f t="shared" si="27"/>
        <v/>
      </c>
      <c r="T155" s="176" t="str">
        <f t="shared" si="27"/>
        <v/>
      </c>
      <c r="U155" s="176" t="str">
        <f t="shared" si="27"/>
        <v/>
      </c>
      <c r="V155" s="176" t="str">
        <f t="shared" si="27"/>
        <v/>
      </c>
      <c r="W155" s="176" t="str">
        <f t="shared" si="27"/>
        <v/>
      </c>
      <c r="X155" s="34" t="s">
        <v>10</v>
      </c>
    </row>
    <row r="156" spans="2:32" hidden="1" x14ac:dyDescent="0.45">
      <c r="B156" s="130" t="s">
        <v>277</v>
      </c>
      <c r="C156" s="130"/>
      <c r="D156" s="131">
        <f t="shared" ref="D156:V156" si="28">IF(D$143="",9,IF(OR(D$143="電気式パッケージ形空調機",D$143="ルームエアコン"),1,IF(AND(D$143="ガスヒートポンプ式空調機",D$145="都市ガス",D$151="kW"),2,IF(AND(D$143="ガスヒートポンプ式空調機",D$145="都市ガス",D$151="ｍ3N/h"),3,IF(AND(D$143="ガスヒートポンプ式空調機",D$145="LPG",D$151="kW"),4,IF(AND(D$143="ガスヒートポンプ式空調機",D$145="LPG",D$151="kg/h"),5,0))))))</f>
        <v>1</v>
      </c>
      <c r="E156" s="131">
        <f t="shared" si="28"/>
        <v>9</v>
      </c>
      <c r="F156" s="131">
        <f t="shared" si="28"/>
        <v>9</v>
      </c>
      <c r="G156" s="131">
        <f t="shared" si="28"/>
        <v>9</v>
      </c>
      <c r="H156" s="131">
        <f t="shared" si="28"/>
        <v>9</v>
      </c>
      <c r="I156" s="131">
        <f t="shared" si="28"/>
        <v>9</v>
      </c>
      <c r="J156" s="131">
        <f t="shared" si="28"/>
        <v>9</v>
      </c>
      <c r="K156" s="131">
        <f t="shared" si="28"/>
        <v>9</v>
      </c>
      <c r="L156" s="131">
        <f t="shared" si="28"/>
        <v>9</v>
      </c>
      <c r="M156" s="131">
        <f t="shared" si="28"/>
        <v>9</v>
      </c>
      <c r="N156" s="131">
        <f t="shared" si="28"/>
        <v>9</v>
      </c>
      <c r="O156" s="131">
        <f t="shared" si="28"/>
        <v>9</v>
      </c>
      <c r="P156" s="131">
        <f t="shared" si="28"/>
        <v>9</v>
      </c>
      <c r="Q156" s="131">
        <f t="shared" si="28"/>
        <v>9</v>
      </c>
      <c r="R156" s="131">
        <f t="shared" si="28"/>
        <v>9</v>
      </c>
      <c r="S156" s="131">
        <f t="shared" si="28"/>
        <v>9</v>
      </c>
      <c r="T156" s="131">
        <f t="shared" si="28"/>
        <v>9</v>
      </c>
      <c r="U156" s="131">
        <f t="shared" si="28"/>
        <v>9</v>
      </c>
      <c r="V156" s="131">
        <f t="shared" si="28"/>
        <v>9</v>
      </c>
      <c r="W156" s="131">
        <f>IF(W$143="",9,IF(OR(W$143="電気式パッケージ形空調機",W$143="ルームエアコン"),1,IF(AND(W$143="ガスヒートポンプ式空調機",W$145="都市ガス",W$151="kW"),2,IF(AND(W$143="ガスヒートポンプ式空調機",W$145="都市ガス",W$151="ｍ3N/h"),3,IF(AND(W$143="ガスヒートポンプ式空調機",W$145="LPG",W$151="kW"),4,IF(AND(W$143="ガスヒートポンプ式空調機",W$145="LPG",W$151="kg/h"),5,0))))))</f>
        <v>9</v>
      </c>
      <c r="X156" s="108"/>
      <c r="Y156" s="132">
        <f>COUNTIF($D156:$W156,0)</f>
        <v>0</v>
      </c>
      <c r="Z156" s="193">
        <f>COUNTIF($D156:$W156,1)</f>
        <v>1</v>
      </c>
      <c r="AA156" s="193">
        <f>COUNTIF($D156:$W156,2)</f>
        <v>0</v>
      </c>
      <c r="AB156" s="193">
        <f>COUNTIF($D156:$W156,3)</f>
        <v>0</v>
      </c>
      <c r="AC156" s="132">
        <f>COUNTIF($D156:$W156,4)</f>
        <v>0</v>
      </c>
      <c r="AD156" s="132">
        <f>COUNTIF($D156:$W156,5)</f>
        <v>0</v>
      </c>
      <c r="AE156" s="132"/>
      <c r="AF156" s="118">
        <v>140</v>
      </c>
    </row>
    <row r="157" spans="2:32" hidden="1" x14ac:dyDescent="0.45">
      <c r="B157" s="130" t="s">
        <v>278</v>
      </c>
      <c r="C157" s="130"/>
      <c r="D157" s="131">
        <f>IF(AND(D$145="",D$151=""),9,IF(AND(D$145="電気",D$151="kW"),1,IF(AND(D$145="都市ガス",D$151="kW"),2,IF(AND(D$145="都市ガス",D$151="ｍ3N/h"),3,IF(AND(D$145="LPG",D$151="kW"),4,IF(AND(D$145="LPG",D$151="kg/h"),5,0))))))</f>
        <v>1</v>
      </c>
      <c r="E157" s="131">
        <f t="shared" ref="E157:W157" si="29">IF(AND(E$145="",E$151=""),9,IF(AND(E$145="電気",E$151="kW"),1,IF(AND(E$145="都市ガス",E$151="kW"),2,IF(AND(E$145="都市ガス",E$151="ｍ3N/h"),3,IF(AND(E$145="LPG",E$151="kW"),4,IF(AND(E$145="LPG",E$151="kg/h"),5,0))))))</f>
        <v>9</v>
      </c>
      <c r="F157" s="131">
        <f t="shared" si="29"/>
        <v>9</v>
      </c>
      <c r="G157" s="131">
        <f t="shared" si="29"/>
        <v>9</v>
      </c>
      <c r="H157" s="131">
        <f t="shared" si="29"/>
        <v>9</v>
      </c>
      <c r="I157" s="131">
        <f t="shared" si="29"/>
        <v>9</v>
      </c>
      <c r="J157" s="131">
        <f t="shared" si="29"/>
        <v>9</v>
      </c>
      <c r="K157" s="131">
        <f t="shared" si="29"/>
        <v>9</v>
      </c>
      <c r="L157" s="131">
        <f t="shared" si="29"/>
        <v>9</v>
      </c>
      <c r="M157" s="131">
        <f t="shared" si="29"/>
        <v>9</v>
      </c>
      <c r="N157" s="131">
        <f t="shared" si="29"/>
        <v>9</v>
      </c>
      <c r="O157" s="131">
        <f t="shared" si="29"/>
        <v>9</v>
      </c>
      <c r="P157" s="131">
        <f t="shared" si="29"/>
        <v>9</v>
      </c>
      <c r="Q157" s="131">
        <f t="shared" si="29"/>
        <v>9</v>
      </c>
      <c r="R157" s="131">
        <f t="shared" si="29"/>
        <v>9</v>
      </c>
      <c r="S157" s="131">
        <f t="shared" si="29"/>
        <v>9</v>
      </c>
      <c r="T157" s="131">
        <f t="shared" si="29"/>
        <v>9</v>
      </c>
      <c r="U157" s="131">
        <f t="shared" si="29"/>
        <v>9</v>
      </c>
      <c r="V157" s="131">
        <f t="shared" si="29"/>
        <v>9</v>
      </c>
      <c r="W157" s="131">
        <f t="shared" si="29"/>
        <v>9</v>
      </c>
      <c r="X157" s="108"/>
      <c r="Y157" s="132">
        <f>COUNTIF($D157:$W157,0)</f>
        <v>0</v>
      </c>
      <c r="Z157" s="193">
        <f>COUNTIF($D157:$W157,1)</f>
        <v>1</v>
      </c>
      <c r="AA157" s="193">
        <f>COUNTIF($D157:$W157,2)</f>
        <v>0</v>
      </c>
      <c r="AB157" s="193">
        <f>COUNTIF($D157:$W157,3)</f>
        <v>0</v>
      </c>
      <c r="AC157" s="132">
        <f>COUNTIF($D157:$W157,4)</f>
        <v>0</v>
      </c>
      <c r="AD157" s="132">
        <f>COUNTIF($D157:$W157,5)</f>
        <v>0</v>
      </c>
      <c r="AE157" s="132"/>
      <c r="AF157" s="118">
        <v>141</v>
      </c>
    </row>
    <row r="158" spans="2:32" hidden="1" x14ac:dyDescent="0.45">
      <c r="B158" s="133" t="s">
        <v>276</v>
      </c>
      <c r="C158" s="133"/>
      <c r="D158" s="134">
        <f>IF(OR(AND(D156=0,D157=0),D156&lt;&gt;D157),1,IF(AND(D156=9,D157=9),2,IF(D156=D157,0,"")))</f>
        <v>0</v>
      </c>
      <c r="E158" s="134">
        <f t="shared" ref="E158:W158" si="30">IF(OR(AND(E156=0,E157=0),E156&lt;&gt;E157),1,IF(AND(E156=9,E157=9),2,IF(E156=E157,0,"")))</f>
        <v>2</v>
      </c>
      <c r="F158" s="134">
        <f t="shared" si="30"/>
        <v>2</v>
      </c>
      <c r="G158" s="134">
        <f t="shared" si="30"/>
        <v>2</v>
      </c>
      <c r="H158" s="134">
        <f t="shared" si="30"/>
        <v>2</v>
      </c>
      <c r="I158" s="134">
        <f t="shared" si="30"/>
        <v>2</v>
      </c>
      <c r="J158" s="134">
        <f t="shared" si="30"/>
        <v>2</v>
      </c>
      <c r="K158" s="134">
        <f t="shared" si="30"/>
        <v>2</v>
      </c>
      <c r="L158" s="134">
        <f t="shared" si="30"/>
        <v>2</v>
      </c>
      <c r="M158" s="134">
        <f t="shared" si="30"/>
        <v>2</v>
      </c>
      <c r="N158" s="134">
        <f t="shared" si="30"/>
        <v>2</v>
      </c>
      <c r="O158" s="134">
        <f t="shared" si="30"/>
        <v>2</v>
      </c>
      <c r="P158" s="134">
        <f t="shared" si="30"/>
        <v>2</v>
      </c>
      <c r="Q158" s="134">
        <f t="shared" si="30"/>
        <v>2</v>
      </c>
      <c r="R158" s="134">
        <f t="shared" si="30"/>
        <v>2</v>
      </c>
      <c r="S158" s="134">
        <f t="shared" si="30"/>
        <v>2</v>
      </c>
      <c r="T158" s="134">
        <f t="shared" si="30"/>
        <v>2</v>
      </c>
      <c r="U158" s="134">
        <f t="shared" si="30"/>
        <v>2</v>
      </c>
      <c r="V158" s="134">
        <f t="shared" si="30"/>
        <v>2</v>
      </c>
      <c r="W158" s="134">
        <f t="shared" si="30"/>
        <v>2</v>
      </c>
      <c r="X158" s="108" t="str">
        <f>IF(Z158&gt;0,"入力確認",IF(AE160=Y158,"適合","不適合"))</f>
        <v>適合</v>
      </c>
      <c r="Y158" s="132">
        <f>COUNTIF($D158:$W158,0)</f>
        <v>1</v>
      </c>
      <c r="Z158" s="193">
        <f>COUNTIF($D158:$W158,1)</f>
        <v>0</v>
      </c>
      <c r="AA158" s="193">
        <f>COUNTIF($D158:$W158,2)</f>
        <v>19</v>
      </c>
      <c r="AB158" s="193"/>
      <c r="AC158" s="132"/>
      <c r="AD158" s="132"/>
      <c r="AE158" s="132"/>
      <c r="AF158" s="118">
        <v>142</v>
      </c>
    </row>
    <row r="159" spans="2:32" hidden="1" x14ac:dyDescent="0.45">
      <c r="B159" s="181" t="s">
        <v>430</v>
      </c>
      <c r="C159" s="181"/>
      <c r="D159" s="182">
        <f t="shared" ref="D159:N159" si="31">IF(OR(D149&lt;0,D150&lt;0),1,IF(OR(D149&gt;0,D150&gt;0),0,2))</f>
        <v>0</v>
      </c>
      <c r="E159" s="182">
        <f t="shared" si="31"/>
        <v>2</v>
      </c>
      <c r="F159" s="182">
        <f t="shared" si="31"/>
        <v>2</v>
      </c>
      <c r="G159" s="182">
        <f t="shared" si="31"/>
        <v>2</v>
      </c>
      <c r="H159" s="182">
        <f t="shared" si="31"/>
        <v>2</v>
      </c>
      <c r="I159" s="182">
        <f t="shared" si="31"/>
        <v>2</v>
      </c>
      <c r="J159" s="182">
        <f t="shared" si="31"/>
        <v>2</v>
      </c>
      <c r="K159" s="182">
        <f t="shared" si="31"/>
        <v>2</v>
      </c>
      <c r="L159" s="182">
        <f t="shared" si="31"/>
        <v>2</v>
      </c>
      <c r="M159" s="182">
        <f t="shared" si="31"/>
        <v>2</v>
      </c>
      <c r="N159" s="182">
        <f t="shared" si="31"/>
        <v>2</v>
      </c>
      <c r="O159" s="182">
        <f>IF(OR(O149&lt;0,O150&lt;0),1,IF(OR(O149&gt;0,O150&gt;0),0,2))</f>
        <v>2</v>
      </c>
      <c r="P159" s="182">
        <f t="shared" ref="P159:W159" si="32">IF(OR(P149&lt;0,P150&lt;0),1,IF(OR(P149&gt;0,P150&gt;0),0,2))</f>
        <v>2</v>
      </c>
      <c r="Q159" s="182">
        <f t="shared" si="32"/>
        <v>2</v>
      </c>
      <c r="R159" s="182">
        <f t="shared" si="32"/>
        <v>2</v>
      </c>
      <c r="S159" s="182">
        <f t="shared" si="32"/>
        <v>2</v>
      </c>
      <c r="T159" s="182">
        <f t="shared" si="32"/>
        <v>2</v>
      </c>
      <c r="U159" s="182">
        <f t="shared" si="32"/>
        <v>2</v>
      </c>
      <c r="V159" s="182">
        <f t="shared" si="32"/>
        <v>2</v>
      </c>
      <c r="W159" s="182">
        <f t="shared" si="32"/>
        <v>2</v>
      </c>
      <c r="X159" s="108" t="str">
        <f>IF(Z159&gt;0,"入力確認",IF(AE160=Y159,"適合","不適合"))</f>
        <v>適合</v>
      </c>
      <c r="Y159" s="132">
        <f>COUNTIF($D159:$W159,0)</f>
        <v>1</v>
      </c>
      <c r="Z159" s="193">
        <f>COUNTIF($D159:$W159,1)</f>
        <v>0</v>
      </c>
      <c r="AA159" s="193">
        <f>COUNTIF($D159:$W159,2)</f>
        <v>19</v>
      </c>
      <c r="AB159" s="193"/>
      <c r="AC159" s="132"/>
      <c r="AD159" s="132"/>
      <c r="AE159" s="132"/>
      <c r="AF159" s="118">
        <v>143</v>
      </c>
    </row>
    <row r="160" spans="2:32" hidden="1" x14ac:dyDescent="0.45">
      <c r="B160" s="110" t="s">
        <v>252</v>
      </c>
      <c r="C160" s="108"/>
      <c r="D160" s="108">
        <f>IF(AND(D143="",D144="",D145="",D146="",D147="",D148="",D149="",D150="",D151=""),2,IF(AND(D143&lt;&gt;"",D144&lt;&gt;"",D145&lt;&gt;"",D146&lt;&gt;"",D147&lt;&gt;"",D148&lt;&gt;"",D149&lt;&gt;"",D150&lt;&gt;"",D151&lt;&gt;""),0,1))</f>
        <v>0</v>
      </c>
      <c r="E160" s="108">
        <f t="shared" ref="E160:W160" si="33">IF(AND(E143="",E144="",E145="",E146="",E147="",E148="",E149="",E150="",E151=""),2,IF(AND(E143&lt;&gt;"",E144&lt;&gt;"",E145&lt;&gt;"",E146&lt;&gt;"",E147&lt;&gt;"",E148&lt;&gt;"",E149&lt;&gt;"",E150&lt;&gt;"",E151&lt;&gt;""),0,1))</f>
        <v>2</v>
      </c>
      <c r="F160" s="108">
        <f t="shared" si="33"/>
        <v>2</v>
      </c>
      <c r="G160" s="108">
        <f t="shared" si="33"/>
        <v>2</v>
      </c>
      <c r="H160" s="108">
        <f t="shared" si="33"/>
        <v>2</v>
      </c>
      <c r="I160" s="108">
        <f t="shared" si="33"/>
        <v>2</v>
      </c>
      <c r="J160" s="108">
        <f t="shared" si="33"/>
        <v>2</v>
      </c>
      <c r="K160" s="108">
        <f t="shared" si="33"/>
        <v>2</v>
      </c>
      <c r="L160" s="108">
        <f t="shared" si="33"/>
        <v>2</v>
      </c>
      <c r="M160" s="108">
        <f t="shared" si="33"/>
        <v>2</v>
      </c>
      <c r="N160" s="108">
        <f t="shared" si="33"/>
        <v>2</v>
      </c>
      <c r="O160" s="108">
        <f t="shared" si="33"/>
        <v>2</v>
      </c>
      <c r="P160" s="108">
        <f t="shared" si="33"/>
        <v>2</v>
      </c>
      <c r="Q160" s="108">
        <f t="shared" si="33"/>
        <v>2</v>
      </c>
      <c r="R160" s="108">
        <f t="shared" si="33"/>
        <v>2</v>
      </c>
      <c r="S160" s="108">
        <f t="shared" si="33"/>
        <v>2</v>
      </c>
      <c r="T160" s="108">
        <f t="shared" si="33"/>
        <v>2</v>
      </c>
      <c r="U160" s="108">
        <f t="shared" si="33"/>
        <v>2</v>
      </c>
      <c r="V160" s="108">
        <f t="shared" si="33"/>
        <v>2</v>
      </c>
      <c r="W160" s="108">
        <f t="shared" si="33"/>
        <v>2</v>
      </c>
      <c r="X160" s="108" t="str">
        <f>IF(Z160&gt;0,"入力確認",IF(AE160=Y160,"適合","不適合"))</f>
        <v>適合</v>
      </c>
      <c r="Y160" s="132">
        <f>COUNTIF($D160:$W160,0)</f>
        <v>1</v>
      </c>
      <c r="Z160" s="193">
        <f>COUNTIF($D160:$W160,1)</f>
        <v>0</v>
      </c>
      <c r="AA160" s="193">
        <f>COUNTIF($D160:$W160,2)</f>
        <v>19</v>
      </c>
      <c r="AB160" s="193"/>
      <c r="AC160" s="132"/>
      <c r="AD160" s="132"/>
      <c r="AE160" s="180">
        <f>20-COUNTIF($D$143:$W$143,"")</f>
        <v>1</v>
      </c>
      <c r="AF160" s="118">
        <v>144</v>
      </c>
    </row>
    <row r="162" spans="2:25" ht="33" customHeight="1" x14ac:dyDescent="0.45">
      <c r="B162" s="28" t="s">
        <v>273</v>
      </c>
      <c r="C162" s="36"/>
    </row>
    <row r="163" spans="2:25" ht="9" customHeight="1" thickBot="1" x14ac:dyDescent="0.5">
      <c r="B163" s="23"/>
      <c r="C163" s="36"/>
    </row>
    <row r="164" spans="2:25" ht="27" customHeight="1" thickTop="1" x14ac:dyDescent="0.45">
      <c r="B164" s="279" t="s">
        <v>180</v>
      </c>
      <c r="C164" s="408" t="s">
        <v>123</v>
      </c>
      <c r="D164" s="409"/>
      <c r="E164" s="409"/>
      <c r="F164" s="409"/>
      <c r="G164" s="409"/>
      <c r="H164" s="410" t="s">
        <v>124</v>
      </c>
      <c r="I164" s="410"/>
      <c r="J164" s="410"/>
      <c r="K164" s="410"/>
      <c r="L164" s="410"/>
      <c r="M164" s="410"/>
      <c r="N164" s="410"/>
      <c r="O164" s="407" t="s">
        <v>282</v>
      </c>
      <c r="P164" s="407"/>
      <c r="Q164" s="407"/>
      <c r="R164" s="407"/>
      <c r="S164" s="407"/>
      <c r="T164" s="407"/>
      <c r="U164" s="405" t="s">
        <v>179</v>
      </c>
      <c r="V164" s="406"/>
      <c r="W164" s="152"/>
      <c r="X164" s="154"/>
      <c r="Y164" s="140"/>
    </row>
    <row r="165" spans="2:25" ht="27" customHeight="1" thickBot="1" x14ac:dyDescent="0.5">
      <c r="B165" s="333" t="s">
        <v>293</v>
      </c>
      <c r="C165" s="437" t="s">
        <v>569</v>
      </c>
      <c r="D165" s="438"/>
      <c r="E165" s="438"/>
      <c r="F165" s="438"/>
      <c r="G165" s="438"/>
      <c r="H165" s="438" t="s">
        <v>570</v>
      </c>
      <c r="I165" s="438"/>
      <c r="J165" s="438"/>
      <c r="K165" s="438"/>
      <c r="L165" s="438"/>
      <c r="M165" s="438"/>
      <c r="N165" s="438"/>
      <c r="O165" s="438" t="s">
        <v>573</v>
      </c>
      <c r="P165" s="438"/>
      <c r="Q165" s="438"/>
      <c r="R165" s="438"/>
      <c r="S165" s="438"/>
      <c r="T165" s="438"/>
      <c r="U165" s="438" t="s">
        <v>571</v>
      </c>
      <c r="V165" s="438"/>
      <c r="W165" s="153"/>
      <c r="X165" s="154"/>
      <c r="Y165" s="141"/>
    </row>
    <row r="166" spans="2:25" ht="27" customHeight="1" thickTop="1" x14ac:dyDescent="0.45">
      <c r="B166" s="278" t="s">
        <v>313</v>
      </c>
      <c r="C166" s="390"/>
      <c r="D166" s="390"/>
      <c r="E166" s="390"/>
      <c r="F166" s="390"/>
      <c r="G166" s="390"/>
      <c r="H166" s="390"/>
      <c r="I166" s="390"/>
      <c r="J166" s="390"/>
      <c r="K166" s="390"/>
      <c r="L166" s="390"/>
      <c r="M166" s="390"/>
      <c r="N166" s="390"/>
      <c r="O166" s="390"/>
      <c r="P166" s="390"/>
      <c r="Q166" s="390"/>
      <c r="R166" s="390"/>
      <c r="S166" s="390"/>
      <c r="T166" s="390"/>
      <c r="U166" s="390"/>
      <c r="V166" s="390"/>
      <c r="W166" s="153"/>
      <c r="X166" s="154"/>
      <c r="Y166" s="141"/>
    </row>
    <row r="167" spans="2:25" ht="27" customHeight="1" x14ac:dyDescent="0.45">
      <c r="B167" s="80" t="s">
        <v>295</v>
      </c>
      <c r="C167" s="390"/>
      <c r="D167" s="390"/>
      <c r="E167" s="390"/>
      <c r="F167" s="390"/>
      <c r="G167" s="390"/>
      <c r="H167" s="390"/>
      <c r="I167" s="390"/>
      <c r="J167" s="390"/>
      <c r="K167" s="390"/>
      <c r="L167" s="390"/>
      <c r="M167" s="390"/>
      <c r="N167" s="390"/>
      <c r="O167" s="390"/>
      <c r="P167" s="390"/>
      <c r="Q167" s="390"/>
      <c r="R167" s="390"/>
      <c r="S167" s="390"/>
      <c r="T167" s="390"/>
      <c r="U167" s="390"/>
      <c r="V167" s="390"/>
      <c r="W167" s="153"/>
      <c r="X167" s="154"/>
      <c r="Y167" s="141"/>
    </row>
    <row r="168" spans="2:25" ht="27" customHeight="1" x14ac:dyDescent="0.45">
      <c r="B168" s="80" t="s">
        <v>296</v>
      </c>
      <c r="C168" s="390"/>
      <c r="D168" s="390"/>
      <c r="E168" s="390"/>
      <c r="F168" s="390"/>
      <c r="G168" s="390"/>
      <c r="H168" s="390"/>
      <c r="I168" s="390"/>
      <c r="J168" s="390"/>
      <c r="K168" s="390"/>
      <c r="L168" s="390"/>
      <c r="M168" s="390"/>
      <c r="N168" s="390"/>
      <c r="O168" s="390"/>
      <c r="P168" s="390"/>
      <c r="Q168" s="390"/>
      <c r="R168" s="390"/>
      <c r="S168" s="390"/>
      <c r="T168" s="390"/>
      <c r="U168" s="390"/>
      <c r="V168" s="390"/>
      <c r="W168" s="153"/>
      <c r="X168" s="154"/>
      <c r="Y168" s="141"/>
    </row>
    <row r="169" spans="2:25" ht="27" customHeight="1" x14ac:dyDescent="0.45">
      <c r="B169" s="80" t="s">
        <v>297</v>
      </c>
      <c r="C169" s="390"/>
      <c r="D169" s="390"/>
      <c r="E169" s="390"/>
      <c r="F169" s="390"/>
      <c r="G169" s="390"/>
      <c r="H169" s="390"/>
      <c r="I169" s="390"/>
      <c r="J169" s="390"/>
      <c r="K169" s="390"/>
      <c r="L169" s="390"/>
      <c r="M169" s="390"/>
      <c r="N169" s="390"/>
      <c r="O169" s="390"/>
      <c r="P169" s="390"/>
      <c r="Q169" s="390"/>
      <c r="R169" s="390"/>
      <c r="S169" s="390"/>
      <c r="T169" s="390"/>
      <c r="U169" s="390"/>
      <c r="V169" s="390"/>
      <c r="W169" s="153"/>
      <c r="X169" s="154"/>
      <c r="Y169" s="141"/>
    </row>
    <row r="170" spans="2:25" ht="27" customHeight="1" x14ac:dyDescent="0.45">
      <c r="B170" s="80" t="s">
        <v>298</v>
      </c>
      <c r="C170" s="390"/>
      <c r="D170" s="390"/>
      <c r="E170" s="390"/>
      <c r="F170" s="390"/>
      <c r="G170" s="390"/>
      <c r="H170" s="390"/>
      <c r="I170" s="390"/>
      <c r="J170" s="390"/>
      <c r="K170" s="390"/>
      <c r="L170" s="390"/>
      <c r="M170" s="390"/>
      <c r="N170" s="390"/>
      <c r="O170" s="390"/>
      <c r="P170" s="390"/>
      <c r="Q170" s="390"/>
      <c r="R170" s="390"/>
      <c r="S170" s="390"/>
      <c r="T170" s="390"/>
      <c r="U170" s="390"/>
      <c r="V170" s="390"/>
      <c r="W170" s="153"/>
      <c r="X170" s="154"/>
      <c r="Y170" s="141"/>
    </row>
    <row r="171" spans="2:25" ht="27" customHeight="1" x14ac:dyDescent="0.45">
      <c r="B171" s="80" t="s">
        <v>299</v>
      </c>
      <c r="C171" s="390"/>
      <c r="D171" s="390"/>
      <c r="E171" s="390"/>
      <c r="F171" s="390"/>
      <c r="G171" s="390"/>
      <c r="H171" s="390"/>
      <c r="I171" s="390"/>
      <c r="J171" s="390"/>
      <c r="K171" s="390"/>
      <c r="L171" s="390"/>
      <c r="M171" s="390"/>
      <c r="N171" s="390"/>
      <c r="O171" s="390"/>
      <c r="P171" s="390"/>
      <c r="Q171" s="390"/>
      <c r="R171" s="390"/>
      <c r="S171" s="390"/>
      <c r="T171" s="390"/>
      <c r="U171" s="390"/>
      <c r="V171" s="390"/>
      <c r="W171" s="153"/>
      <c r="X171" s="154"/>
      <c r="Y171" s="141"/>
    </row>
    <row r="172" spans="2:25" ht="27" customHeight="1" x14ac:dyDescent="0.45">
      <c r="B172" s="80" t="s">
        <v>300</v>
      </c>
      <c r="C172" s="390"/>
      <c r="D172" s="390"/>
      <c r="E172" s="390"/>
      <c r="F172" s="390"/>
      <c r="G172" s="390"/>
      <c r="H172" s="390"/>
      <c r="I172" s="390"/>
      <c r="J172" s="390"/>
      <c r="K172" s="390"/>
      <c r="L172" s="390"/>
      <c r="M172" s="390"/>
      <c r="N172" s="390"/>
      <c r="O172" s="390"/>
      <c r="P172" s="390"/>
      <c r="Q172" s="390"/>
      <c r="R172" s="390"/>
      <c r="S172" s="390"/>
      <c r="T172" s="390"/>
      <c r="U172" s="390"/>
      <c r="V172" s="390"/>
      <c r="W172" s="153"/>
      <c r="X172" s="154"/>
      <c r="Y172" s="141"/>
    </row>
    <row r="173" spans="2:25" ht="27" customHeight="1" x14ac:dyDescent="0.45">
      <c r="B173" s="80" t="s">
        <v>301</v>
      </c>
      <c r="C173" s="390"/>
      <c r="D173" s="390"/>
      <c r="E173" s="390"/>
      <c r="F173" s="390"/>
      <c r="G173" s="390"/>
      <c r="H173" s="390"/>
      <c r="I173" s="390"/>
      <c r="J173" s="390"/>
      <c r="K173" s="390"/>
      <c r="L173" s="390"/>
      <c r="M173" s="390"/>
      <c r="N173" s="390"/>
      <c r="O173" s="390"/>
      <c r="P173" s="390"/>
      <c r="Q173" s="390"/>
      <c r="R173" s="390"/>
      <c r="S173" s="390"/>
      <c r="T173" s="390"/>
      <c r="U173" s="390"/>
      <c r="V173" s="390"/>
      <c r="W173" s="153"/>
      <c r="X173" s="154"/>
      <c r="Y173" s="141"/>
    </row>
    <row r="174" spans="2:25" ht="27" customHeight="1" x14ac:dyDescent="0.45">
      <c r="B174" s="80" t="s">
        <v>302</v>
      </c>
      <c r="C174" s="390"/>
      <c r="D174" s="390"/>
      <c r="E174" s="390"/>
      <c r="F174" s="390"/>
      <c r="G174" s="390"/>
      <c r="H174" s="390"/>
      <c r="I174" s="390"/>
      <c r="J174" s="390"/>
      <c r="K174" s="390"/>
      <c r="L174" s="390"/>
      <c r="M174" s="390"/>
      <c r="N174" s="390"/>
      <c r="O174" s="390"/>
      <c r="P174" s="390"/>
      <c r="Q174" s="390"/>
      <c r="R174" s="390"/>
      <c r="S174" s="390"/>
      <c r="T174" s="390"/>
      <c r="U174" s="390"/>
      <c r="V174" s="390"/>
      <c r="W174" s="153"/>
      <c r="X174" s="154"/>
      <c r="Y174" s="141"/>
    </row>
    <row r="175" spans="2:25" ht="27" customHeight="1" x14ac:dyDescent="0.45">
      <c r="B175" s="80" t="s">
        <v>357</v>
      </c>
      <c r="C175" s="390"/>
      <c r="D175" s="390"/>
      <c r="E175" s="390"/>
      <c r="F175" s="390"/>
      <c r="G175" s="390"/>
      <c r="H175" s="390"/>
      <c r="I175" s="390"/>
      <c r="J175" s="390"/>
      <c r="K175" s="390"/>
      <c r="L175" s="390"/>
      <c r="M175" s="390"/>
      <c r="N175" s="390"/>
      <c r="O175" s="390"/>
      <c r="P175" s="390"/>
      <c r="Q175" s="390"/>
      <c r="R175" s="390"/>
      <c r="S175" s="390"/>
      <c r="T175" s="390"/>
      <c r="U175" s="390"/>
      <c r="V175" s="390"/>
      <c r="W175" s="153"/>
      <c r="X175" s="154"/>
      <c r="Y175" s="141"/>
    </row>
    <row r="176" spans="2:25" ht="27" customHeight="1" x14ac:dyDescent="0.45">
      <c r="B176" s="80" t="s">
        <v>358</v>
      </c>
      <c r="C176" s="390"/>
      <c r="D176" s="390"/>
      <c r="E176" s="390"/>
      <c r="F176" s="390"/>
      <c r="G176" s="390"/>
      <c r="H176" s="390"/>
      <c r="I176" s="390"/>
      <c r="J176" s="390"/>
      <c r="K176" s="390"/>
      <c r="L176" s="390"/>
      <c r="M176" s="390"/>
      <c r="N176" s="390"/>
      <c r="O176" s="390"/>
      <c r="P176" s="390"/>
      <c r="Q176" s="390"/>
      <c r="R176" s="390"/>
      <c r="S176" s="390"/>
      <c r="T176" s="390"/>
      <c r="U176" s="390"/>
      <c r="V176" s="390"/>
      <c r="W176" s="153"/>
      <c r="X176" s="154"/>
      <c r="Y176" s="141"/>
    </row>
    <row r="177" spans="2:25" ht="27" customHeight="1" x14ac:dyDescent="0.45">
      <c r="B177" s="80" t="s">
        <v>359</v>
      </c>
      <c r="C177" s="390"/>
      <c r="D177" s="390"/>
      <c r="E177" s="390"/>
      <c r="F177" s="390"/>
      <c r="G177" s="390"/>
      <c r="H177" s="390"/>
      <c r="I177" s="390"/>
      <c r="J177" s="390"/>
      <c r="K177" s="390"/>
      <c r="L177" s="390"/>
      <c r="M177" s="390"/>
      <c r="N177" s="390"/>
      <c r="O177" s="390"/>
      <c r="P177" s="390"/>
      <c r="Q177" s="390"/>
      <c r="R177" s="390"/>
      <c r="S177" s="390"/>
      <c r="T177" s="390"/>
      <c r="U177" s="390"/>
      <c r="V177" s="390"/>
      <c r="W177" s="153"/>
      <c r="X177" s="154"/>
      <c r="Y177" s="141"/>
    </row>
    <row r="178" spans="2:25" ht="27" customHeight="1" x14ac:dyDescent="0.45">
      <c r="B178" s="80" t="s">
        <v>360</v>
      </c>
      <c r="C178" s="390"/>
      <c r="D178" s="390"/>
      <c r="E178" s="390"/>
      <c r="F178" s="390"/>
      <c r="G178" s="390"/>
      <c r="H178" s="390"/>
      <c r="I178" s="390"/>
      <c r="J178" s="390"/>
      <c r="K178" s="390"/>
      <c r="L178" s="390"/>
      <c r="M178" s="390"/>
      <c r="N178" s="390"/>
      <c r="O178" s="390"/>
      <c r="P178" s="390"/>
      <c r="Q178" s="390"/>
      <c r="R178" s="390"/>
      <c r="S178" s="390"/>
      <c r="T178" s="390"/>
      <c r="U178" s="390"/>
      <c r="V178" s="390"/>
      <c r="W178" s="153"/>
      <c r="X178" s="154"/>
      <c r="Y178" s="141"/>
    </row>
    <row r="179" spans="2:25" ht="27" customHeight="1" x14ac:dyDescent="0.45">
      <c r="B179" s="80" t="s">
        <v>361</v>
      </c>
      <c r="C179" s="390"/>
      <c r="D179" s="390"/>
      <c r="E179" s="390"/>
      <c r="F179" s="390"/>
      <c r="G179" s="390"/>
      <c r="H179" s="390"/>
      <c r="I179" s="390"/>
      <c r="J179" s="390"/>
      <c r="K179" s="390"/>
      <c r="L179" s="390"/>
      <c r="M179" s="390"/>
      <c r="N179" s="390"/>
      <c r="O179" s="390"/>
      <c r="P179" s="390"/>
      <c r="Q179" s="390"/>
      <c r="R179" s="390"/>
      <c r="S179" s="390"/>
      <c r="T179" s="390"/>
      <c r="U179" s="390"/>
      <c r="V179" s="390"/>
      <c r="W179" s="153"/>
      <c r="X179" s="154"/>
      <c r="Y179" s="141"/>
    </row>
    <row r="180" spans="2:25" ht="27" customHeight="1" x14ac:dyDescent="0.45">
      <c r="B180" s="80" t="s">
        <v>362</v>
      </c>
      <c r="C180" s="390"/>
      <c r="D180" s="390"/>
      <c r="E180" s="390"/>
      <c r="F180" s="390"/>
      <c r="G180" s="390"/>
      <c r="H180" s="390"/>
      <c r="I180" s="390"/>
      <c r="J180" s="390"/>
      <c r="K180" s="390"/>
      <c r="L180" s="390"/>
      <c r="M180" s="390"/>
      <c r="N180" s="390"/>
      <c r="O180" s="390"/>
      <c r="P180" s="390"/>
      <c r="Q180" s="390"/>
      <c r="R180" s="390"/>
      <c r="S180" s="390"/>
      <c r="T180" s="390"/>
      <c r="U180" s="390"/>
      <c r="V180" s="390"/>
      <c r="W180" s="153"/>
      <c r="X180" s="154"/>
      <c r="Y180" s="141"/>
    </row>
    <row r="181" spans="2:25" ht="27" customHeight="1" x14ac:dyDescent="0.45">
      <c r="B181" s="80" t="s">
        <v>363</v>
      </c>
      <c r="C181" s="390"/>
      <c r="D181" s="390"/>
      <c r="E181" s="390"/>
      <c r="F181" s="390"/>
      <c r="G181" s="390"/>
      <c r="H181" s="390"/>
      <c r="I181" s="390"/>
      <c r="J181" s="390"/>
      <c r="K181" s="390"/>
      <c r="L181" s="390"/>
      <c r="M181" s="390"/>
      <c r="N181" s="390"/>
      <c r="O181" s="390"/>
      <c r="P181" s="390"/>
      <c r="Q181" s="390"/>
      <c r="R181" s="390"/>
      <c r="S181" s="390"/>
      <c r="T181" s="390"/>
      <c r="U181" s="390"/>
      <c r="V181" s="390"/>
      <c r="W181" s="153"/>
      <c r="X181" s="154"/>
      <c r="Y181" s="141"/>
    </row>
    <row r="182" spans="2:25" ht="27" customHeight="1" x14ac:dyDescent="0.45">
      <c r="B182" s="80" t="s">
        <v>364</v>
      </c>
      <c r="C182" s="390"/>
      <c r="D182" s="390"/>
      <c r="E182" s="390"/>
      <c r="F182" s="390"/>
      <c r="G182" s="390"/>
      <c r="H182" s="390"/>
      <c r="I182" s="390"/>
      <c r="J182" s="390"/>
      <c r="K182" s="390"/>
      <c r="L182" s="390"/>
      <c r="M182" s="390"/>
      <c r="N182" s="390"/>
      <c r="O182" s="390"/>
      <c r="P182" s="390"/>
      <c r="Q182" s="390"/>
      <c r="R182" s="390"/>
      <c r="S182" s="390"/>
      <c r="T182" s="390"/>
      <c r="U182" s="390"/>
      <c r="V182" s="390"/>
      <c r="W182" s="153"/>
      <c r="X182" s="154"/>
      <c r="Y182" s="141"/>
    </row>
    <row r="183" spans="2:25" ht="27" customHeight="1" x14ac:dyDescent="0.45">
      <c r="B183" s="80" t="s">
        <v>365</v>
      </c>
      <c r="C183" s="390"/>
      <c r="D183" s="390"/>
      <c r="E183" s="390"/>
      <c r="F183" s="390"/>
      <c r="G183" s="390"/>
      <c r="H183" s="390"/>
      <c r="I183" s="390"/>
      <c r="J183" s="390"/>
      <c r="K183" s="390"/>
      <c r="L183" s="390"/>
      <c r="M183" s="390"/>
      <c r="N183" s="390"/>
      <c r="O183" s="390"/>
      <c r="P183" s="390"/>
      <c r="Q183" s="390"/>
      <c r="R183" s="390"/>
      <c r="S183" s="390"/>
      <c r="T183" s="390"/>
      <c r="U183" s="390"/>
      <c r="V183" s="390"/>
      <c r="W183" s="153"/>
      <c r="X183" s="154"/>
      <c r="Y183" s="141"/>
    </row>
    <row r="184" spans="2:25" ht="27" customHeight="1" x14ac:dyDescent="0.45">
      <c r="B184" s="80" t="s">
        <v>366</v>
      </c>
      <c r="C184" s="416"/>
      <c r="D184" s="416"/>
      <c r="E184" s="416"/>
      <c r="F184" s="416"/>
      <c r="G184" s="416"/>
      <c r="H184" s="416"/>
      <c r="I184" s="416"/>
      <c r="J184" s="416"/>
      <c r="K184" s="416"/>
      <c r="L184" s="416"/>
      <c r="M184" s="416"/>
      <c r="N184" s="416"/>
      <c r="O184" s="416"/>
      <c r="P184" s="416"/>
      <c r="Q184" s="416"/>
      <c r="R184" s="416"/>
      <c r="S184" s="416"/>
      <c r="T184" s="416"/>
      <c r="U184" s="416"/>
      <c r="V184" s="416"/>
      <c r="W184" s="153"/>
      <c r="X184" s="154"/>
      <c r="Y184" s="141"/>
    </row>
    <row r="185" spans="2:25" ht="20.25" thickBot="1" x14ac:dyDescent="0.5">
      <c r="B185" s="212"/>
      <c r="C185" s="82"/>
      <c r="D185" s="82"/>
      <c r="E185" s="82"/>
      <c r="F185" s="82"/>
      <c r="G185" s="82"/>
      <c r="H185" s="82"/>
      <c r="I185" s="83"/>
      <c r="J185" s="83"/>
      <c r="K185" s="83"/>
      <c r="L185" s="83"/>
      <c r="M185" s="274"/>
      <c r="N185" s="139"/>
      <c r="O185" s="139"/>
      <c r="P185" s="139"/>
      <c r="Q185" s="139"/>
      <c r="R185" s="139"/>
      <c r="S185" s="139"/>
      <c r="T185" s="139"/>
      <c r="U185" s="139"/>
      <c r="V185" s="139"/>
      <c r="W185" s="139"/>
      <c r="X185" s="139"/>
    </row>
    <row r="186" spans="2:25" ht="27" customHeight="1" thickTop="1" thickBot="1" x14ac:dyDescent="0.5">
      <c r="B186" s="285" t="s">
        <v>181</v>
      </c>
      <c r="C186" s="408" t="s">
        <v>123</v>
      </c>
      <c r="D186" s="409"/>
      <c r="E186" s="409"/>
      <c r="F186" s="409"/>
      <c r="G186" s="409"/>
      <c r="H186" s="410" t="s">
        <v>124</v>
      </c>
      <c r="I186" s="410"/>
      <c r="J186" s="410"/>
      <c r="K186" s="410"/>
      <c r="L186" s="410"/>
      <c r="M186" s="410"/>
      <c r="N186" s="410"/>
      <c r="O186" s="407" t="s">
        <v>282</v>
      </c>
      <c r="P186" s="407"/>
      <c r="Q186" s="407"/>
      <c r="R186" s="407"/>
      <c r="S186" s="407"/>
      <c r="T186" s="407"/>
      <c r="U186" s="405" t="s">
        <v>179</v>
      </c>
      <c r="V186" s="406"/>
      <c r="W186" s="446" t="s">
        <v>198</v>
      </c>
      <c r="X186" s="447"/>
    </row>
    <row r="187" spans="2:25" ht="27" customHeight="1" thickTop="1" thickBot="1" x14ac:dyDescent="0.5">
      <c r="B187" s="334" t="s">
        <v>303</v>
      </c>
      <c r="C187" s="437" t="s">
        <v>569</v>
      </c>
      <c r="D187" s="438"/>
      <c r="E187" s="438"/>
      <c r="F187" s="438"/>
      <c r="G187" s="438"/>
      <c r="H187" s="438" t="s">
        <v>572</v>
      </c>
      <c r="I187" s="438"/>
      <c r="J187" s="438"/>
      <c r="K187" s="438"/>
      <c r="L187" s="438"/>
      <c r="M187" s="438"/>
      <c r="N187" s="438"/>
      <c r="O187" s="438" t="s">
        <v>574</v>
      </c>
      <c r="P187" s="438"/>
      <c r="Q187" s="438"/>
      <c r="R187" s="438"/>
      <c r="S187" s="438"/>
      <c r="T187" s="438"/>
      <c r="U187" s="438" t="s">
        <v>571</v>
      </c>
      <c r="V187" s="439"/>
      <c r="W187" s="448" t="s">
        <v>244</v>
      </c>
      <c r="X187" s="449"/>
    </row>
    <row r="188" spans="2:25" ht="27" customHeight="1" thickTop="1" x14ac:dyDescent="0.45">
      <c r="B188" s="284" t="s">
        <v>314</v>
      </c>
      <c r="C188" s="390"/>
      <c r="D188" s="390"/>
      <c r="E188" s="390"/>
      <c r="F188" s="390"/>
      <c r="G188" s="390"/>
      <c r="H188" s="390"/>
      <c r="I188" s="390"/>
      <c r="J188" s="390"/>
      <c r="K188" s="390"/>
      <c r="L188" s="390"/>
      <c r="M188" s="390"/>
      <c r="N188" s="390"/>
      <c r="O188" s="390"/>
      <c r="P188" s="390"/>
      <c r="Q188" s="390"/>
      <c r="R188" s="390"/>
      <c r="S188" s="390"/>
      <c r="T188" s="390"/>
      <c r="U188" s="390"/>
      <c r="V188" s="390"/>
      <c r="W188" s="450"/>
      <c r="X188" s="451"/>
    </row>
    <row r="189" spans="2:25" ht="27" customHeight="1" x14ac:dyDescent="0.45">
      <c r="B189" s="142" t="s">
        <v>305</v>
      </c>
      <c r="C189" s="390"/>
      <c r="D189" s="390"/>
      <c r="E189" s="390"/>
      <c r="F189" s="390"/>
      <c r="G189" s="390"/>
      <c r="H189" s="390"/>
      <c r="I189" s="390"/>
      <c r="J189" s="390"/>
      <c r="K189" s="390"/>
      <c r="L189" s="390"/>
      <c r="M189" s="390"/>
      <c r="N189" s="390"/>
      <c r="O189" s="390"/>
      <c r="P189" s="390"/>
      <c r="Q189" s="390"/>
      <c r="R189" s="390"/>
      <c r="S189" s="390"/>
      <c r="T189" s="390"/>
      <c r="U189" s="390"/>
      <c r="V189" s="390"/>
      <c r="W189" s="419"/>
      <c r="X189" s="420"/>
    </row>
    <row r="190" spans="2:25" ht="27" customHeight="1" x14ac:dyDescent="0.45">
      <c r="B190" s="142" t="s">
        <v>306</v>
      </c>
      <c r="C190" s="390"/>
      <c r="D190" s="390"/>
      <c r="E190" s="390"/>
      <c r="F190" s="390"/>
      <c r="G190" s="390"/>
      <c r="H190" s="390"/>
      <c r="I190" s="390"/>
      <c r="J190" s="390"/>
      <c r="K190" s="390"/>
      <c r="L190" s="390"/>
      <c r="M190" s="390"/>
      <c r="N190" s="390"/>
      <c r="O190" s="390"/>
      <c r="P190" s="390"/>
      <c r="Q190" s="390"/>
      <c r="R190" s="390"/>
      <c r="S190" s="390"/>
      <c r="T190" s="390"/>
      <c r="U190" s="390"/>
      <c r="V190" s="390"/>
      <c r="W190" s="419"/>
      <c r="X190" s="420"/>
    </row>
    <row r="191" spans="2:25" ht="27" customHeight="1" x14ac:dyDescent="0.45">
      <c r="B191" s="142" t="s">
        <v>307</v>
      </c>
      <c r="C191" s="390"/>
      <c r="D191" s="390"/>
      <c r="E191" s="390"/>
      <c r="F191" s="390"/>
      <c r="G191" s="390"/>
      <c r="H191" s="390"/>
      <c r="I191" s="390"/>
      <c r="J191" s="390"/>
      <c r="K191" s="390"/>
      <c r="L191" s="390"/>
      <c r="M191" s="390"/>
      <c r="N191" s="390"/>
      <c r="O191" s="390"/>
      <c r="P191" s="390"/>
      <c r="Q191" s="390"/>
      <c r="R191" s="390"/>
      <c r="S191" s="390"/>
      <c r="T191" s="390"/>
      <c r="U191" s="390"/>
      <c r="V191" s="390"/>
      <c r="W191" s="419"/>
      <c r="X191" s="420"/>
    </row>
    <row r="192" spans="2:25" ht="27" customHeight="1" x14ac:dyDescent="0.45">
      <c r="B192" s="142" t="s">
        <v>308</v>
      </c>
      <c r="C192" s="390"/>
      <c r="D192" s="390"/>
      <c r="E192" s="390"/>
      <c r="F192" s="390"/>
      <c r="G192" s="390"/>
      <c r="H192" s="390"/>
      <c r="I192" s="390"/>
      <c r="J192" s="390"/>
      <c r="K192" s="390"/>
      <c r="L192" s="390"/>
      <c r="M192" s="390"/>
      <c r="N192" s="390"/>
      <c r="O192" s="390"/>
      <c r="P192" s="390"/>
      <c r="Q192" s="390"/>
      <c r="R192" s="390"/>
      <c r="S192" s="390"/>
      <c r="T192" s="390"/>
      <c r="U192" s="390"/>
      <c r="V192" s="390"/>
      <c r="W192" s="419"/>
      <c r="X192" s="420"/>
    </row>
    <row r="193" spans="2:24" ht="27" customHeight="1" x14ac:dyDescent="0.45">
      <c r="B193" s="142" t="s">
        <v>309</v>
      </c>
      <c r="C193" s="390"/>
      <c r="D193" s="390"/>
      <c r="E193" s="390"/>
      <c r="F193" s="390"/>
      <c r="G193" s="390"/>
      <c r="H193" s="390"/>
      <c r="I193" s="390"/>
      <c r="J193" s="390"/>
      <c r="K193" s="390"/>
      <c r="L193" s="390"/>
      <c r="M193" s="390"/>
      <c r="N193" s="390"/>
      <c r="O193" s="390"/>
      <c r="P193" s="390"/>
      <c r="Q193" s="390"/>
      <c r="R193" s="390"/>
      <c r="S193" s="390"/>
      <c r="T193" s="390"/>
      <c r="U193" s="390"/>
      <c r="V193" s="390"/>
      <c r="W193" s="419"/>
      <c r="X193" s="420"/>
    </row>
    <row r="194" spans="2:24" ht="27" customHeight="1" x14ac:dyDescent="0.45">
      <c r="B194" s="142" t="s">
        <v>310</v>
      </c>
      <c r="C194" s="390"/>
      <c r="D194" s="390"/>
      <c r="E194" s="390"/>
      <c r="F194" s="390"/>
      <c r="G194" s="390"/>
      <c r="H194" s="390"/>
      <c r="I194" s="390"/>
      <c r="J194" s="390"/>
      <c r="K194" s="390"/>
      <c r="L194" s="390"/>
      <c r="M194" s="390"/>
      <c r="N194" s="390"/>
      <c r="O194" s="390"/>
      <c r="P194" s="390"/>
      <c r="Q194" s="390"/>
      <c r="R194" s="390"/>
      <c r="S194" s="390"/>
      <c r="T194" s="390"/>
      <c r="U194" s="390"/>
      <c r="V194" s="390"/>
      <c r="W194" s="419"/>
      <c r="X194" s="420"/>
    </row>
    <row r="195" spans="2:24" ht="27" customHeight="1" x14ac:dyDescent="0.45">
      <c r="B195" s="142" t="s">
        <v>311</v>
      </c>
      <c r="C195" s="390"/>
      <c r="D195" s="390"/>
      <c r="E195" s="390"/>
      <c r="F195" s="390"/>
      <c r="G195" s="390"/>
      <c r="H195" s="390"/>
      <c r="I195" s="390"/>
      <c r="J195" s="390"/>
      <c r="K195" s="390"/>
      <c r="L195" s="390"/>
      <c r="M195" s="390"/>
      <c r="N195" s="390"/>
      <c r="O195" s="390"/>
      <c r="P195" s="390"/>
      <c r="Q195" s="390"/>
      <c r="R195" s="390"/>
      <c r="S195" s="390"/>
      <c r="T195" s="390"/>
      <c r="U195" s="390"/>
      <c r="V195" s="390"/>
      <c r="W195" s="419"/>
      <c r="X195" s="420"/>
    </row>
    <row r="196" spans="2:24" ht="27" customHeight="1" x14ac:dyDescent="0.45">
      <c r="B196" s="142" t="s">
        <v>312</v>
      </c>
      <c r="C196" s="390"/>
      <c r="D196" s="390"/>
      <c r="E196" s="390"/>
      <c r="F196" s="390"/>
      <c r="G196" s="390"/>
      <c r="H196" s="390"/>
      <c r="I196" s="390"/>
      <c r="J196" s="390"/>
      <c r="K196" s="390"/>
      <c r="L196" s="390"/>
      <c r="M196" s="390"/>
      <c r="N196" s="390"/>
      <c r="O196" s="390"/>
      <c r="P196" s="390"/>
      <c r="Q196" s="390"/>
      <c r="R196" s="390"/>
      <c r="S196" s="390"/>
      <c r="T196" s="390"/>
      <c r="U196" s="390"/>
      <c r="V196" s="390"/>
      <c r="W196" s="419"/>
      <c r="X196" s="420"/>
    </row>
    <row r="197" spans="2:24" ht="27" customHeight="1" x14ac:dyDescent="0.45">
      <c r="B197" s="142" t="s">
        <v>367</v>
      </c>
      <c r="C197" s="390"/>
      <c r="D197" s="390"/>
      <c r="E197" s="390"/>
      <c r="F197" s="390"/>
      <c r="G197" s="390"/>
      <c r="H197" s="390"/>
      <c r="I197" s="390"/>
      <c r="J197" s="390"/>
      <c r="K197" s="390"/>
      <c r="L197" s="390"/>
      <c r="M197" s="390"/>
      <c r="N197" s="390"/>
      <c r="O197" s="390"/>
      <c r="P197" s="390"/>
      <c r="Q197" s="390"/>
      <c r="R197" s="390"/>
      <c r="S197" s="390"/>
      <c r="T197" s="390"/>
      <c r="U197" s="390"/>
      <c r="V197" s="390"/>
      <c r="W197" s="419"/>
      <c r="X197" s="420"/>
    </row>
    <row r="198" spans="2:24" ht="27" customHeight="1" x14ac:dyDescent="0.45">
      <c r="B198" s="142" t="s">
        <v>368</v>
      </c>
      <c r="C198" s="390"/>
      <c r="D198" s="390"/>
      <c r="E198" s="390"/>
      <c r="F198" s="390"/>
      <c r="G198" s="390"/>
      <c r="H198" s="390"/>
      <c r="I198" s="390"/>
      <c r="J198" s="390"/>
      <c r="K198" s="390"/>
      <c r="L198" s="390"/>
      <c r="M198" s="390"/>
      <c r="N198" s="390"/>
      <c r="O198" s="390"/>
      <c r="P198" s="390"/>
      <c r="Q198" s="390"/>
      <c r="R198" s="390"/>
      <c r="S198" s="390"/>
      <c r="T198" s="390"/>
      <c r="U198" s="390"/>
      <c r="V198" s="390"/>
      <c r="W198" s="419"/>
      <c r="X198" s="420"/>
    </row>
    <row r="199" spans="2:24" ht="27" customHeight="1" x14ac:dyDescent="0.45">
      <c r="B199" s="142" t="s">
        <v>369</v>
      </c>
      <c r="C199" s="390"/>
      <c r="D199" s="390"/>
      <c r="E199" s="390"/>
      <c r="F199" s="390"/>
      <c r="G199" s="390"/>
      <c r="H199" s="390"/>
      <c r="I199" s="390"/>
      <c r="J199" s="390"/>
      <c r="K199" s="390"/>
      <c r="L199" s="390"/>
      <c r="M199" s="390"/>
      <c r="N199" s="390"/>
      <c r="O199" s="390"/>
      <c r="P199" s="390"/>
      <c r="Q199" s="390"/>
      <c r="R199" s="390"/>
      <c r="S199" s="390"/>
      <c r="T199" s="390"/>
      <c r="U199" s="390"/>
      <c r="V199" s="390"/>
      <c r="W199" s="419"/>
      <c r="X199" s="420"/>
    </row>
    <row r="200" spans="2:24" ht="27" customHeight="1" x14ac:dyDescent="0.45">
      <c r="B200" s="142" t="s">
        <v>370</v>
      </c>
      <c r="C200" s="390"/>
      <c r="D200" s="390"/>
      <c r="E200" s="390"/>
      <c r="F200" s="390"/>
      <c r="G200" s="390"/>
      <c r="H200" s="390"/>
      <c r="I200" s="390"/>
      <c r="J200" s="390"/>
      <c r="K200" s="390"/>
      <c r="L200" s="390"/>
      <c r="M200" s="390"/>
      <c r="N200" s="390"/>
      <c r="O200" s="390"/>
      <c r="P200" s="390"/>
      <c r="Q200" s="390"/>
      <c r="R200" s="390"/>
      <c r="S200" s="390"/>
      <c r="T200" s="390"/>
      <c r="U200" s="390"/>
      <c r="V200" s="390"/>
      <c r="W200" s="419"/>
      <c r="X200" s="420"/>
    </row>
    <row r="201" spans="2:24" ht="27" customHeight="1" x14ac:dyDescent="0.45">
      <c r="B201" s="142" t="s">
        <v>371</v>
      </c>
      <c r="C201" s="390"/>
      <c r="D201" s="390"/>
      <c r="E201" s="390"/>
      <c r="F201" s="390"/>
      <c r="G201" s="390"/>
      <c r="H201" s="390"/>
      <c r="I201" s="390"/>
      <c r="J201" s="390"/>
      <c r="K201" s="390"/>
      <c r="L201" s="390"/>
      <c r="M201" s="390"/>
      <c r="N201" s="390"/>
      <c r="O201" s="390"/>
      <c r="P201" s="390"/>
      <c r="Q201" s="390"/>
      <c r="R201" s="390"/>
      <c r="S201" s="390"/>
      <c r="T201" s="390"/>
      <c r="U201" s="390"/>
      <c r="V201" s="390"/>
      <c r="W201" s="419"/>
      <c r="X201" s="420"/>
    </row>
    <row r="202" spans="2:24" ht="27" customHeight="1" x14ac:dyDescent="0.45">
      <c r="B202" s="142" t="s">
        <v>372</v>
      </c>
      <c r="C202" s="390"/>
      <c r="D202" s="390"/>
      <c r="E202" s="390"/>
      <c r="F202" s="390"/>
      <c r="G202" s="390"/>
      <c r="H202" s="390"/>
      <c r="I202" s="390"/>
      <c r="J202" s="390"/>
      <c r="K202" s="390"/>
      <c r="L202" s="390"/>
      <c r="M202" s="390"/>
      <c r="N202" s="390"/>
      <c r="O202" s="390"/>
      <c r="P202" s="390"/>
      <c r="Q202" s="390"/>
      <c r="R202" s="390"/>
      <c r="S202" s="390"/>
      <c r="T202" s="390"/>
      <c r="U202" s="390"/>
      <c r="V202" s="390"/>
      <c r="W202" s="419"/>
      <c r="X202" s="420"/>
    </row>
    <row r="203" spans="2:24" ht="27" customHeight="1" x14ac:dyDescent="0.45">
      <c r="B203" s="142" t="s">
        <v>373</v>
      </c>
      <c r="C203" s="390"/>
      <c r="D203" s="390"/>
      <c r="E203" s="390"/>
      <c r="F203" s="390"/>
      <c r="G203" s="390"/>
      <c r="H203" s="390"/>
      <c r="I203" s="390"/>
      <c r="J203" s="390"/>
      <c r="K203" s="390"/>
      <c r="L203" s="390"/>
      <c r="M203" s="390"/>
      <c r="N203" s="390"/>
      <c r="O203" s="390"/>
      <c r="P203" s="390"/>
      <c r="Q203" s="390"/>
      <c r="R203" s="390"/>
      <c r="S203" s="390"/>
      <c r="T203" s="390"/>
      <c r="U203" s="390"/>
      <c r="V203" s="390"/>
      <c r="W203" s="419"/>
      <c r="X203" s="420"/>
    </row>
    <row r="204" spans="2:24" ht="27" customHeight="1" x14ac:dyDescent="0.45">
      <c r="B204" s="142" t="s">
        <v>374</v>
      </c>
      <c r="C204" s="390"/>
      <c r="D204" s="390"/>
      <c r="E204" s="390"/>
      <c r="F204" s="390"/>
      <c r="G204" s="390"/>
      <c r="H204" s="390"/>
      <c r="I204" s="390"/>
      <c r="J204" s="390"/>
      <c r="K204" s="390"/>
      <c r="L204" s="390"/>
      <c r="M204" s="390"/>
      <c r="N204" s="390"/>
      <c r="O204" s="390"/>
      <c r="P204" s="390"/>
      <c r="Q204" s="390"/>
      <c r="R204" s="390"/>
      <c r="S204" s="390"/>
      <c r="T204" s="390"/>
      <c r="U204" s="390"/>
      <c r="V204" s="390"/>
      <c r="W204" s="419"/>
      <c r="X204" s="420"/>
    </row>
    <row r="205" spans="2:24" ht="27" customHeight="1" x14ac:dyDescent="0.45">
      <c r="B205" s="142" t="s">
        <v>375</v>
      </c>
      <c r="C205" s="390"/>
      <c r="D205" s="390"/>
      <c r="E205" s="390"/>
      <c r="F205" s="390"/>
      <c r="G205" s="390"/>
      <c r="H205" s="390"/>
      <c r="I205" s="390"/>
      <c r="J205" s="390"/>
      <c r="K205" s="390"/>
      <c r="L205" s="390"/>
      <c r="M205" s="390"/>
      <c r="N205" s="390"/>
      <c r="O205" s="390"/>
      <c r="P205" s="390"/>
      <c r="Q205" s="390"/>
      <c r="R205" s="390"/>
      <c r="S205" s="390"/>
      <c r="T205" s="390"/>
      <c r="U205" s="390"/>
      <c r="V205" s="390"/>
      <c r="W205" s="419"/>
      <c r="X205" s="420"/>
    </row>
    <row r="206" spans="2:24" ht="27" customHeight="1" x14ac:dyDescent="0.45">
      <c r="B206" s="143" t="s">
        <v>376</v>
      </c>
      <c r="C206" s="416"/>
      <c r="D206" s="416"/>
      <c r="E206" s="416"/>
      <c r="F206" s="416"/>
      <c r="G206" s="416"/>
      <c r="H206" s="416"/>
      <c r="I206" s="416"/>
      <c r="J206" s="416"/>
      <c r="K206" s="416"/>
      <c r="L206" s="416"/>
      <c r="M206" s="416"/>
      <c r="N206" s="416"/>
      <c r="O206" s="416"/>
      <c r="P206" s="416"/>
      <c r="Q206" s="416"/>
      <c r="R206" s="416"/>
      <c r="S206" s="416"/>
      <c r="T206" s="416"/>
      <c r="U206" s="416"/>
      <c r="V206" s="416"/>
      <c r="W206" s="421"/>
      <c r="X206" s="422"/>
    </row>
    <row r="207" spans="2:24" x14ac:dyDescent="0.45">
      <c r="B207" s="35"/>
      <c r="C207" s="36"/>
    </row>
  </sheetData>
  <sheetProtection password="DFA8" sheet="1" objects="1" scenarios="1" selectLockedCells="1" selectUnlockedCells="1"/>
  <mergeCells count="423">
    <mergeCell ref="B34:C34"/>
    <mergeCell ref="B35:C35"/>
    <mergeCell ref="B36:C36"/>
    <mergeCell ref="B37:C37"/>
    <mergeCell ref="B41:C41"/>
    <mergeCell ref="B42:C42"/>
    <mergeCell ref="F27:G27"/>
    <mergeCell ref="H27:O27"/>
    <mergeCell ref="B30:C30"/>
    <mergeCell ref="B31:C31"/>
    <mergeCell ref="B32:C32"/>
    <mergeCell ref="B33:C33"/>
    <mergeCell ref="B49:C49"/>
    <mergeCell ref="B52:C52"/>
    <mergeCell ref="B53:C53"/>
    <mergeCell ref="C70:G70"/>
    <mergeCell ref="H70:N70"/>
    <mergeCell ref="O70:T70"/>
    <mergeCell ref="B43:C43"/>
    <mergeCell ref="B44:C44"/>
    <mergeCell ref="B45:C45"/>
    <mergeCell ref="B46:C46"/>
    <mergeCell ref="B47:C47"/>
    <mergeCell ref="B48:C48"/>
    <mergeCell ref="C73:G73"/>
    <mergeCell ref="H73:N73"/>
    <mergeCell ref="O73:T73"/>
    <mergeCell ref="U73:V73"/>
    <mergeCell ref="C74:G74"/>
    <mergeCell ref="H74:N74"/>
    <mergeCell ref="O74:T74"/>
    <mergeCell ref="U74:V74"/>
    <mergeCell ref="U70:V70"/>
    <mergeCell ref="C71:G71"/>
    <mergeCell ref="H71:N71"/>
    <mergeCell ref="O71:T71"/>
    <mergeCell ref="U71:V71"/>
    <mergeCell ref="C72:G72"/>
    <mergeCell ref="H72:N72"/>
    <mergeCell ref="O72:T72"/>
    <mergeCell ref="U72:V72"/>
    <mergeCell ref="C77:G77"/>
    <mergeCell ref="H77:N77"/>
    <mergeCell ref="O77:T77"/>
    <mergeCell ref="U77:V77"/>
    <mergeCell ref="C78:G78"/>
    <mergeCell ref="H78:N78"/>
    <mergeCell ref="O78:T78"/>
    <mergeCell ref="U78:V78"/>
    <mergeCell ref="C75:G75"/>
    <mergeCell ref="H75:N75"/>
    <mergeCell ref="O75:T75"/>
    <mergeCell ref="U75:V75"/>
    <mergeCell ref="C76:G76"/>
    <mergeCell ref="H76:N76"/>
    <mergeCell ref="O76:T76"/>
    <mergeCell ref="U76:V76"/>
    <mergeCell ref="C81:G81"/>
    <mergeCell ref="H81:N81"/>
    <mergeCell ref="O81:T81"/>
    <mergeCell ref="U81:V81"/>
    <mergeCell ref="C82:G82"/>
    <mergeCell ref="H82:N82"/>
    <mergeCell ref="O82:T82"/>
    <mergeCell ref="U82:V82"/>
    <mergeCell ref="C79:G79"/>
    <mergeCell ref="H79:N79"/>
    <mergeCell ref="O79:T79"/>
    <mergeCell ref="U79:V79"/>
    <mergeCell ref="C80:G80"/>
    <mergeCell ref="H80:N80"/>
    <mergeCell ref="O80:T80"/>
    <mergeCell ref="U80:V80"/>
    <mergeCell ref="C85:G85"/>
    <mergeCell ref="H85:N85"/>
    <mergeCell ref="O85:T85"/>
    <mergeCell ref="U85:V85"/>
    <mergeCell ref="C86:G86"/>
    <mergeCell ref="H86:N86"/>
    <mergeCell ref="O86:T86"/>
    <mergeCell ref="U86:V86"/>
    <mergeCell ref="C83:G83"/>
    <mergeCell ref="H83:N83"/>
    <mergeCell ref="O83:T83"/>
    <mergeCell ref="U83:V83"/>
    <mergeCell ref="C84:G84"/>
    <mergeCell ref="H84:N84"/>
    <mergeCell ref="O84:T84"/>
    <mergeCell ref="U84:V84"/>
    <mergeCell ref="C89:G89"/>
    <mergeCell ref="H89:N89"/>
    <mergeCell ref="O89:T89"/>
    <mergeCell ref="U89:V89"/>
    <mergeCell ref="C90:G90"/>
    <mergeCell ref="H90:N90"/>
    <mergeCell ref="O90:T90"/>
    <mergeCell ref="U90:V90"/>
    <mergeCell ref="C87:G87"/>
    <mergeCell ref="H87:N87"/>
    <mergeCell ref="O87:T87"/>
    <mergeCell ref="U87:V87"/>
    <mergeCell ref="C88:G88"/>
    <mergeCell ref="H88:N88"/>
    <mergeCell ref="O88:T88"/>
    <mergeCell ref="U88:V88"/>
    <mergeCell ref="C92:G92"/>
    <mergeCell ref="H92:N92"/>
    <mergeCell ref="O92:T92"/>
    <mergeCell ref="U92:V92"/>
    <mergeCell ref="W92:X92"/>
    <mergeCell ref="C93:G93"/>
    <mergeCell ref="H93:N93"/>
    <mergeCell ref="O93:T93"/>
    <mergeCell ref="U93:V93"/>
    <mergeCell ref="W93:X93"/>
    <mergeCell ref="C94:G94"/>
    <mergeCell ref="H94:N94"/>
    <mergeCell ref="O94:T94"/>
    <mergeCell ref="U94:V94"/>
    <mergeCell ref="W94:X94"/>
    <mergeCell ref="C95:G95"/>
    <mergeCell ref="H95:N95"/>
    <mergeCell ref="O95:T95"/>
    <mergeCell ref="U95:V95"/>
    <mergeCell ref="W95:X95"/>
    <mergeCell ref="C96:G96"/>
    <mergeCell ref="H96:N96"/>
    <mergeCell ref="O96:T96"/>
    <mergeCell ref="U96:V96"/>
    <mergeCell ref="W96:X96"/>
    <mergeCell ref="C97:G97"/>
    <mergeCell ref="H97:N97"/>
    <mergeCell ref="O97:T97"/>
    <mergeCell ref="U97:V97"/>
    <mergeCell ref="W97:X97"/>
    <mergeCell ref="C98:G98"/>
    <mergeCell ref="H98:N98"/>
    <mergeCell ref="O98:T98"/>
    <mergeCell ref="U98:V98"/>
    <mergeCell ref="W98:X98"/>
    <mergeCell ref="C99:G99"/>
    <mergeCell ref="H99:N99"/>
    <mergeCell ref="O99:T99"/>
    <mergeCell ref="U99:V99"/>
    <mergeCell ref="W99:X99"/>
    <mergeCell ref="C100:G100"/>
    <mergeCell ref="H100:N100"/>
    <mergeCell ref="O100:T100"/>
    <mergeCell ref="U100:V100"/>
    <mergeCell ref="W100:X100"/>
    <mergeCell ref="C101:G101"/>
    <mergeCell ref="H101:N101"/>
    <mergeCell ref="O101:T101"/>
    <mergeCell ref="U101:V101"/>
    <mergeCell ref="W101:X101"/>
    <mergeCell ref="C102:G102"/>
    <mergeCell ref="H102:N102"/>
    <mergeCell ref="O102:T102"/>
    <mergeCell ref="U102:V102"/>
    <mergeCell ref="W102:X102"/>
    <mergeCell ref="C103:G103"/>
    <mergeCell ref="H103:N103"/>
    <mergeCell ref="O103:T103"/>
    <mergeCell ref="U103:V103"/>
    <mergeCell ref="W103:X103"/>
    <mergeCell ref="C104:G104"/>
    <mergeCell ref="H104:N104"/>
    <mergeCell ref="O104:T104"/>
    <mergeCell ref="U104:V104"/>
    <mergeCell ref="W104:X104"/>
    <mergeCell ref="C105:G105"/>
    <mergeCell ref="H105:N105"/>
    <mergeCell ref="O105:T105"/>
    <mergeCell ref="U105:V105"/>
    <mergeCell ref="W105:X105"/>
    <mergeCell ref="C106:G106"/>
    <mergeCell ref="H106:N106"/>
    <mergeCell ref="O106:T106"/>
    <mergeCell ref="U106:V106"/>
    <mergeCell ref="W106:X106"/>
    <mergeCell ref="C107:G107"/>
    <mergeCell ref="H107:N107"/>
    <mergeCell ref="O107:T107"/>
    <mergeCell ref="U107:V107"/>
    <mergeCell ref="W107:X107"/>
    <mergeCell ref="C108:G108"/>
    <mergeCell ref="H108:N108"/>
    <mergeCell ref="O108:T108"/>
    <mergeCell ref="U108:V108"/>
    <mergeCell ref="W108:X108"/>
    <mergeCell ref="C109:G109"/>
    <mergeCell ref="H109:N109"/>
    <mergeCell ref="O109:T109"/>
    <mergeCell ref="U109:V109"/>
    <mergeCell ref="W109:X109"/>
    <mergeCell ref="C112:G112"/>
    <mergeCell ref="H112:N112"/>
    <mergeCell ref="O112:T112"/>
    <mergeCell ref="U112:V112"/>
    <mergeCell ref="W112:X112"/>
    <mergeCell ref="B115:F115"/>
    <mergeCell ref="G115:H115"/>
    <mergeCell ref="C110:G110"/>
    <mergeCell ref="H110:N110"/>
    <mergeCell ref="O110:T110"/>
    <mergeCell ref="U110:V110"/>
    <mergeCell ref="W110:X110"/>
    <mergeCell ref="C111:G111"/>
    <mergeCell ref="H111:N111"/>
    <mergeCell ref="O111:T111"/>
    <mergeCell ref="U111:V111"/>
    <mergeCell ref="W111:X111"/>
    <mergeCell ref="B125:C125"/>
    <mergeCell ref="B126:B127"/>
    <mergeCell ref="B128:B130"/>
    <mergeCell ref="B131:C131"/>
    <mergeCell ref="B132:C132"/>
    <mergeCell ref="B133:B134"/>
    <mergeCell ref="F118:G118"/>
    <mergeCell ref="H118:O118"/>
    <mergeCell ref="B121:C121"/>
    <mergeCell ref="B122:C122"/>
    <mergeCell ref="B123:C123"/>
    <mergeCell ref="B124:C124"/>
    <mergeCell ref="B149:B151"/>
    <mergeCell ref="B152:C152"/>
    <mergeCell ref="B153:C153"/>
    <mergeCell ref="B154:B155"/>
    <mergeCell ref="C164:G164"/>
    <mergeCell ref="H164:N164"/>
    <mergeCell ref="B142:C142"/>
    <mergeCell ref="B143:C143"/>
    <mergeCell ref="B144:C144"/>
    <mergeCell ref="B145:C145"/>
    <mergeCell ref="B146:C146"/>
    <mergeCell ref="B147:B148"/>
    <mergeCell ref="C166:G166"/>
    <mergeCell ref="H166:N166"/>
    <mergeCell ref="O166:T166"/>
    <mergeCell ref="U166:V166"/>
    <mergeCell ref="C167:G167"/>
    <mergeCell ref="H167:N167"/>
    <mergeCell ref="O167:T167"/>
    <mergeCell ref="U167:V167"/>
    <mergeCell ref="O164:T164"/>
    <mergeCell ref="U164:V164"/>
    <mergeCell ref="C165:G165"/>
    <mergeCell ref="H165:N165"/>
    <mergeCell ref="O165:T165"/>
    <mergeCell ref="U165:V165"/>
    <mergeCell ref="C170:G170"/>
    <mergeCell ref="H170:N170"/>
    <mergeCell ref="O170:T170"/>
    <mergeCell ref="U170:V170"/>
    <mergeCell ref="C171:G171"/>
    <mergeCell ref="H171:N171"/>
    <mergeCell ref="O171:T171"/>
    <mergeCell ref="U171:V171"/>
    <mergeCell ref="C168:G168"/>
    <mergeCell ref="H168:N168"/>
    <mergeCell ref="O168:T168"/>
    <mergeCell ref="U168:V168"/>
    <mergeCell ref="C169:G169"/>
    <mergeCell ref="H169:N169"/>
    <mergeCell ref="O169:T169"/>
    <mergeCell ref="U169:V169"/>
    <mergeCell ref="C174:G174"/>
    <mergeCell ref="H174:N174"/>
    <mergeCell ref="O174:T174"/>
    <mergeCell ref="U174:V174"/>
    <mergeCell ref="C175:G175"/>
    <mergeCell ref="H175:N175"/>
    <mergeCell ref="O175:T175"/>
    <mergeCell ref="U175:V175"/>
    <mergeCell ref="C172:G172"/>
    <mergeCell ref="H172:N172"/>
    <mergeCell ref="O172:T172"/>
    <mergeCell ref="U172:V172"/>
    <mergeCell ref="C173:G173"/>
    <mergeCell ref="H173:N173"/>
    <mergeCell ref="O173:T173"/>
    <mergeCell ref="U173:V173"/>
    <mergeCell ref="C178:G178"/>
    <mergeCell ref="H178:N178"/>
    <mergeCell ref="O178:T178"/>
    <mergeCell ref="U178:V178"/>
    <mergeCell ref="C179:G179"/>
    <mergeCell ref="H179:N179"/>
    <mergeCell ref="O179:T179"/>
    <mergeCell ref="U179:V179"/>
    <mergeCell ref="C176:G176"/>
    <mergeCell ref="H176:N176"/>
    <mergeCell ref="O176:T176"/>
    <mergeCell ref="U176:V176"/>
    <mergeCell ref="C177:G177"/>
    <mergeCell ref="H177:N177"/>
    <mergeCell ref="O177:T177"/>
    <mergeCell ref="U177:V177"/>
    <mergeCell ref="C182:G182"/>
    <mergeCell ref="H182:N182"/>
    <mergeCell ref="O182:T182"/>
    <mergeCell ref="U182:V182"/>
    <mergeCell ref="C183:G183"/>
    <mergeCell ref="H183:N183"/>
    <mergeCell ref="O183:T183"/>
    <mergeCell ref="U183:V183"/>
    <mergeCell ref="C180:G180"/>
    <mergeCell ref="H180:N180"/>
    <mergeCell ref="O180:T180"/>
    <mergeCell ref="U180:V180"/>
    <mergeCell ref="C181:G181"/>
    <mergeCell ref="H181:N181"/>
    <mergeCell ref="O181:T181"/>
    <mergeCell ref="U181:V181"/>
    <mergeCell ref="W186:X186"/>
    <mergeCell ref="C187:G187"/>
    <mergeCell ref="H187:N187"/>
    <mergeCell ref="O187:T187"/>
    <mergeCell ref="U187:V187"/>
    <mergeCell ref="W187:X187"/>
    <mergeCell ref="C184:G184"/>
    <mergeCell ref="H184:N184"/>
    <mergeCell ref="O184:T184"/>
    <mergeCell ref="U184:V184"/>
    <mergeCell ref="C186:G186"/>
    <mergeCell ref="H186:N186"/>
    <mergeCell ref="O186:T186"/>
    <mergeCell ref="U186:V186"/>
    <mergeCell ref="C188:G188"/>
    <mergeCell ref="H188:N188"/>
    <mergeCell ref="O188:T188"/>
    <mergeCell ref="U188:V188"/>
    <mergeCell ref="W188:X188"/>
    <mergeCell ref="C189:G189"/>
    <mergeCell ref="H189:N189"/>
    <mergeCell ref="O189:T189"/>
    <mergeCell ref="U189:V189"/>
    <mergeCell ref="W189:X189"/>
    <mergeCell ref="C190:G190"/>
    <mergeCell ref="H190:N190"/>
    <mergeCell ref="O190:T190"/>
    <mergeCell ref="U190:V190"/>
    <mergeCell ref="W190:X190"/>
    <mergeCell ref="C191:G191"/>
    <mergeCell ref="H191:N191"/>
    <mergeCell ref="O191:T191"/>
    <mergeCell ref="U191:V191"/>
    <mergeCell ref="W191:X191"/>
    <mergeCell ref="C192:G192"/>
    <mergeCell ref="H192:N192"/>
    <mergeCell ref="O192:T192"/>
    <mergeCell ref="U192:V192"/>
    <mergeCell ref="W192:X192"/>
    <mergeCell ref="C193:G193"/>
    <mergeCell ref="H193:N193"/>
    <mergeCell ref="O193:T193"/>
    <mergeCell ref="U193:V193"/>
    <mergeCell ref="W193:X193"/>
    <mergeCell ref="C194:G194"/>
    <mergeCell ref="H194:N194"/>
    <mergeCell ref="O194:T194"/>
    <mergeCell ref="U194:V194"/>
    <mergeCell ref="W194:X194"/>
    <mergeCell ref="C195:G195"/>
    <mergeCell ref="H195:N195"/>
    <mergeCell ref="O195:T195"/>
    <mergeCell ref="U195:V195"/>
    <mergeCell ref="W195:X195"/>
    <mergeCell ref="C196:G196"/>
    <mergeCell ref="H196:N196"/>
    <mergeCell ref="O196:T196"/>
    <mergeCell ref="U196:V196"/>
    <mergeCell ref="W196:X196"/>
    <mergeCell ref="C197:G197"/>
    <mergeCell ref="H197:N197"/>
    <mergeCell ref="O197:T197"/>
    <mergeCell ref="U197:V197"/>
    <mergeCell ref="W197:X197"/>
    <mergeCell ref="C198:G198"/>
    <mergeCell ref="H198:N198"/>
    <mergeCell ref="O198:T198"/>
    <mergeCell ref="U198:V198"/>
    <mergeCell ref="W198:X198"/>
    <mergeCell ref="C199:G199"/>
    <mergeCell ref="H199:N199"/>
    <mergeCell ref="O199:T199"/>
    <mergeCell ref="U199:V199"/>
    <mergeCell ref="W199:X199"/>
    <mergeCell ref="C200:G200"/>
    <mergeCell ref="H200:N200"/>
    <mergeCell ref="O200:T200"/>
    <mergeCell ref="U200:V200"/>
    <mergeCell ref="W200:X200"/>
    <mergeCell ref="C201:G201"/>
    <mergeCell ref="H201:N201"/>
    <mergeCell ref="O201:T201"/>
    <mergeCell ref="U201:V201"/>
    <mergeCell ref="W201:X201"/>
    <mergeCell ref="C202:G202"/>
    <mergeCell ref="H202:N202"/>
    <mergeCell ref="O202:T202"/>
    <mergeCell ref="U202:V202"/>
    <mergeCell ref="W202:X202"/>
    <mergeCell ref="C203:G203"/>
    <mergeCell ref="H203:N203"/>
    <mergeCell ref="O203:T203"/>
    <mergeCell ref="U203:V203"/>
    <mergeCell ref="W203:X203"/>
    <mergeCell ref="C206:G206"/>
    <mergeCell ref="H206:N206"/>
    <mergeCell ref="O206:T206"/>
    <mergeCell ref="U206:V206"/>
    <mergeCell ref="W206:X206"/>
    <mergeCell ref="C204:G204"/>
    <mergeCell ref="H204:N204"/>
    <mergeCell ref="O204:T204"/>
    <mergeCell ref="U204:V204"/>
    <mergeCell ref="W204:X204"/>
    <mergeCell ref="C205:G205"/>
    <mergeCell ref="H205:N205"/>
    <mergeCell ref="O205:T205"/>
    <mergeCell ref="U205:V205"/>
    <mergeCell ref="W205:X205"/>
  </mergeCells>
  <phoneticPr fontId="2"/>
  <conditionalFormatting sqref="D49:W49">
    <cfRule type="expression" dxfId="130" priority="16">
      <formula>D56=1</formula>
    </cfRule>
    <cfRule type="expression" dxfId="129" priority="29">
      <formula>D49="---"</formula>
    </cfRule>
    <cfRule type="expression" dxfId="128" priority="30">
      <formula>D49&gt;0.4</formula>
    </cfRule>
  </conditionalFormatting>
  <conditionalFormatting sqref="D50:W50">
    <cfRule type="expression" dxfId="127" priority="12">
      <formula>OR(D44="継続",D50="")</formula>
    </cfRule>
    <cfRule type="expression" dxfId="126" priority="27">
      <formula>AND(D50&lt;&gt;"継続",D50&lt;40)</formula>
    </cfRule>
  </conditionalFormatting>
  <conditionalFormatting sqref="D51:W51">
    <cfRule type="expression" dxfId="125" priority="13">
      <formula>OR(D44="継続",D51="")</formula>
    </cfRule>
    <cfRule type="expression" dxfId="124" priority="28">
      <formula>AND(D44&lt;&gt;"継続",D51&lt;40)</formula>
    </cfRule>
  </conditionalFormatting>
  <conditionalFormatting sqref="H27">
    <cfRule type="expression" dxfId="123" priority="4">
      <formula>$H$27="換気設備の導入は必須です。換気設備について入力してください。"</formula>
    </cfRule>
    <cfRule type="expression" dxfId="122" priority="5">
      <formula>H27="旧設備の入力をご確認ください。"</formula>
    </cfRule>
    <cfRule type="expression" dxfId="121" priority="31">
      <formula>H27="新設備の入力をご確認ください。"</formula>
    </cfRule>
  </conditionalFormatting>
  <conditionalFormatting sqref="D45:W45">
    <cfRule type="expression" dxfId="120" priority="15">
      <formula>D$59=1</formula>
    </cfRule>
  </conditionalFormatting>
  <conditionalFormatting sqref="D121:W121">
    <cfRule type="expression" dxfId="119" priority="20">
      <formula>OR(D138=1,D139=1)</formula>
    </cfRule>
  </conditionalFormatting>
  <conditionalFormatting sqref="D142:W142">
    <cfRule type="expression" dxfId="118" priority="24">
      <formula>OR(D159=1,D160=1)</formula>
    </cfRule>
  </conditionalFormatting>
  <conditionalFormatting sqref="D122:W122">
    <cfRule type="expression" dxfId="117" priority="21">
      <formula>D137=1</formula>
    </cfRule>
  </conditionalFormatting>
  <conditionalFormatting sqref="D124:W124">
    <cfRule type="expression" dxfId="116" priority="22">
      <formula>D137=1</formula>
    </cfRule>
  </conditionalFormatting>
  <conditionalFormatting sqref="D130:W130">
    <cfRule type="expression" dxfId="115" priority="23">
      <formula>D137=1</formula>
    </cfRule>
  </conditionalFormatting>
  <conditionalFormatting sqref="D143:W143">
    <cfRule type="expression" dxfId="114" priority="19">
      <formula>D158=1</formula>
    </cfRule>
  </conditionalFormatting>
  <conditionalFormatting sqref="D145:W145">
    <cfRule type="expression" dxfId="113" priority="18">
      <formula>D158=1</formula>
    </cfRule>
  </conditionalFormatting>
  <conditionalFormatting sqref="D151:W151">
    <cfRule type="expression" dxfId="112" priority="17">
      <formula>D158=1</formula>
    </cfRule>
  </conditionalFormatting>
  <conditionalFormatting sqref="H118">
    <cfRule type="expression" dxfId="111" priority="6">
      <formula>$H$118="新設備の入力をご確認ください。"</formula>
    </cfRule>
    <cfRule type="expression" dxfId="110" priority="8">
      <formula>$H$118="旧設備の入力をご確認ください。"</formula>
    </cfRule>
  </conditionalFormatting>
  <conditionalFormatting sqref="D30:W30">
    <cfRule type="expression" dxfId="109" priority="9">
      <formula>D38=1</formula>
    </cfRule>
  </conditionalFormatting>
  <conditionalFormatting sqref="D41:W41">
    <cfRule type="expression" dxfId="108" priority="10">
      <formula>D64=1</formula>
    </cfRule>
  </conditionalFormatting>
  <conditionalFormatting sqref="W93">
    <cfRule type="expression" dxfId="107" priority="36">
      <formula>$D$58=2</formula>
    </cfRule>
  </conditionalFormatting>
  <conditionalFormatting sqref="H27">
    <cfRule type="expression" dxfId="106" priority="33">
      <formula>$H$27="換気設備導入の要件を満たしていないため、申請できません。"</formula>
    </cfRule>
  </conditionalFormatting>
  <conditionalFormatting sqref="H118">
    <cfRule type="expression" dxfId="105" priority="7">
      <formula>$H$118="省エネ設備更新の要件を満たしていないため、申請できません。"</formula>
    </cfRule>
  </conditionalFormatting>
  <conditionalFormatting sqref="X153">
    <cfRule type="expression" dxfId="104" priority="14">
      <formula>AND($AE$160&lt;&gt;0,$X$132&lt;=$X$153)</formula>
    </cfRule>
  </conditionalFormatting>
  <conditionalFormatting sqref="D42:W45">
    <cfRule type="expression" dxfId="103" priority="26">
      <formula>D$43="給気"</formula>
    </cfRule>
    <cfRule type="expression" dxfId="102" priority="56">
      <formula>D$43="給気・排気"</formula>
    </cfRule>
    <cfRule type="expression" dxfId="101" priority="57">
      <formula>OR(D$43="補器（排気）",D$43="補器（給気）")</formula>
    </cfRule>
  </conditionalFormatting>
  <conditionalFormatting sqref="D31:W32">
    <cfRule type="expression" dxfId="100" priority="2">
      <formula>D$32="給気・排気"</formula>
    </cfRule>
    <cfRule type="expression" dxfId="99" priority="34">
      <formula>D$32="給気"</formula>
    </cfRule>
    <cfRule type="expression" dxfId="98" priority="35">
      <formula>OR(D$32="補器（排気）",D$32="補器（給気）")</formula>
    </cfRule>
  </conditionalFormatting>
  <conditionalFormatting sqref="W94">
    <cfRule type="expression" dxfId="97" priority="37">
      <formula>$E$58=2</formula>
    </cfRule>
  </conditionalFormatting>
  <conditionalFormatting sqref="W95">
    <cfRule type="expression" dxfId="96" priority="38">
      <formula>$F$58=2</formula>
    </cfRule>
  </conditionalFormatting>
  <conditionalFormatting sqref="W96">
    <cfRule type="expression" dxfId="95" priority="39">
      <formula>$G$58=2</formula>
    </cfRule>
  </conditionalFormatting>
  <conditionalFormatting sqref="W97">
    <cfRule type="expression" dxfId="94" priority="40">
      <formula>$H$58=2</formula>
    </cfRule>
  </conditionalFormatting>
  <conditionalFormatting sqref="W98">
    <cfRule type="expression" dxfId="93" priority="41">
      <formula>$I$58=2</formula>
    </cfRule>
  </conditionalFormatting>
  <conditionalFormatting sqref="W99">
    <cfRule type="expression" dxfId="92" priority="42">
      <formula>$J$58=2</formula>
    </cfRule>
  </conditionalFormatting>
  <conditionalFormatting sqref="W100">
    <cfRule type="expression" dxfId="91" priority="43">
      <formula>$K$58=2</formula>
    </cfRule>
  </conditionalFormatting>
  <conditionalFormatting sqref="W101">
    <cfRule type="expression" dxfId="90" priority="44">
      <formula>$L$58=2</formula>
    </cfRule>
  </conditionalFormatting>
  <conditionalFormatting sqref="W102">
    <cfRule type="expression" dxfId="89" priority="45">
      <formula>$M$58=2</formula>
    </cfRule>
  </conditionalFormatting>
  <conditionalFormatting sqref="W103">
    <cfRule type="expression" dxfId="88" priority="46">
      <formula>$N$58=2</formula>
    </cfRule>
  </conditionalFormatting>
  <conditionalFormatting sqref="W104">
    <cfRule type="expression" dxfId="87" priority="47">
      <formula>$O$58=2</formula>
    </cfRule>
  </conditionalFormatting>
  <conditionalFormatting sqref="W105">
    <cfRule type="expression" dxfId="86" priority="48">
      <formula>$P$58=2</formula>
    </cfRule>
  </conditionalFormatting>
  <conditionalFormatting sqref="W106">
    <cfRule type="expression" dxfId="85" priority="49">
      <formula>$Q$58=2</formula>
    </cfRule>
  </conditionalFormatting>
  <conditionalFormatting sqref="W107">
    <cfRule type="expression" dxfId="84" priority="50">
      <formula>$R$58=2</formula>
    </cfRule>
  </conditionalFormatting>
  <conditionalFormatting sqref="W108">
    <cfRule type="expression" dxfId="83" priority="51">
      <formula>$S$58=2</formula>
    </cfRule>
  </conditionalFormatting>
  <conditionalFormatting sqref="W109">
    <cfRule type="expression" dxfId="82" priority="52">
      <formula>$T$58=2</formula>
    </cfRule>
  </conditionalFormatting>
  <conditionalFormatting sqref="W110">
    <cfRule type="expression" dxfId="81" priority="53">
      <formula>$U$58=2</formula>
    </cfRule>
  </conditionalFormatting>
  <conditionalFormatting sqref="W111">
    <cfRule type="expression" dxfId="80" priority="54">
      <formula>$V$58=2</formula>
    </cfRule>
  </conditionalFormatting>
  <conditionalFormatting sqref="W112">
    <cfRule type="expression" dxfId="79" priority="55">
      <formula>$W$58=2</formula>
    </cfRule>
  </conditionalFormatting>
  <conditionalFormatting sqref="X47:Y47">
    <cfRule type="expression" dxfId="78" priority="11">
      <formula>AND($X$65="不適合",$AA$64&lt;&gt;20)</formula>
    </cfRule>
  </conditionalFormatting>
  <conditionalFormatting sqref="H27:O27">
    <cfRule type="expression" dxfId="77" priority="32">
      <formula>$H$27="新設備の導入がない計画は申請できません。"</formula>
    </cfRule>
  </conditionalFormatting>
  <conditionalFormatting sqref="C166:V184 C188:X206 D122:X134 D143:X155">
    <cfRule type="expression" dxfId="76" priority="3">
      <formula>$G$115&lt;&gt;"はい"</formula>
    </cfRule>
  </conditionalFormatting>
  <conditionalFormatting sqref="D42:W42 D44:W44">
    <cfRule type="expression" dxfId="75" priority="1">
      <formula>D$54=1</formula>
    </cfRule>
    <cfRule type="expression" dxfId="74" priority="25">
      <formula>D$59=1</formula>
    </cfRule>
  </conditionalFormatting>
  <dataValidations count="4">
    <dataValidation type="list" allowBlank="1" showInputMessage="1" showErrorMessage="1" sqref="G115">
      <formula1>"実施を選択,はい,いいえ"</formula1>
    </dataValidation>
    <dataValidation allowBlank="1" sqref="C21:C22"/>
    <dataValidation allowBlank="1" showErrorMessage="1" promptTitle="『機器仕様入力書』　記入時のご注意" prompt="本シートご利用の場合は、省エネ計算シートの設備欄には記入しないでください。" sqref="D152:W153 D128:W129 D131:W132 D33:W37 D46:W53"/>
    <dataValidation allowBlank="1" showErrorMessage="1" sqref="D126:W127 D147:W150 D144:W144 D133:W134 D123:W123 D154:W155"/>
  </dataValidations>
  <pageMargins left="0.6692913385826772" right="0.31496062992125984" top="0.46" bottom="0.22" header="0.22" footer="0.16"/>
  <pageSetup paperSize="9" scale="47" fitToHeight="0" orientation="landscape" r:id="rId1"/>
  <headerFooter>
    <oddHeader>&amp;C&amp;20換気量・省エネ計算シート</oddHeader>
  </headerFooter>
  <rowBreaks count="1" manualBreakCount="1">
    <brk id="113" max="2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'\\fs00001\総務部\東京都地球温暖化防止活動推進センター\事業支援チーム\Ｒ４\200_個人用\和田\[◆換気量・省エネ計算シート（R4_Ver5.5）_記入例.xlsx]計算'!#REF!</xm:f>
          </x14:formula1>
          <xm:sqref>W187:X187</xm:sqref>
        </x14:dataValidation>
        <x14:dataValidation type="list" allowBlank="1" showErrorMessage="1">
          <x14:formula1>
            <xm:f>計算!$S$4:$S$8</xm:f>
          </x14:formula1>
          <xm:sqref>D31:W31</xm:sqref>
        </x14:dataValidation>
        <x14:dataValidation type="list" allowBlank="1">
          <x14:formula1>
            <xm:f>計算!$R$4:$R$8</xm:f>
          </x14:formula1>
          <xm:sqref>D42:W42</xm:sqref>
        </x14:dataValidation>
        <x14:dataValidation type="list" allowBlank="1" showErrorMessage="1">
          <x14:formula1>
            <xm:f>計算!$T$20:$T$24</xm:f>
          </x14:formula1>
          <xm:sqref>D32:W32 D43:W43</xm:sqref>
        </x14:dataValidation>
        <x14:dataValidation type="list" allowBlank="1" showErrorMessage="1">
          <x14:formula1>
            <xm:f>計算!$Z$4:$Z$14</xm:f>
          </x14:formula1>
          <xm:sqref>D146:W146 D125:W125</xm:sqref>
        </x14:dataValidation>
        <x14:dataValidation type="list" allowBlank="1" showErrorMessage="1">
          <x14:formula1>
            <xm:f>計算!$Z$3:$Z$14</xm:f>
          </x14:formula1>
          <xm:sqref>D45:W45</xm:sqref>
        </x14:dataValidation>
        <x14:dataValidation type="list" allowBlank="1" showInputMessage="1" showErrorMessage="1">
          <x14:formula1>
            <xm:f>計算!$V$4:$V$6</xm:f>
          </x14:formula1>
          <xm:sqref>W93:X112 Y165:Y184 W188:X206</xm:sqref>
        </x14:dataValidation>
        <x14:dataValidation type="list" allowBlank="1" showErrorMessage="1">
          <x14:formula1>
            <xm:f>計算!$AA$4:$AA$6</xm:f>
          </x14:formula1>
          <xm:sqref>D124:W124 D145:W145</xm:sqref>
        </x14:dataValidation>
        <x14:dataValidation type="list" allowBlank="1" showInputMessage="1" showErrorMessage="1">
          <x14:formula1>
            <xm:f>計算!$U$4:$U$6</xm:f>
          </x14:formula1>
          <xm:sqref>D143:W143 D122:W122</xm:sqref>
        </x14:dataValidation>
        <x14:dataValidation type="list" allowBlank="1" showInputMessage="1" showErrorMessage="1">
          <x14:formula1>
            <xm:f>計算!$T$4:$T$7</xm:f>
          </x14:formula1>
          <xm:sqref>D44:W44</xm:sqref>
        </x14:dataValidation>
        <x14:dataValidation type="list" allowBlank="1" showErrorMessage="1" promptTitle="『機器仕様入力書』　記入時のご注意" prompt="本シートご利用の場合は、省エネ計算シートの設備欄には記入しないでください。">
          <x14:formula1>
            <xm:f>計算!$X$4:$X$6</xm:f>
          </x14:formula1>
          <xm:sqref>D151:W151 D130:W130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pageSetUpPr fitToPage="1"/>
  </sheetPr>
  <dimension ref="B2:T84"/>
  <sheetViews>
    <sheetView zoomScale="70" zoomScaleNormal="70" zoomScaleSheetLayoutView="90" workbookViewId="0"/>
  </sheetViews>
  <sheetFormatPr defaultColWidth="8.796875" defaultRowHeight="18.75" x14ac:dyDescent="0.45"/>
  <cols>
    <col min="1" max="1" width="2.296875" style="64" customWidth="1"/>
    <col min="2" max="2" width="11.8984375" style="64" customWidth="1"/>
    <col min="3" max="16" width="10.59765625" style="64" customWidth="1"/>
    <col min="17" max="17" width="2.19921875" style="64" customWidth="1"/>
    <col min="18" max="21" width="5" style="64" customWidth="1"/>
    <col min="22" max="23" width="8.796875" style="64"/>
    <col min="24" max="24" width="9.59765625" style="64" bestFit="1" customWidth="1"/>
    <col min="25" max="25" width="8.5" style="64" customWidth="1"/>
    <col min="26" max="26" width="9.296875" style="64" customWidth="1"/>
    <col min="27" max="27" width="9.296875" style="64" bestFit="1" customWidth="1"/>
    <col min="28" max="16384" width="8.796875" style="64"/>
  </cols>
  <sheetData>
    <row r="2" spans="2:18" s="23" customFormat="1" ht="19.5" x14ac:dyDescent="0.45">
      <c r="B2" s="53" t="s">
        <v>166</v>
      </c>
    </row>
    <row r="3" spans="2:18" ht="19.5" x14ac:dyDescent="0.45">
      <c r="B3" s="160" t="s">
        <v>412</v>
      </c>
      <c r="K3" s="23"/>
    </row>
    <row r="4" spans="2:18" ht="19.5" x14ac:dyDescent="0.45">
      <c r="B4" s="160" t="s">
        <v>429</v>
      </c>
      <c r="K4" s="23"/>
    </row>
    <row r="5" spans="2:18" ht="19.5" x14ac:dyDescent="0.45">
      <c r="B5" s="160" t="s">
        <v>463</v>
      </c>
      <c r="K5" s="23"/>
    </row>
    <row r="6" spans="2:18" ht="19.5" x14ac:dyDescent="0.45">
      <c r="B6" s="160" t="s">
        <v>428</v>
      </c>
      <c r="K6" s="23"/>
    </row>
    <row r="7" spans="2:18" ht="19.5" x14ac:dyDescent="0.45">
      <c r="B7" s="160" t="s">
        <v>632</v>
      </c>
      <c r="K7" s="23"/>
    </row>
    <row r="8" spans="2:18" ht="19.5" x14ac:dyDescent="0.45">
      <c r="B8" s="160" t="s">
        <v>522</v>
      </c>
      <c r="K8" s="23"/>
    </row>
    <row r="9" spans="2:18" ht="19.5" x14ac:dyDescent="0.45">
      <c r="B9" s="160" t="s">
        <v>411</v>
      </c>
      <c r="K9" s="23"/>
    </row>
    <row r="10" spans="2:18" ht="19.5" x14ac:dyDescent="0.45">
      <c r="B10" s="160" t="s">
        <v>464</v>
      </c>
      <c r="K10" s="23"/>
    </row>
    <row r="11" spans="2:18" ht="19.5" x14ac:dyDescent="0.45">
      <c r="B11" s="63"/>
      <c r="K11" s="23"/>
    </row>
    <row r="12" spans="2:18" s="23" customFormat="1" ht="19.5" x14ac:dyDescent="0.45">
      <c r="B12" s="94" t="s">
        <v>167</v>
      </c>
      <c r="C12" s="25"/>
      <c r="D12" s="56" t="s">
        <v>633</v>
      </c>
      <c r="K12" s="198"/>
    </row>
    <row r="13" spans="2:18" s="23" customFormat="1" ht="19.5" x14ac:dyDescent="0.45">
      <c r="C13" s="26"/>
      <c r="D13" s="56" t="s">
        <v>636</v>
      </c>
      <c r="J13" s="42"/>
    </row>
    <row r="14" spans="2:18" s="23" customFormat="1" ht="19.5" x14ac:dyDescent="0.45">
      <c r="C14" s="27"/>
      <c r="D14" s="52" t="s">
        <v>634</v>
      </c>
    </row>
    <row r="15" spans="2:18" s="23" customFormat="1" ht="19.5" x14ac:dyDescent="0.45">
      <c r="B15" s="24"/>
      <c r="C15" s="24"/>
    </row>
    <row r="16" spans="2:18" ht="18" customHeight="1" x14ac:dyDescent="0.45">
      <c r="B16" s="202" t="str">
        <f>'1.換気～比較表（適合）'!B19</f>
        <v>R4_Ver8.2</v>
      </c>
      <c r="J16" s="123"/>
      <c r="L16" s="23"/>
      <c r="M16" s="23"/>
      <c r="N16" s="23"/>
      <c r="O16" s="23"/>
      <c r="P16" s="23"/>
      <c r="Q16" s="23"/>
      <c r="R16" s="23"/>
    </row>
    <row r="17" spans="2:20" ht="18.75" customHeight="1" thickBot="1" x14ac:dyDescent="0.5">
      <c r="B17" s="202"/>
      <c r="J17" s="123"/>
      <c r="L17" s="23"/>
      <c r="M17" s="23"/>
      <c r="N17" s="23"/>
      <c r="O17" s="23"/>
      <c r="P17" s="23"/>
      <c r="Q17" s="23"/>
      <c r="R17" s="23"/>
    </row>
    <row r="18" spans="2:20" ht="42.75" customHeight="1" thickTop="1" thickBot="1" x14ac:dyDescent="0.5">
      <c r="B18" s="65" t="s">
        <v>191</v>
      </c>
      <c r="E18" s="452" t="s">
        <v>258</v>
      </c>
      <c r="F18" s="453"/>
      <c r="G18" s="456" t="str">
        <f>IF(AND(P26=0,P38=0,P49=0,P60=0,P71=0,P82=0),"事業所のエネルギー使用について入力してください。",IF(OR(P28&lt;&gt;0,P40&lt;&gt;0,P51&lt;&gt;0,P62&lt;&gt;0,P73&lt;&gt;0,P84&lt;&gt;0),"未入力欄が有ります。確認してください。",IF(OR(P26=1,P38=1,P49=1,P60=1,P71=1,P82=1),"エネルギーの使用年度を選択してください。",IF(OR(P38=2,P38=3,P49=2,P60=2,P71=2,P82=2),"エネルギー種別・単位を選択してください。",IF(SUM(P23,P35,P46,P57,P68,P79)&lt;1500,"中小規模事業所に該当します。","中小規模事業所の要件を満たしていないため、申請できません。")))))</f>
        <v>中小規模事業所に該当します。</v>
      </c>
      <c r="H18" s="457"/>
      <c r="I18" s="457"/>
      <c r="J18" s="457"/>
      <c r="K18" s="457"/>
      <c r="L18" s="457"/>
      <c r="M18" s="457"/>
      <c r="N18" s="458"/>
      <c r="O18" s="23"/>
      <c r="P18" s="23"/>
      <c r="Q18" s="23"/>
      <c r="R18" s="23"/>
    </row>
    <row r="19" spans="2:20" ht="19.5" customHeight="1" thickTop="1" thickBot="1" x14ac:dyDescent="0.5">
      <c r="B19" s="65"/>
      <c r="C19" s="65"/>
      <c r="D19" s="65"/>
      <c r="E19" s="65"/>
      <c r="F19" s="65"/>
      <c r="G19" s="65"/>
      <c r="H19" s="65"/>
      <c r="I19" s="65"/>
      <c r="J19" s="65"/>
      <c r="K19" s="65"/>
      <c r="L19" s="65"/>
      <c r="M19" s="65"/>
      <c r="N19" s="65"/>
      <c r="O19" s="23"/>
      <c r="P19" s="23"/>
      <c r="Q19" s="23"/>
      <c r="R19" s="23"/>
    </row>
    <row r="20" spans="2:20" ht="21" thickTop="1" thickBot="1" x14ac:dyDescent="0.5">
      <c r="B20" s="64" t="s">
        <v>36</v>
      </c>
      <c r="H20" s="459" t="s">
        <v>523</v>
      </c>
      <c r="I20" s="459"/>
      <c r="J20" s="460" t="s">
        <v>624</v>
      </c>
      <c r="K20" s="461"/>
      <c r="L20" s="462"/>
      <c r="M20" s="23"/>
      <c r="N20" s="23"/>
      <c r="O20" s="23"/>
      <c r="P20" s="23"/>
      <c r="Q20" s="23"/>
      <c r="R20" s="23"/>
    </row>
    <row r="21" spans="2:20" ht="18.75" customHeight="1" thickTop="1" thickBot="1" x14ac:dyDescent="0.5">
      <c r="B21" s="344" t="s">
        <v>599</v>
      </c>
      <c r="C21" s="343" t="s">
        <v>32</v>
      </c>
      <c r="D21" s="69" t="s">
        <v>31</v>
      </c>
      <c r="E21" s="69" t="s">
        <v>30</v>
      </c>
      <c r="F21" s="69" t="s">
        <v>29</v>
      </c>
      <c r="G21" s="69" t="s">
        <v>28</v>
      </c>
      <c r="H21" s="69" t="s">
        <v>27</v>
      </c>
      <c r="I21" s="69" t="s">
        <v>26</v>
      </c>
      <c r="J21" s="340" t="s">
        <v>25</v>
      </c>
      <c r="K21" s="340" t="s">
        <v>24</v>
      </c>
      <c r="L21" s="345" t="s">
        <v>23</v>
      </c>
      <c r="M21" s="69" t="s">
        <v>22</v>
      </c>
      <c r="N21" s="73" t="s">
        <v>21</v>
      </c>
      <c r="O21" s="163"/>
      <c r="P21" s="74"/>
      <c r="Q21" s="23"/>
      <c r="R21" s="23"/>
    </row>
    <row r="22" spans="2:20" ht="38.25" customHeight="1" thickTop="1" x14ac:dyDescent="0.45">
      <c r="B22" s="71" t="s">
        <v>414</v>
      </c>
      <c r="C22" s="87" t="s">
        <v>575</v>
      </c>
      <c r="D22" s="87" t="s">
        <v>576</v>
      </c>
      <c r="E22" s="87" t="s">
        <v>577</v>
      </c>
      <c r="F22" s="87" t="s">
        <v>578</v>
      </c>
      <c r="G22" s="87" t="s">
        <v>579</v>
      </c>
      <c r="H22" s="87" t="s">
        <v>580</v>
      </c>
      <c r="I22" s="87" t="s">
        <v>581</v>
      </c>
      <c r="J22" s="87" t="s">
        <v>582</v>
      </c>
      <c r="K22" s="87" t="s">
        <v>583</v>
      </c>
      <c r="L22" s="87" t="s">
        <v>584</v>
      </c>
      <c r="M22" s="87" t="s">
        <v>585</v>
      </c>
      <c r="N22" s="87" t="s">
        <v>586</v>
      </c>
      <c r="O22" s="157" t="s">
        <v>416</v>
      </c>
      <c r="P22" s="162" t="s">
        <v>415</v>
      </c>
    </row>
    <row r="23" spans="2:20" ht="18.75" customHeight="1" x14ac:dyDescent="0.45">
      <c r="B23" s="70" t="s">
        <v>35</v>
      </c>
      <c r="C23" s="454">
        <v>898</v>
      </c>
      <c r="D23" s="454">
        <v>997</v>
      </c>
      <c r="E23" s="454">
        <v>1179</v>
      </c>
      <c r="F23" s="454">
        <v>1257</v>
      </c>
      <c r="G23" s="454">
        <v>1467</v>
      </c>
      <c r="H23" s="454">
        <v>1770</v>
      </c>
      <c r="I23" s="454">
        <v>1216</v>
      </c>
      <c r="J23" s="454">
        <v>856</v>
      </c>
      <c r="K23" s="454">
        <v>956</v>
      </c>
      <c r="L23" s="454">
        <v>1032</v>
      </c>
      <c r="M23" s="454">
        <v>1164</v>
      </c>
      <c r="N23" s="454">
        <v>785</v>
      </c>
      <c r="O23" s="466">
        <f>IF(ISERROR(12*SUM(C23:N24)/COUNT(C23:N24)),"",12*SUM(C23:N24)/COUNT(C23:N24))</f>
        <v>13577</v>
      </c>
      <c r="P23" s="468">
        <f>IF(P26=0,"",IF(P28=1,"未入力欄を確認",IF(P26=1,"年度を選択",IF(AND(O23&gt;0,O25&gt;0,Q26=Q27,P26=4),計算!$J$3,"入力不足"))))</f>
        <v>3.42</v>
      </c>
    </row>
    <row r="24" spans="2:20" ht="18.75" customHeight="1" thickBot="1" x14ac:dyDescent="0.5">
      <c r="B24" s="71" t="s">
        <v>34</v>
      </c>
      <c r="C24" s="455"/>
      <c r="D24" s="455"/>
      <c r="E24" s="455"/>
      <c r="F24" s="455"/>
      <c r="G24" s="455"/>
      <c r="H24" s="455"/>
      <c r="I24" s="455"/>
      <c r="J24" s="455"/>
      <c r="K24" s="455"/>
      <c r="L24" s="455"/>
      <c r="M24" s="455"/>
      <c r="N24" s="455"/>
      <c r="O24" s="467"/>
      <c r="P24" s="469"/>
    </row>
    <row r="25" spans="2:20" ht="38.25" customHeight="1" thickTop="1" thickBot="1" x14ac:dyDescent="0.5">
      <c r="B25" s="72" t="s">
        <v>413</v>
      </c>
      <c r="C25" s="164">
        <v>27234</v>
      </c>
      <c r="D25" s="164">
        <v>29368</v>
      </c>
      <c r="E25" s="164">
        <v>33026</v>
      </c>
      <c r="F25" s="164">
        <v>33807</v>
      </c>
      <c r="G25" s="164">
        <v>37411</v>
      </c>
      <c r="H25" s="164">
        <v>42293</v>
      </c>
      <c r="I25" s="164">
        <v>30582</v>
      </c>
      <c r="J25" s="164">
        <v>25126</v>
      </c>
      <c r="K25" s="164">
        <v>25741</v>
      </c>
      <c r="L25" s="164">
        <v>25461</v>
      </c>
      <c r="M25" s="164">
        <v>27085</v>
      </c>
      <c r="N25" s="164">
        <v>21091</v>
      </c>
      <c r="O25" s="75">
        <f>IF(ISERROR(12*SUM(C25:N25)/COUNT(C25:N25)),"",12*SUM(C25:N25)/COUNT(C25:N25))</f>
        <v>358225</v>
      </c>
      <c r="P25" s="168">
        <f>IF(AND(O23="",O25="",P28=0),0,IF(OR(B21="",B21="年度を選択"),1,4))</f>
        <v>4</v>
      </c>
      <c r="Q25" s="194"/>
    </row>
    <row r="26" spans="2:20" ht="18.75" hidden="1" customHeight="1" x14ac:dyDescent="0.45">
      <c r="B26" s="196" t="s">
        <v>444</v>
      </c>
      <c r="C26" s="195">
        <f>IF(C22="",2,IF(C22&lt;&gt;"",0,1))</f>
        <v>0</v>
      </c>
      <c r="D26" s="195">
        <f t="shared" ref="D26:N26" si="0">IF(D22="",2,IF(D22&lt;&gt;"",0,1))</f>
        <v>0</v>
      </c>
      <c r="E26" s="195">
        <f t="shared" si="0"/>
        <v>0</v>
      </c>
      <c r="F26" s="195">
        <f t="shared" si="0"/>
        <v>0</v>
      </c>
      <c r="G26" s="195">
        <f t="shared" si="0"/>
        <v>0</v>
      </c>
      <c r="H26" s="195">
        <f t="shared" si="0"/>
        <v>0</v>
      </c>
      <c r="I26" s="195">
        <f t="shared" si="0"/>
        <v>0</v>
      </c>
      <c r="J26" s="195">
        <f t="shared" si="0"/>
        <v>0</v>
      </c>
      <c r="K26" s="195">
        <f t="shared" si="0"/>
        <v>0</v>
      </c>
      <c r="L26" s="195">
        <f t="shared" si="0"/>
        <v>0</v>
      </c>
      <c r="M26" s="195">
        <f>IF(M22="",2,IF(M22&lt;&gt;"",0,1))</f>
        <v>0</v>
      </c>
      <c r="N26" s="195">
        <f t="shared" si="0"/>
        <v>0</v>
      </c>
      <c r="O26" s="195" t="str">
        <f>IF(R26&gt;1,"入力確認",IF(Q26=Q27,"入力済","未入力"))</f>
        <v>入力済</v>
      </c>
      <c r="P26" s="197">
        <f>P25</f>
        <v>4</v>
      </c>
      <c r="Q26" s="194">
        <f>COUNTIF($C26:$N26,0)</f>
        <v>12</v>
      </c>
      <c r="R26" s="194">
        <f>COUNTIF($C26:$N26,1)</f>
        <v>0</v>
      </c>
      <c r="S26" s="194">
        <f>COUNTIF($C26:$N26,2)</f>
        <v>0</v>
      </c>
      <c r="T26" s="194"/>
    </row>
    <row r="27" spans="2:20" ht="18.75" hidden="1" customHeight="1" x14ac:dyDescent="0.45">
      <c r="B27" s="196" t="s">
        <v>445</v>
      </c>
      <c r="C27" s="195">
        <f>IF(AND(C23="",C25=""),2,IF(AND(C23&lt;&gt;"",C25&lt;&gt;""),0,1))</f>
        <v>0</v>
      </c>
      <c r="D27" s="195">
        <f t="shared" ref="D27:N27" si="1">IF(AND(D23="",D25=""),2,IF(AND(D23&lt;&gt;"",D25&lt;&gt;""),0,1))</f>
        <v>0</v>
      </c>
      <c r="E27" s="195">
        <f t="shared" si="1"/>
        <v>0</v>
      </c>
      <c r="F27" s="195">
        <f t="shared" si="1"/>
        <v>0</v>
      </c>
      <c r="G27" s="195">
        <f t="shared" si="1"/>
        <v>0</v>
      </c>
      <c r="H27" s="195">
        <f t="shared" si="1"/>
        <v>0</v>
      </c>
      <c r="I27" s="195">
        <f t="shared" si="1"/>
        <v>0</v>
      </c>
      <c r="J27" s="195">
        <f t="shared" si="1"/>
        <v>0</v>
      </c>
      <c r="K27" s="195">
        <f t="shared" si="1"/>
        <v>0</v>
      </c>
      <c r="L27" s="195">
        <f t="shared" si="1"/>
        <v>0</v>
      </c>
      <c r="M27" s="195">
        <f t="shared" si="1"/>
        <v>0</v>
      </c>
      <c r="N27" s="195">
        <f t="shared" si="1"/>
        <v>0</v>
      </c>
      <c r="O27" s="195" t="str">
        <f>IF(R27&gt;1,"入力確認",IF(Q27+S27=12,"入力済","未入力"))</f>
        <v>入力済</v>
      </c>
      <c r="P27" s="197"/>
      <c r="Q27" s="194">
        <f>COUNTIF($C27:$N27,0)</f>
        <v>12</v>
      </c>
      <c r="R27" s="194">
        <f>COUNTIF($C27:$N27,1)</f>
        <v>0</v>
      </c>
      <c r="S27" s="194">
        <f>COUNTIF($C27:$N27,2)</f>
        <v>0</v>
      </c>
    </row>
    <row r="28" spans="2:20" ht="18.75" hidden="1" customHeight="1" x14ac:dyDescent="0.45">
      <c r="B28" s="196" t="s">
        <v>446</v>
      </c>
      <c r="C28" s="195">
        <f>IF(AND(C26=2,C27=2),2,IF(C26&lt;&gt;C27,1,IF(AND(C26=0,C27=0),0,4)))</f>
        <v>0</v>
      </c>
      <c r="D28" s="195">
        <f t="shared" ref="D28:N28" si="2">IF(AND(D26=2,D27=2),2,IF(D26&lt;&gt;D27,1,IF(AND(D26=0,D27=0),0,4)))</f>
        <v>0</v>
      </c>
      <c r="E28" s="195">
        <f t="shared" si="2"/>
        <v>0</v>
      </c>
      <c r="F28" s="195">
        <f t="shared" si="2"/>
        <v>0</v>
      </c>
      <c r="G28" s="195">
        <f t="shared" si="2"/>
        <v>0</v>
      </c>
      <c r="H28" s="195">
        <f t="shared" si="2"/>
        <v>0</v>
      </c>
      <c r="I28" s="195">
        <f t="shared" si="2"/>
        <v>0</v>
      </c>
      <c r="J28" s="195">
        <f t="shared" si="2"/>
        <v>0</v>
      </c>
      <c r="K28" s="195">
        <f t="shared" si="2"/>
        <v>0</v>
      </c>
      <c r="L28" s="195">
        <f t="shared" si="2"/>
        <v>0</v>
      </c>
      <c r="M28" s="195">
        <f t="shared" si="2"/>
        <v>0</v>
      </c>
      <c r="N28" s="195">
        <f t="shared" si="2"/>
        <v>0</v>
      </c>
      <c r="O28" s="195" t="str">
        <f>IF(R28&gt;1,"入力確認",IF(Q28+S28=12,"入力済","未入力"))</f>
        <v>入力済</v>
      </c>
      <c r="P28" s="197">
        <f>IF(O28="未入力",1,IF(O28="入力済",0,2))</f>
        <v>0</v>
      </c>
      <c r="Q28" s="194">
        <f>COUNTIF($C28:$N28,0)</f>
        <v>12</v>
      </c>
      <c r="R28" s="194">
        <f>COUNTIF($C28:$N28,1)</f>
        <v>0</v>
      </c>
      <c r="S28" s="194">
        <f>COUNTIF($C28:$N28,2)</f>
        <v>0</v>
      </c>
    </row>
    <row r="29" spans="2:20" x14ac:dyDescent="0.45">
      <c r="B29" s="66" t="s">
        <v>515</v>
      </c>
      <c r="E29" s="76"/>
      <c r="F29" s="76"/>
      <c r="G29" s="76"/>
      <c r="H29" s="76"/>
      <c r="O29" s="77"/>
    </row>
    <row r="31" spans="2:20" ht="19.5" thickBot="1" x14ac:dyDescent="0.5"/>
    <row r="32" spans="2:20" ht="20.25" thickTop="1" thickBot="1" x14ac:dyDescent="0.5">
      <c r="B32" s="64" t="s">
        <v>520</v>
      </c>
      <c r="E32" s="341" t="s">
        <v>450</v>
      </c>
      <c r="F32" s="342" t="s">
        <v>442</v>
      </c>
      <c r="G32" s="67"/>
      <c r="H32" s="459" t="s">
        <v>523</v>
      </c>
      <c r="I32" s="459"/>
      <c r="J32" s="470"/>
      <c r="K32" s="470"/>
      <c r="L32" s="470"/>
    </row>
    <row r="33" spans="2:20" ht="19.5" customHeight="1" thickTop="1" thickBot="1" x14ac:dyDescent="0.5">
      <c r="B33" s="344" t="s">
        <v>599</v>
      </c>
      <c r="C33" s="343" t="s">
        <v>32</v>
      </c>
      <c r="D33" s="69" t="s">
        <v>31</v>
      </c>
      <c r="E33" s="340" t="s">
        <v>30</v>
      </c>
      <c r="F33" s="340" t="s">
        <v>29</v>
      </c>
      <c r="G33" s="69" t="s">
        <v>28</v>
      </c>
      <c r="H33" s="69" t="s">
        <v>27</v>
      </c>
      <c r="I33" s="69" t="s">
        <v>26</v>
      </c>
      <c r="J33" s="69" t="s">
        <v>25</v>
      </c>
      <c r="K33" s="69" t="s">
        <v>24</v>
      </c>
      <c r="L33" s="68" t="s">
        <v>23</v>
      </c>
      <c r="M33" s="69" t="s">
        <v>22</v>
      </c>
      <c r="N33" s="73" t="s">
        <v>21</v>
      </c>
      <c r="O33" s="163"/>
      <c r="P33" s="74"/>
    </row>
    <row r="34" spans="2:20" ht="38.25" customHeight="1" thickTop="1" x14ac:dyDescent="0.45">
      <c r="B34" s="71" t="s">
        <v>414</v>
      </c>
      <c r="C34" s="87" t="s">
        <v>587</v>
      </c>
      <c r="D34" s="87" t="s">
        <v>588</v>
      </c>
      <c r="E34" s="87" t="s">
        <v>589</v>
      </c>
      <c r="F34" s="87" t="s">
        <v>590</v>
      </c>
      <c r="G34" s="87" t="s">
        <v>591</v>
      </c>
      <c r="H34" s="87" t="s">
        <v>592</v>
      </c>
      <c r="I34" s="87" t="s">
        <v>593</v>
      </c>
      <c r="J34" s="87" t="s">
        <v>594</v>
      </c>
      <c r="K34" s="87" t="s">
        <v>595</v>
      </c>
      <c r="L34" s="87" t="s">
        <v>596</v>
      </c>
      <c r="M34" s="87" t="s">
        <v>597</v>
      </c>
      <c r="N34" s="88" t="s">
        <v>598</v>
      </c>
      <c r="O34" s="157" t="s">
        <v>416</v>
      </c>
      <c r="P34" s="162" t="s">
        <v>415</v>
      </c>
    </row>
    <row r="35" spans="2:20" ht="19.5" customHeight="1" x14ac:dyDescent="0.45">
      <c r="B35" s="70" t="s">
        <v>33</v>
      </c>
      <c r="C35" s="454">
        <v>78</v>
      </c>
      <c r="D35" s="454">
        <v>78</v>
      </c>
      <c r="E35" s="454">
        <v>114</v>
      </c>
      <c r="F35" s="454">
        <v>103</v>
      </c>
      <c r="G35" s="454">
        <v>85</v>
      </c>
      <c r="H35" s="454">
        <v>102</v>
      </c>
      <c r="I35" s="454">
        <v>109</v>
      </c>
      <c r="J35" s="454">
        <v>123</v>
      </c>
      <c r="K35" s="454">
        <v>102</v>
      </c>
      <c r="L35" s="454">
        <v>99</v>
      </c>
      <c r="M35" s="454">
        <v>110</v>
      </c>
      <c r="N35" s="454">
        <v>119</v>
      </c>
      <c r="O35" s="466">
        <f>IF(ISERROR(12*SUM(C35:N36)/COUNT(C35:N36)),"",12*SUM(C35:N36)/COUNT(C35:N36))</f>
        <v>1222</v>
      </c>
      <c r="P35" s="464">
        <f>IF(P38=0,"",IF(P40=1,"未入力欄を確認",IF(P38=1,"年度を選択",IF(P38=2,"種別を選択",IF(P38=3,"単位を選択",IF(AND($E$32="都市ガス",$F$32="［m3］"),計算!$J$6,IF(AND($E$32="LPG",$F$32="［m3］"),計算!$J$7,IF(AND($E$32="LPG",$F$32="［kg］"),計算!$L$7,IF($E$32="LNG",計算!$J$8,IF($E$32="水素ガス",計算!$J$9,IF($E$32="天然ガス",計算!$J$10,"")))))))))))</f>
        <v>3.32</v>
      </c>
    </row>
    <row r="36" spans="2:20" ht="19.5" customHeight="1" thickBot="1" x14ac:dyDescent="0.5">
      <c r="B36" s="71" t="str">
        <f>IF(F32="","",F32)</f>
        <v>［m3］</v>
      </c>
      <c r="C36" s="455"/>
      <c r="D36" s="455"/>
      <c r="E36" s="455"/>
      <c r="F36" s="455"/>
      <c r="G36" s="455"/>
      <c r="H36" s="455"/>
      <c r="I36" s="455"/>
      <c r="J36" s="463"/>
      <c r="K36" s="463"/>
      <c r="L36" s="463"/>
      <c r="M36" s="463"/>
      <c r="N36" s="463"/>
      <c r="O36" s="467"/>
      <c r="P36" s="465"/>
    </row>
    <row r="37" spans="2:20" ht="38.25" customHeight="1" thickTop="1" thickBot="1" x14ac:dyDescent="0.5">
      <c r="B37" s="72" t="s">
        <v>413</v>
      </c>
      <c r="C37" s="164">
        <v>10377</v>
      </c>
      <c r="D37" s="164">
        <v>10467</v>
      </c>
      <c r="E37" s="164">
        <v>14752</v>
      </c>
      <c r="F37" s="164">
        <v>13285</v>
      </c>
      <c r="G37" s="164">
        <v>11434</v>
      </c>
      <c r="H37" s="164">
        <v>13841</v>
      </c>
      <c r="I37" s="164">
        <v>15030</v>
      </c>
      <c r="J37" s="165">
        <v>17138</v>
      </c>
      <c r="K37" s="165">
        <v>14785</v>
      </c>
      <c r="L37" s="165">
        <v>15258</v>
      </c>
      <c r="M37" s="165">
        <v>17637</v>
      </c>
      <c r="N37" s="165">
        <v>19312</v>
      </c>
      <c r="O37" s="167">
        <f>IF(ISERROR(12*SUM(C37:N37)/COUNT(C37:N37)),"",12*SUM(C37:N37)/COUNT(C37:N37))</f>
        <v>173316</v>
      </c>
      <c r="P37" s="168">
        <f>IF(AND(O35="",O37="",P40=0),0,IF(OR(B33="",B33="年度を選択"),1,IF(OR(E32="",E32="種別を選択"),2,IF(OR(F32="",F32="単位を選択"),3,4))))</f>
        <v>4</v>
      </c>
      <c r="Q37" s="194"/>
      <c r="R37" s="194"/>
    </row>
    <row r="38" spans="2:20" ht="18.75" hidden="1" customHeight="1" x14ac:dyDescent="0.45">
      <c r="B38" s="196" t="s">
        <v>444</v>
      </c>
      <c r="C38" s="195">
        <f>IF(C34="",2,IF(C34&lt;&gt;"",0,1))</f>
        <v>0</v>
      </c>
      <c r="D38" s="195">
        <f t="shared" ref="D38:L38" si="3">IF(D34="",2,IF(D34&lt;&gt;"",0,1))</f>
        <v>0</v>
      </c>
      <c r="E38" s="195">
        <f t="shared" si="3"/>
        <v>0</v>
      </c>
      <c r="F38" s="195">
        <f t="shared" si="3"/>
        <v>0</v>
      </c>
      <c r="G38" s="195">
        <f t="shared" si="3"/>
        <v>0</v>
      </c>
      <c r="H38" s="195">
        <f t="shared" si="3"/>
        <v>0</v>
      </c>
      <c r="I38" s="195">
        <f t="shared" si="3"/>
        <v>0</v>
      </c>
      <c r="J38" s="195">
        <f t="shared" si="3"/>
        <v>0</v>
      </c>
      <c r="K38" s="195">
        <f t="shared" si="3"/>
        <v>0</v>
      </c>
      <c r="L38" s="195">
        <f t="shared" si="3"/>
        <v>0</v>
      </c>
      <c r="M38" s="195">
        <f>IF(M34="",2,IF(M34&lt;&gt;"",0,1))</f>
        <v>0</v>
      </c>
      <c r="N38" s="195">
        <f t="shared" ref="N38" si="4">IF(N34="",2,IF(N34&lt;&gt;"",0,1))</f>
        <v>0</v>
      </c>
      <c r="O38" s="195" t="str">
        <f>IF(R38&gt;1,"入力確認",IF(Q38=Q39,"入力済","未入力"))</f>
        <v>入力済</v>
      </c>
      <c r="P38" s="197">
        <f>P37</f>
        <v>4</v>
      </c>
      <c r="Q38" s="194">
        <f>COUNTIF($C38:$N38,0)</f>
        <v>12</v>
      </c>
      <c r="R38" s="194">
        <f>COUNTIF($C38:$N38,1)</f>
        <v>0</v>
      </c>
      <c r="S38" s="194">
        <f>COUNTIF($C38:$N38,2)</f>
        <v>0</v>
      </c>
      <c r="T38" s="194"/>
    </row>
    <row r="39" spans="2:20" ht="18.75" hidden="1" customHeight="1" x14ac:dyDescent="0.45">
      <c r="B39" s="196" t="s">
        <v>445</v>
      </c>
      <c r="C39" s="195">
        <f>IF(AND(C35="",C37=""),2,IF(AND(C35&lt;&gt;"",C37&lt;&gt;""),0,1))</f>
        <v>0</v>
      </c>
      <c r="D39" s="195">
        <f t="shared" ref="D39:N39" si="5">IF(AND(D35="",D37=""),2,IF(AND(D35&lt;&gt;"",D37&lt;&gt;""),0,1))</f>
        <v>0</v>
      </c>
      <c r="E39" s="195">
        <f t="shared" si="5"/>
        <v>0</v>
      </c>
      <c r="F39" s="195">
        <f t="shared" si="5"/>
        <v>0</v>
      </c>
      <c r="G39" s="195">
        <f t="shared" si="5"/>
        <v>0</v>
      </c>
      <c r="H39" s="195">
        <f t="shared" si="5"/>
        <v>0</v>
      </c>
      <c r="I39" s="195">
        <f t="shared" si="5"/>
        <v>0</v>
      </c>
      <c r="J39" s="195">
        <f t="shared" si="5"/>
        <v>0</v>
      </c>
      <c r="K39" s="195">
        <f t="shared" si="5"/>
        <v>0</v>
      </c>
      <c r="L39" s="195">
        <f t="shared" si="5"/>
        <v>0</v>
      </c>
      <c r="M39" s="195">
        <f t="shared" si="5"/>
        <v>0</v>
      </c>
      <c r="N39" s="195">
        <f t="shared" si="5"/>
        <v>0</v>
      </c>
      <c r="O39" s="195" t="str">
        <f>IF(R39&gt;1,"入力確認",IF(Q39+S39=12,"入力済","未入力"))</f>
        <v>入力済</v>
      </c>
      <c r="P39" s="197"/>
      <c r="Q39" s="194">
        <f>COUNTIF($C39:$N39,0)</f>
        <v>12</v>
      </c>
      <c r="R39" s="194">
        <f>COUNTIF($C39:$N39,1)</f>
        <v>0</v>
      </c>
      <c r="S39" s="194">
        <f>COUNTIF($C39:$N39,2)</f>
        <v>0</v>
      </c>
    </row>
    <row r="40" spans="2:20" ht="18.75" hidden="1" customHeight="1" x14ac:dyDescent="0.45">
      <c r="B40" s="196" t="s">
        <v>446</v>
      </c>
      <c r="C40" s="195">
        <f>IF(AND(C38=2,C39=2),2,IF(C38&lt;&gt;C39,1,IF(AND(C38=0,C39=0),0,4)))</f>
        <v>0</v>
      </c>
      <c r="D40" s="195">
        <f t="shared" ref="D40" si="6">IF(AND(D38=2,D39=2),2,IF(D38&lt;&gt;D39,1,IF(AND(D38=0,D39=0),0,4)))</f>
        <v>0</v>
      </c>
      <c r="E40" s="195">
        <f t="shared" ref="E40" si="7">IF(AND(E38=2,E39=2),2,IF(E38&lt;&gt;E39,1,IF(AND(E38=0,E39=0),0,4)))</f>
        <v>0</v>
      </c>
      <c r="F40" s="195">
        <f t="shared" ref="F40" si="8">IF(AND(F38=2,F39=2),2,IF(F38&lt;&gt;F39,1,IF(AND(F38=0,F39=0),0,4)))</f>
        <v>0</v>
      </c>
      <c r="G40" s="195">
        <f t="shared" ref="G40" si="9">IF(AND(G38=2,G39=2),2,IF(G38&lt;&gt;G39,1,IF(AND(G38=0,G39=0),0,4)))</f>
        <v>0</v>
      </c>
      <c r="H40" s="195">
        <f t="shared" ref="H40" si="10">IF(AND(H38=2,H39=2),2,IF(H38&lt;&gt;H39,1,IF(AND(H38=0,H39=0),0,4)))</f>
        <v>0</v>
      </c>
      <c r="I40" s="195">
        <f t="shared" ref="I40" si="11">IF(AND(I38=2,I39=2),2,IF(I38&lt;&gt;I39,1,IF(AND(I38=0,I39=0),0,4)))</f>
        <v>0</v>
      </c>
      <c r="J40" s="195">
        <f t="shared" ref="J40" si="12">IF(AND(J38=2,J39=2),2,IF(J38&lt;&gt;J39,1,IF(AND(J38=0,J39=0),0,4)))</f>
        <v>0</v>
      </c>
      <c r="K40" s="195">
        <f t="shared" ref="K40" si="13">IF(AND(K38=2,K39=2),2,IF(K38&lt;&gt;K39,1,IF(AND(K38=0,K39=0),0,4)))</f>
        <v>0</v>
      </c>
      <c r="L40" s="195">
        <f t="shared" ref="L40" si="14">IF(AND(L38=2,L39=2),2,IF(L38&lt;&gt;L39,1,IF(AND(L38=0,L39=0),0,4)))</f>
        <v>0</v>
      </c>
      <c r="M40" s="195">
        <f t="shared" ref="M40" si="15">IF(AND(M38=2,M39=2),2,IF(M38&lt;&gt;M39,1,IF(AND(M38=0,M39=0),0,4)))</f>
        <v>0</v>
      </c>
      <c r="N40" s="195">
        <f t="shared" ref="N40" si="16">IF(AND(N38=2,N39=2),2,IF(N38&lt;&gt;N39,1,IF(AND(N38=0,N39=0),0,4)))</f>
        <v>0</v>
      </c>
      <c r="O40" s="195" t="str">
        <f>IF(R40&gt;1,"入力確認",IF(Q40+S40=12,"入力済","未入力"))</f>
        <v>入力済</v>
      </c>
      <c r="P40" s="197">
        <f>IF(O40="未入力",1,IF(O40="入力済",0,2))</f>
        <v>0</v>
      </c>
      <c r="Q40" s="194">
        <f>COUNTIF($C40:$N40,0)</f>
        <v>12</v>
      </c>
      <c r="R40" s="194">
        <f>COUNTIF($C40:$N40,1)</f>
        <v>0</v>
      </c>
      <c r="S40" s="194">
        <f>COUNTIF($C40:$N40,2)</f>
        <v>0</v>
      </c>
    </row>
    <row r="41" spans="2:20" x14ac:dyDescent="0.45">
      <c r="B41" s="66" t="s">
        <v>521</v>
      </c>
      <c r="E41" s="76"/>
      <c r="F41" s="76"/>
      <c r="G41" s="76"/>
      <c r="H41" s="76"/>
      <c r="O41" s="77"/>
    </row>
    <row r="42" spans="2:20" ht="19.5" thickBot="1" x14ac:dyDescent="0.5">
      <c r="E42" s="76"/>
      <c r="F42" s="76"/>
      <c r="G42" s="76"/>
      <c r="H42" s="76"/>
      <c r="O42" s="77"/>
    </row>
    <row r="43" spans="2:20" ht="20.25" customHeight="1" thickTop="1" thickBot="1" x14ac:dyDescent="0.5">
      <c r="B43" s="64" t="s">
        <v>516</v>
      </c>
      <c r="E43" s="471" t="s">
        <v>89</v>
      </c>
      <c r="F43" s="472"/>
      <c r="G43" s="67"/>
      <c r="H43" s="459" t="s">
        <v>523</v>
      </c>
      <c r="I43" s="459"/>
      <c r="J43" s="460" t="s">
        <v>625</v>
      </c>
      <c r="K43" s="461"/>
      <c r="L43" s="462"/>
    </row>
    <row r="44" spans="2:20" ht="19.5" customHeight="1" thickTop="1" thickBot="1" x14ac:dyDescent="0.5">
      <c r="B44" s="344" t="s">
        <v>599</v>
      </c>
      <c r="C44" s="343" t="s">
        <v>32</v>
      </c>
      <c r="D44" s="69" t="s">
        <v>31</v>
      </c>
      <c r="E44" s="340" t="s">
        <v>30</v>
      </c>
      <c r="F44" s="340" t="s">
        <v>29</v>
      </c>
      <c r="G44" s="69" t="s">
        <v>28</v>
      </c>
      <c r="H44" s="69" t="s">
        <v>27</v>
      </c>
      <c r="I44" s="69" t="s">
        <v>26</v>
      </c>
      <c r="J44" s="340" t="s">
        <v>25</v>
      </c>
      <c r="K44" s="340" t="s">
        <v>24</v>
      </c>
      <c r="L44" s="345" t="s">
        <v>23</v>
      </c>
      <c r="M44" s="69" t="s">
        <v>22</v>
      </c>
      <c r="N44" s="73" t="s">
        <v>21</v>
      </c>
      <c r="O44" s="163"/>
      <c r="P44" s="74"/>
    </row>
    <row r="45" spans="2:20" ht="38.25" customHeight="1" thickTop="1" x14ac:dyDescent="0.45">
      <c r="B45" s="71" t="s">
        <v>414</v>
      </c>
      <c r="C45" s="87" t="s">
        <v>600</v>
      </c>
      <c r="D45" s="87" t="s">
        <v>601</v>
      </c>
      <c r="E45" s="87" t="s">
        <v>602</v>
      </c>
      <c r="F45" s="87" t="s">
        <v>603</v>
      </c>
      <c r="G45" s="87" t="s">
        <v>604</v>
      </c>
      <c r="H45" s="87" t="s">
        <v>605</v>
      </c>
      <c r="I45" s="87" t="s">
        <v>606</v>
      </c>
      <c r="J45" s="87" t="s">
        <v>607</v>
      </c>
      <c r="K45" s="87" t="s">
        <v>608</v>
      </c>
      <c r="L45" s="87" t="s">
        <v>609</v>
      </c>
      <c r="M45" s="87" t="s">
        <v>610</v>
      </c>
      <c r="N45" s="88" t="s">
        <v>611</v>
      </c>
      <c r="O45" s="157" t="s">
        <v>416</v>
      </c>
      <c r="P45" s="162" t="s">
        <v>415</v>
      </c>
    </row>
    <row r="46" spans="2:20" ht="19.5" customHeight="1" x14ac:dyDescent="0.45">
      <c r="B46" s="70" t="s">
        <v>18</v>
      </c>
      <c r="C46" s="454">
        <v>13663</v>
      </c>
      <c r="D46" s="454">
        <v>15008</v>
      </c>
      <c r="E46" s="454">
        <v>16961</v>
      </c>
      <c r="F46" s="454">
        <v>16164</v>
      </c>
      <c r="G46" s="454">
        <v>18522</v>
      </c>
      <c r="H46" s="454">
        <v>13621</v>
      </c>
      <c r="I46" s="454">
        <v>13542</v>
      </c>
      <c r="J46" s="454">
        <v>12063</v>
      </c>
      <c r="K46" s="454">
        <v>15467</v>
      </c>
      <c r="L46" s="454">
        <v>18524</v>
      </c>
      <c r="M46" s="454">
        <v>18504</v>
      </c>
      <c r="N46" s="454">
        <v>16500</v>
      </c>
      <c r="O46" s="466">
        <f>IF(ISERROR(12*SUM(C46:N47)/COUNT(C46:N47)),"",12*SUM(C46:N47)/COUNT(C46:N47))</f>
        <v>188539</v>
      </c>
      <c r="P46" s="473">
        <f>IF(P49=0,"",IF(P51=1,"未入力欄を確認",IF(P49=1,"年度を選択",IF(P49=2,"エネルギー種別を選択",IF($E43="電気",計算!$J$17,IF($E43="都市ガス",計算!$J$18,IF($E43="温水・冷水",計算!$J$19,IF($E43="産業用蒸気",計算!$J$20,IF($E43="産業用以外の蒸気",計算!$J$21,IF($E43="灯油",計算!$J$22,IF($E43="軽油",計算!$J$23,IF($E43="A重油",計算!$J$24,IF($E43="B・Ｃ重油",計算!$J$25,"")))))))))))))</f>
        <v>47.48</v>
      </c>
    </row>
    <row r="47" spans="2:20" ht="19.5" customHeight="1" thickBot="1" x14ac:dyDescent="0.5">
      <c r="B47" s="71" t="str">
        <f>IF(E43="電気","［kWh］",IF(E43="都市ガス","［m3］",IF(OR(E43="温水・冷水",E43="産業用蒸気",E43="産業用以外の蒸気"),"［MJ］","［L］")))</f>
        <v>［kWh］</v>
      </c>
      <c r="C47" s="455"/>
      <c r="D47" s="455"/>
      <c r="E47" s="455"/>
      <c r="F47" s="455"/>
      <c r="G47" s="455"/>
      <c r="H47" s="455"/>
      <c r="I47" s="455"/>
      <c r="J47" s="463"/>
      <c r="K47" s="463"/>
      <c r="L47" s="463"/>
      <c r="M47" s="463"/>
      <c r="N47" s="463"/>
      <c r="O47" s="467"/>
      <c r="P47" s="469"/>
    </row>
    <row r="48" spans="2:20" ht="38.25" customHeight="1" thickTop="1" thickBot="1" x14ac:dyDescent="0.5">
      <c r="B48" s="72" t="s">
        <v>413</v>
      </c>
      <c r="C48" s="164">
        <v>255924</v>
      </c>
      <c r="D48" s="164">
        <v>282654</v>
      </c>
      <c r="E48" s="164">
        <v>319180</v>
      </c>
      <c r="F48" s="164">
        <v>322811</v>
      </c>
      <c r="G48" s="164">
        <v>375423</v>
      </c>
      <c r="H48" s="164">
        <v>292519</v>
      </c>
      <c r="I48" s="164">
        <v>282963</v>
      </c>
      <c r="J48" s="165">
        <v>261350</v>
      </c>
      <c r="K48" s="165">
        <v>332692</v>
      </c>
      <c r="L48" s="165">
        <v>413989</v>
      </c>
      <c r="M48" s="165">
        <v>433012</v>
      </c>
      <c r="N48" s="165">
        <v>397282</v>
      </c>
      <c r="O48" s="75">
        <f>IF(ISERROR(12*SUM(C48:N48)/COUNT(C48:N48)),"",12*SUM(C48:N48)/COUNT(C48:N48))</f>
        <v>3969799</v>
      </c>
      <c r="P48" s="168">
        <f>IF(AND(O46="",O48="",P51=0),0,IF(OR(B44="",B44="年度を選択"),1,IF(OR(E43="",E43="エネルギー種別を選択"),2,4)))</f>
        <v>4</v>
      </c>
      <c r="Q48" s="194"/>
    </row>
    <row r="49" spans="2:20" ht="18.75" hidden="1" customHeight="1" x14ac:dyDescent="0.45">
      <c r="B49" s="196" t="s">
        <v>444</v>
      </c>
      <c r="C49" s="195">
        <f>IF(C45="",2,IF(C45&lt;&gt;"",0,1))</f>
        <v>0</v>
      </c>
      <c r="D49" s="195">
        <f t="shared" ref="D49:L49" si="17">IF(D45="",2,IF(D45&lt;&gt;"",0,1))</f>
        <v>0</v>
      </c>
      <c r="E49" s="195">
        <f t="shared" si="17"/>
        <v>0</v>
      </c>
      <c r="F49" s="195">
        <f t="shared" si="17"/>
        <v>0</v>
      </c>
      <c r="G49" s="195">
        <f t="shared" si="17"/>
        <v>0</v>
      </c>
      <c r="H49" s="195">
        <f t="shared" si="17"/>
        <v>0</v>
      </c>
      <c r="I49" s="195">
        <f t="shared" si="17"/>
        <v>0</v>
      </c>
      <c r="J49" s="195">
        <f t="shared" si="17"/>
        <v>0</v>
      </c>
      <c r="K49" s="195">
        <f t="shared" si="17"/>
        <v>0</v>
      </c>
      <c r="L49" s="195">
        <f t="shared" si="17"/>
        <v>0</v>
      </c>
      <c r="M49" s="195">
        <f>IF(M45="",2,IF(M45&lt;&gt;"",0,1))</f>
        <v>0</v>
      </c>
      <c r="N49" s="195">
        <f t="shared" ref="N49" si="18">IF(N45="",2,IF(N45&lt;&gt;"",0,1))</f>
        <v>0</v>
      </c>
      <c r="O49" s="195" t="str">
        <f>IF(R49&gt;1,"入力確認",IF(Q49=Q50,"入力済","未入力"))</f>
        <v>入力済</v>
      </c>
      <c r="P49" s="197">
        <f>P48</f>
        <v>4</v>
      </c>
      <c r="Q49" s="194">
        <f>COUNTIF($C49:$N49,0)</f>
        <v>12</v>
      </c>
      <c r="R49" s="194">
        <f>COUNTIF($C49:$N49,1)</f>
        <v>0</v>
      </c>
      <c r="S49" s="194">
        <f>COUNTIF($C49:$N49,2)</f>
        <v>0</v>
      </c>
      <c r="T49" s="194"/>
    </row>
    <row r="50" spans="2:20" ht="18.75" hidden="1" customHeight="1" x14ac:dyDescent="0.45">
      <c r="B50" s="196" t="s">
        <v>445</v>
      </c>
      <c r="C50" s="195">
        <f>IF(AND(C46="",C48=""),2,IF(AND(C46&lt;&gt;"",C48&lt;&gt;""),0,1))</f>
        <v>0</v>
      </c>
      <c r="D50" s="195">
        <f t="shared" ref="D50:N50" si="19">IF(AND(D46="",D48=""),2,IF(AND(D46&lt;&gt;"",D48&lt;&gt;""),0,1))</f>
        <v>0</v>
      </c>
      <c r="E50" s="195">
        <f t="shared" si="19"/>
        <v>0</v>
      </c>
      <c r="F50" s="195">
        <f t="shared" si="19"/>
        <v>0</v>
      </c>
      <c r="G50" s="195">
        <f t="shared" si="19"/>
        <v>0</v>
      </c>
      <c r="H50" s="195">
        <f t="shared" si="19"/>
        <v>0</v>
      </c>
      <c r="I50" s="195">
        <f t="shared" si="19"/>
        <v>0</v>
      </c>
      <c r="J50" s="195">
        <f t="shared" si="19"/>
        <v>0</v>
      </c>
      <c r="K50" s="195">
        <f t="shared" si="19"/>
        <v>0</v>
      </c>
      <c r="L50" s="195">
        <f t="shared" si="19"/>
        <v>0</v>
      </c>
      <c r="M50" s="195">
        <f t="shared" si="19"/>
        <v>0</v>
      </c>
      <c r="N50" s="195">
        <f t="shared" si="19"/>
        <v>0</v>
      </c>
      <c r="O50" s="195" t="str">
        <f>IF(R50&gt;1,"入力確認",IF(Q50+S50=12,"入力済","未入力"))</f>
        <v>入力済</v>
      </c>
      <c r="P50" s="197"/>
      <c r="Q50" s="194">
        <f>COUNTIF($C50:$N50,0)</f>
        <v>12</v>
      </c>
      <c r="R50" s="194">
        <f>COUNTIF($C50:$N50,1)</f>
        <v>0</v>
      </c>
      <c r="S50" s="194">
        <f>COUNTIF($C50:$N50,2)</f>
        <v>0</v>
      </c>
    </row>
    <row r="51" spans="2:20" ht="18.75" hidden="1" customHeight="1" x14ac:dyDescent="0.45">
      <c r="B51" s="196" t="s">
        <v>446</v>
      </c>
      <c r="C51" s="195">
        <f>IF(AND(C49=2,C50=2),2,IF(C49&lt;&gt;C50,1,IF(AND(C49=0,C50=0),0,4)))</f>
        <v>0</v>
      </c>
      <c r="D51" s="195">
        <f t="shared" ref="D51" si="20">IF(AND(D49=2,D50=2),2,IF(D49&lt;&gt;D50,1,IF(AND(D49=0,D50=0),0,4)))</f>
        <v>0</v>
      </c>
      <c r="E51" s="195">
        <f t="shared" ref="E51" si="21">IF(AND(E49=2,E50=2),2,IF(E49&lt;&gt;E50,1,IF(AND(E49=0,E50=0),0,4)))</f>
        <v>0</v>
      </c>
      <c r="F51" s="195">
        <f t="shared" ref="F51" si="22">IF(AND(F49=2,F50=2),2,IF(F49&lt;&gt;F50,1,IF(AND(F49=0,F50=0),0,4)))</f>
        <v>0</v>
      </c>
      <c r="G51" s="195">
        <f t="shared" ref="G51" si="23">IF(AND(G49=2,G50=2),2,IF(G49&lt;&gt;G50,1,IF(AND(G49=0,G50=0),0,4)))</f>
        <v>0</v>
      </c>
      <c r="H51" s="195">
        <f t="shared" ref="H51" si="24">IF(AND(H49=2,H50=2),2,IF(H49&lt;&gt;H50,1,IF(AND(H49=0,H50=0),0,4)))</f>
        <v>0</v>
      </c>
      <c r="I51" s="195">
        <f t="shared" ref="I51" si="25">IF(AND(I49=2,I50=2),2,IF(I49&lt;&gt;I50,1,IF(AND(I49=0,I50=0),0,4)))</f>
        <v>0</v>
      </c>
      <c r="J51" s="195">
        <f t="shared" ref="J51" si="26">IF(AND(J49=2,J50=2),2,IF(J49&lt;&gt;J50,1,IF(AND(J49=0,J50=0),0,4)))</f>
        <v>0</v>
      </c>
      <c r="K51" s="195">
        <f t="shared" ref="K51" si="27">IF(AND(K49=2,K50=2),2,IF(K49&lt;&gt;K50,1,IF(AND(K49=0,K50=0),0,4)))</f>
        <v>0</v>
      </c>
      <c r="L51" s="195">
        <f t="shared" ref="L51" si="28">IF(AND(L49=2,L50=2),2,IF(L49&lt;&gt;L50,1,IF(AND(L49=0,L50=0),0,4)))</f>
        <v>0</v>
      </c>
      <c r="M51" s="195">
        <f t="shared" ref="M51" si="29">IF(AND(M49=2,M50=2),2,IF(M49&lt;&gt;M50,1,IF(AND(M49=0,M50=0),0,4)))</f>
        <v>0</v>
      </c>
      <c r="N51" s="195">
        <f t="shared" ref="N51" si="30">IF(AND(N49=2,N50=2),2,IF(N49&lt;&gt;N50,1,IF(AND(N49=0,N50=0),0,4)))</f>
        <v>0</v>
      </c>
      <c r="O51" s="195" t="str">
        <f>IF(R51&gt;1,"入力確認",IF(Q51+S51=12,"入力済","未入力"))</f>
        <v>入力済</v>
      </c>
      <c r="P51" s="197">
        <f>IF(O51="未入力",1,IF(O51="入力済",0,2))</f>
        <v>0</v>
      </c>
      <c r="Q51" s="194">
        <f>COUNTIF($C51:$N51,0)</f>
        <v>12</v>
      </c>
      <c r="R51" s="194">
        <f>COUNTIF($C51:$N51,1)</f>
        <v>0</v>
      </c>
      <c r="S51" s="194">
        <f>COUNTIF($C51:$N51,2)</f>
        <v>0</v>
      </c>
    </row>
    <row r="52" spans="2:20" x14ac:dyDescent="0.45">
      <c r="E52" s="76"/>
      <c r="F52" s="76"/>
      <c r="G52" s="76"/>
      <c r="H52" s="76"/>
      <c r="O52" s="77"/>
    </row>
    <row r="53" spans="2:20" ht="19.5" thickBot="1" x14ac:dyDescent="0.5">
      <c r="E53" s="76"/>
      <c r="F53" s="76"/>
      <c r="G53" s="76"/>
      <c r="H53" s="76"/>
      <c r="O53" s="77"/>
    </row>
    <row r="54" spans="2:20" ht="20.25" customHeight="1" thickTop="1" thickBot="1" x14ac:dyDescent="0.5">
      <c r="B54" s="64" t="s">
        <v>517</v>
      </c>
      <c r="E54" s="471" t="s">
        <v>441</v>
      </c>
      <c r="F54" s="472"/>
      <c r="G54" s="67"/>
      <c r="H54" s="459" t="s">
        <v>523</v>
      </c>
      <c r="I54" s="459"/>
      <c r="J54" s="470"/>
      <c r="K54" s="470"/>
      <c r="L54" s="470"/>
    </row>
    <row r="55" spans="2:20" ht="19.5" customHeight="1" thickTop="1" thickBot="1" x14ac:dyDescent="0.5">
      <c r="B55" s="344" t="s">
        <v>599</v>
      </c>
      <c r="C55" s="343" t="s">
        <v>32</v>
      </c>
      <c r="D55" s="69" t="s">
        <v>31</v>
      </c>
      <c r="E55" s="340" t="s">
        <v>30</v>
      </c>
      <c r="F55" s="340" t="s">
        <v>29</v>
      </c>
      <c r="G55" s="69" t="s">
        <v>28</v>
      </c>
      <c r="H55" s="69" t="s">
        <v>27</v>
      </c>
      <c r="I55" s="69" t="s">
        <v>26</v>
      </c>
      <c r="J55" s="69" t="s">
        <v>25</v>
      </c>
      <c r="K55" s="69" t="s">
        <v>24</v>
      </c>
      <c r="L55" s="68" t="s">
        <v>23</v>
      </c>
      <c r="M55" s="69" t="s">
        <v>22</v>
      </c>
      <c r="N55" s="73" t="s">
        <v>21</v>
      </c>
      <c r="O55" s="163"/>
      <c r="P55" s="74"/>
    </row>
    <row r="56" spans="2:20" ht="38.25" customHeight="1" thickTop="1" x14ac:dyDescent="0.45">
      <c r="B56" s="71" t="s">
        <v>414</v>
      </c>
      <c r="C56" s="87" t="s">
        <v>612</v>
      </c>
      <c r="D56" s="87" t="s">
        <v>613</v>
      </c>
      <c r="E56" s="87" t="s">
        <v>614</v>
      </c>
      <c r="F56" s="87" t="s">
        <v>615</v>
      </c>
      <c r="G56" s="87" t="s">
        <v>616</v>
      </c>
      <c r="H56" s="87" t="s">
        <v>617</v>
      </c>
      <c r="I56" s="87" t="s">
        <v>618</v>
      </c>
      <c r="J56" s="87" t="s">
        <v>619</v>
      </c>
      <c r="K56" s="87" t="s">
        <v>620</v>
      </c>
      <c r="L56" s="227" t="s">
        <v>621</v>
      </c>
      <c r="M56" s="87" t="s">
        <v>622</v>
      </c>
      <c r="N56" s="88" t="s">
        <v>623</v>
      </c>
      <c r="O56" s="157" t="s">
        <v>416</v>
      </c>
      <c r="P56" s="162" t="s">
        <v>415</v>
      </c>
    </row>
    <row r="57" spans="2:20" ht="19.5" customHeight="1" x14ac:dyDescent="0.45">
      <c r="B57" s="70" t="s">
        <v>18</v>
      </c>
      <c r="C57" s="454">
        <v>247</v>
      </c>
      <c r="D57" s="454">
        <v>269</v>
      </c>
      <c r="E57" s="454">
        <v>230</v>
      </c>
      <c r="F57" s="454">
        <v>222</v>
      </c>
      <c r="G57" s="454">
        <v>266</v>
      </c>
      <c r="H57" s="454">
        <v>224</v>
      </c>
      <c r="I57" s="454">
        <v>328</v>
      </c>
      <c r="J57" s="454">
        <v>369</v>
      </c>
      <c r="K57" s="454">
        <v>394</v>
      </c>
      <c r="L57" s="454">
        <v>378</v>
      </c>
      <c r="M57" s="454">
        <v>342</v>
      </c>
      <c r="N57" s="474">
        <v>348</v>
      </c>
      <c r="O57" s="466">
        <f>IF(ISERROR(12*SUM(C57:N58)/COUNT(C57:N58)),"",12*SUM(C57:N58)/COUNT(C57:N58))</f>
        <v>3617</v>
      </c>
      <c r="P57" s="473">
        <f>IF(P60=0,"",IF(P62=1,"未入力欄を確認",IF(P60=1,"年度を選択",IF(P60=2,"エネルギー種別を選択",IF($E54="電気",計算!$J$28,IF($E54="都市ガス",計算!$J$29,IF($E54="温水・冷水",計算!$J$30,IF($E54="産業用蒸気",計算!$J$31,IF($E54="産業用以外の蒸気",計算!$J$32,IF($E54="灯油",計算!$J$33,IF($E54="軽油",計算!$J$34,IF($E54="A重油",計算!$J$35,IF($E54="B・Ｃ重油",計算!$J$36,"")))))))))))))</f>
        <v>4.0599999999999996</v>
      </c>
    </row>
    <row r="58" spans="2:20" ht="19.5" customHeight="1" thickBot="1" x14ac:dyDescent="0.5">
      <c r="B58" s="71" t="str">
        <f>IF(E54="電気","［kWh］",IF(E54="都市ガス","［m3］",IF(OR(E54="温水・冷水",E54="産業用蒸気",E54="産業用以外の蒸気"),"［MJ］","［L］")))</f>
        <v>［m3］</v>
      </c>
      <c r="C58" s="455"/>
      <c r="D58" s="455"/>
      <c r="E58" s="455"/>
      <c r="F58" s="455"/>
      <c r="G58" s="455"/>
      <c r="H58" s="455"/>
      <c r="I58" s="455"/>
      <c r="J58" s="463"/>
      <c r="K58" s="463"/>
      <c r="L58" s="463"/>
      <c r="M58" s="463"/>
      <c r="N58" s="475"/>
      <c r="O58" s="467"/>
      <c r="P58" s="469"/>
    </row>
    <row r="59" spans="2:20" ht="38.25" customHeight="1" thickTop="1" thickBot="1" x14ac:dyDescent="0.5">
      <c r="B59" s="72" t="s">
        <v>413</v>
      </c>
      <c r="C59" s="164">
        <v>31853</v>
      </c>
      <c r="D59" s="164">
        <v>34521</v>
      </c>
      <c r="E59" s="164">
        <v>29770</v>
      </c>
      <c r="F59" s="164">
        <v>28742</v>
      </c>
      <c r="G59" s="164">
        <v>33968</v>
      </c>
      <c r="H59" s="164">
        <v>28424</v>
      </c>
      <c r="I59" s="164">
        <v>39516</v>
      </c>
      <c r="J59" s="165">
        <v>42279</v>
      </c>
      <c r="K59" s="165">
        <v>43226</v>
      </c>
      <c r="L59" s="165">
        <v>40671</v>
      </c>
      <c r="M59" s="165">
        <v>37189</v>
      </c>
      <c r="N59" s="166">
        <v>38804</v>
      </c>
      <c r="O59" s="75">
        <f>IF(ISERROR(12*SUM(C59:N59)/COUNT(C59:N59)),"",12*SUM(C59:N59)/COUNT(C59:N59))</f>
        <v>428963</v>
      </c>
      <c r="P59" s="112">
        <f>IF(AND(O57="",O59="",P62=0),0,IF(OR(B55="",B55="年度を選択"),1,IF(OR(E54="",E54="エネルギー種別を選択"),2,4)))</f>
        <v>4</v>
      </c>
      <c r="Q59" s="194"/>
    </row>
    <row r="60" spans="2:20" ht="18.75" hidden="1" customHeight="1" x14ac:dyDescent="0.45">
      <c r="B60" s="196" t="s">
        <v>444</v>
      </c>
      <c r="C60" s="195">
        <f>IF(C56="",2,IF(C56&lt;&gt;"",0,1))</f>
        <v>0</v>
      </c>
      <c r="D60" s="195">
        <f t="shared" ref="D60:L60" si="31">IF(D56="",2,IF(D56&lt;&gt;"",0,1))</f>
        <v>0</v>
      </c>
      <c r="E60" s="195">
        <f t="shared" si="31"/>
        <v>0</v>
      </c>
      <c r="F60" s="195">
        <f t="shared" si="31"/>
        <v>0</v>
      </c>
      <c r="G60" s="195">
        <f t="shared" si="31"/>
        <v>0</v>
      </c>
      <c r="H60" s="195">
        <f t="shared" si="31"/>
        <v>0</v>
      </c>
      <c r="I60" s="195">
        <f t="shared" si="31"/>
        <v>0</v>
      </c>
      <c r="J60" s="195">
        <f t="shared" si="31"/>
        <v>0</v>
      </c>
      <c r="K60" s="195">
        <f t="shared" si="31"/>
        <v>0</v>
      </c>
      <c r="L60" s="195">
        <f t="shared" si="31"/>
        <v>0</v>
      </c>
      <c r="M60" s="195">
        <f>IF(M56="",2,IF(M56&lt;&gt;"",0,1))</f>
        <v>0</v>
      </c>
      <c r="N60" s="195">
        <f t="shared" ref="N60" si="32">IF(N56="",2,IF(N56&lt;&gt;"",0,1))</f>
        <v>0</v>
      </c>
      <c r="O60" s="195" t="str">
        <f>IF(R60&gt;1,"入力確認",IF(Q60=Q61,"入力済","未入力"))</f>
        <v>入力済</v>
      </c>
      <c r="P60" s="197">
        <f>P59</f>
        <v>4</v>
      </c>
      <c r="Q60" s="194">
        <f>COUNTIF($C60:$N60,0)</f>
        <v>12</v>
      </c>
      <c r="R60" s="194">
        <f>COUNTIF($C60:$N60,1)</f>
        <v>0</v>
      </c>
      <c r="S60" s="194">
        <f>COUNTIF($C60:$N60,2)</f>
        <v>0</v>
      </c>
      <c r="T60" s="194"/>
    </row>
    <row r="61" spans="2:20" ht="18.75" hidden="1" customHeight="1" x14ac:dyDescent="0.45">
      <c r="B61" s="196" t="s">
        <v>445</v>
      </c>
      <c r="C61" s="195">
        <f>IF(AND(C57="",C59=""),2,IF(AND(C57&lt;&gt;"",C59&lt;&gt;""),0,1))</f>
        <v>0</v>
      </c>
      <c r="D61" s="195">
        <f t="shared" ref="D61:N61" si="33">IF(AND(D57="",D59=""),2,IF(AND(D57&lt;&gt;"",D59&lt;&gt;""),0,1))</f>
        <v>0</v>
      </c>
      <c r="E61" s="195">
        <f t="shared" si="33"/>
        <v>0</v>
      </c>
      <c r="F61" s="195">
        <f t="shared" si="33"/>
        <v>0</v>
      </c>
      <c r="G61" s="195">
        <f t="shared" si="33"/>
        <v>0</v>
      </c>
      <c r="H61" s="195">
        <f t="shared" si="33"/>
        <v>0</v>
      </c>
      <c r="I61" s="195">
        <f t="shared" si="33"/>
        <v>0</v>
      </c>
      <c r="J61" s="195">
        <f t="shared" si="33"/>
        <v>0</v>
      </c>
      <c r="K61" s="195">
        <f t="shared" si="33"/>
        <v>0</v>
      </c>
      <c r="L61" s="195">
        <f t="shared" si="33"/>
        <v>0</v>
      </c>
      <c r="M61" s="195">
        <f t="shared" si="33"/>
        <v>0</v>
      </c>
      <c r="N61" s="195">
        <f t="shared" si="33"/>
        <v>0</v>
      </c>
      <c r="O61" s="195" t="str">
        <f>IF(R61&gt;1,"入力確認",IF(Q61+S61=12,"入力済","未入力"))</f>
        <v>入力済</v>
      </c>
      <c r="P61" s="197"/>
      <c r="Q61" s="194">
        <f>COUNTIF($C61:$N61,0)</f>
        <v>12</v>
      </c>
      <c r="R61" s="194">
        <f>COUNTIF($C61:$N61,1)</f>
        <v>0</v>
      </c>
      <c r="S61" s="194">
        <f>COUNTIF($C61:$N61,2)</f>
        <v>0</v>
      </c>
    </row>
    <row r="62" spans="2:20" ht="18.75" hidden="1" customHeight="1" x14ac:dyDescent="0.45">
      <c r="B62" s="196" t="s">
        <v>446</v>
      </c>
      <c r="C62" s="195">
        <f>IF(AND(C60=2,C61=2),2,IF(C60&lt;&gt;C61,1,IF(AND(C60=0,C61=0),0,4)))</f>
        <v>0</v>
      </c>
      <c r="D62" s="195">
        <f t="shared" ref="D62" si="34">IF(AND(D60=2,D61=2),2,IF(D60&lt;&gt;D61,1,IF(AND(D60=0,D61=0),0,4)))</f>
        <v>0</v>
      </c>
      <c r="E62" s="195">
        <f t="shared" ref="E62" si="35">IF(AND(E60=2,E61=2),2,IF(E60&lt;&gt;E61,1,IF(AND(E60=0,E61=0),0,4)))</f>
        <v>0</v>
      </c>
      <c r="F62" s="195">
        <f t="shared" ref="F62" si="36">IF(AND(F60=2,F61=2),2,IF(F60&lt;&gt;F61,1,IF(AND(F60=0,F61=0),0,4)))</f>
        <v>0</v>
      </c>
      <c r="G62" s="195">
        <f t="shared" ref="G62" si="37">IF(AND(G60=2,G61=2),2,IF(G60&lt;&gt;G61,1,IF(AND(G60=0,G61=0),0,4)))</f>
        <v>0</v>
      </c>
      <c r="H62" s="195">
        <f t="shared" ref="H62" si="38">IF(AND(H60=2,H61=2),2,IF(H60&lt;&gt;H61,1,IF(AND(H60=0,H61=0),0,4)))</f>
        <v>0</v>
      </c>
      <c r="I62" s="195">
        <f t="shared" ref="I62" si="39">IF(AND(I60=2,I61=2),2,IF(I60&lt;&gt;I61,1,IF(AND(I60=0,I61=0),0,4)))</f>
        <v>0</v>
      </c>
      <c r="J62" s="195">
        <f t="shared" ref="J62" si="40">IF(AND(J60=2,J61=2),2,IF(J60&lt;&gt;J61,1,IF(AND(J60=0,J61=0),0,4)))</f>
        <v>0</v>
      </c>
      <c r="K62" s="195">
        <f t="shared" ref="K62" si="41">IF(AND(K60=2,K61=2),2,IF(K60&lt;&gt;K61,1,IF(AND(K60=0,K61=0),0,4)))</f>
        <v>0</v>
      </c>
      <c r="L62" s="195">
        <f t="shared" ref="L62" si="42">IF(AND(L60=2,L61=2),2,IF(L60&lt;&gt;L61,1,IF(AND(L60=0,L61=0),0,4)))</f>
        <v>0</v>
      </c>
      <c r="M62" s="195">
        <f t="shared" ref="M62" si="43">IF(AND(M60=2,M61=2),2,IF(M60&lt;&gt;M61,1,IF(AND(M60=0,M61=0),0,4)))</f>
        <v>0</v>
      </c>
      <c r="N62" s="195">
        <f t="shared" ref="N62" si="44">IF(AND(N60=2,N61=2),2,IF(N60&lt;&gt;N61,1,IF(AND(N60=0,N61=0),0,4)))</f>
        <v>0</v>
      </c>
      <c r="O62" s="195" t="str">
        <f>IF(R62&gt;1,"入力確認",IF(Q62+S62=12,"入力済","未入力"))</f>
        <v>入力済</v>
      </c>
      <c r="P62" s="197">
        <f>IF(O62="未入力",1,IF(O62="入力済",0,2))</f>
        <v>0</v>
      </c>
      <c r="Q62" s="194">
        <f>COUNTIF($C62:$N62,0)</f>
        <v>12</v>
      </c>
      <c r="R62" s="194">
        <f>COUNTIF($C62:$N62,1)</f>
        <v>0</v>
      </c>
      <c r="S62" s="194">
        <f>COUNTIF($C62:$N62,2)</f>
        <v>0</v>
      </c>
    </row>
    <row r="63" spans="2:20" x14ac:dyDescent="0.45">
      <c r="E63" s="76"/>
      <c r="F63" s="76"/>
      <c r="G63" s="76"/>
      <c r="H63" s="76"/>
      <c r="O63" s="77"/>
    </row>
    <row r="64" spans="2:20" x14ac:dyDescent="0.45">
      <c r="E64" s="76"/>
      <c r="F64" s="76"/>
      <c r="G64" s="76"/>
      <c r="H64" s="76"/>
      <c r="O64" s="77"/>
    </row>
    <row r="65" spans="2:20" ht="20.25" customHeight="1" thickBot="1" x14ac:dyDescent="0.5">
      <c r="B65" s="64" t="s">
        <v>518</v>
      </c>
      <c r="E65" s="476" t="s">
        <v>259</v>
      </c>
      <c r="F65" s="476"/>
      <c r="G65" s="67"/>
      <c r="H65" s="459" t="s">
        <v>523</v>
      </c>
      <c r="I65" s="459"/>
      <c r="J65" s="470"/>
      <c r="K65" s="470"/>
      <c r="L65" s="470"/>
    </row>
    <row r="66" spans="2:20" ht="19.5" customHeight="1" x14ac:dyDescent="0.45">
      <c r="B66" s="4" t="s">
        <v>535</v>
      </c>
      <c r="C66" s="68" t="s">
        <v>32</v>
      </c>
      <c r="D66" s="69" t="s">
        <v>31</v>
      </c>
      <c r="E66" s="69" t="s">
        <v>30</v>
      </c>
      <c r="F66" s="69" t="s">
        <v>29</v>
      </c>
      <c r="G66" s="69" t="s">
        <v>28</v>
      </c>
      <c r="H66" s="69" t="s">
        <v>27</v>
      </c>
      <c r="I66" s="69" t="s">
        <v>26</v>
      </c>
      <c r="J66" s="69" t="s">
        <v>25</v>
      </c>
      <c r="K66" s="69" t="s">
        <v>24</v>
      </c>
      <c r="L66" s="68" t="s">
        <v>23</v>
      </c>
      <c r="M66" s="69" t="s">
        <v>22</v>
      </c>
      <c r="N66" s="73" t="s">
        <v>21</v>
      </c>
      <c r="O66" s="163"/>
      <c r="P66" s="74"/>
    </row>
    <row r="67" spans="2:20" ht="38.25" customHeight="1" x14ac:dyDescent="0.45">
      <c r="B67" s="71" t="s">
        <v>414</v>
      </c>
      <c r="C67" s="87"/>
      <c r="D67" s="87"/>
      <c r="E67" s="87"/>
      <c r="F67" s="87"/>
      <c r="G67" s="87"/>
      <c r="H67" s="87"/>
      <c r="I67" s="87"/>
      <c r="J67" s="87"/>
      <c r="K67" s="87"/>
      <c r="L67" s="87"/>
      <c r="M67" s="87"/>
      <c r="N67" s="88"/>
      <c r="O67" s="157" t="s">
        <v>416</v>
      </c>
      <c r="P67" s="162" t="s">
        <v>415</v>
      </c>
    </row>
    <row r="68" spans="2:20" ht="19.5" customHeight="1" x14ac:dyDescent="0.45">
      <c r="B68" s="70" t="s">
        <v>18</v>
      </c>
      <c r="C68" s="454"/>
      <c r="D68" s="454"/>
      <c r="E68" s="454"/>
      <c r="F68" s="454"/>
      <c r="G68" s="454"/>
      <c r="H68" s="454"/>
      <c r="I68" s="454"/>
      <c r="J68" s="454"/>
      <c r="K68" s="454"/>
      <c r="L68" s="454"/>
      <c r="M68" s="454"/>
      <c r="N68" s="454"/>
      <c r="O68" s="466" t="str">
        <f>IF(ISERROR(12*SUM(C68:N69)/COUNT(C68:N69)),"",12*SUM(C68:N69)/COUNT(C68:N69))</f>
        <v/>
      </c>
      <c r="P68" s="473" t="str">
        <f>IF(P71=0,"",IF(P73=1,"未入力欄を確認",IF(P71=1,"年度を選択",IF(P71=2,"エネルギー種別を選択",IF($E65="電気",計算!$J$39,IF($E65="都市ガス",計算!$J$40,IF($E65="温水・冷水",計算!$J$41,IF($E65="産業用蒸気",計算!$J$42,IF($E65="産業用以外の蒸気",計算!$J$43,IF($E65="灯油",計算!$J$44,IF($E65="軽油",計算!$J$45,IF($E65="A重油",計算!$J$46,IF($E65="B・Ｃ重油",計算!$J$47,"")))))))))))))</f>
        <v/>
      </c>
    </row>
    <row r="69" spans="2:20" ht="19.5" customHeight="1" thickBot="1" x14ac:dyDescent="0.5">
      <c r="B69" s="71" t="str">
        <f>IF(E65="電気","［kWh］",IF(E65="都市ガス","［m3］",IF(OR(E65="温水・冷水",E65="産業用蒸気",E65="産業用以外の蒸気"),"［MJ］","［L］")))</f>
        <v>［L］</v>
      </c>
      <c r="C69" s="455"/>
      <c r="D69" s="455"/>
      <c r="E69" s="455"/>
      <c r="F69" s="455"/>
      <c r="G69" s="455"/>
      <c r="H69" s="455"/>
      <c r="I69" s="455"/>
      <c r="J69" s="463"/>
      <c r="K69" s="463"/>
      <c r="L69" s="463"/>
      <c r="M69" s="463"/>
      <c r="N69" s="463"/>
      <c r="O69" s="467"/>
      <c r="P69" s="469"/>
    </row>
    <row r="70" spans="2:20" ht="38.25" customHeight="1" thickTop="1" thickBot="1" x14ac:dyDescent="0.5">
      <c r="B70" s="72" t="s">
        <v>413</v>
      </c>
      <c r="C70" s="164"/>
      <c r="D70" s="164"/>
      <c r="E70" s="164"/>
      <c r="F70" s="164"/>
      <c r="G70" s="164"/>
      <c r="H70" s="164"/>
      <c r="I70" s="164"/>
      <c r="J70" s="165"/>
      <c r="K70" s="165"/>
      <c r="L70" s="165"/>
      <c r="M70" s="165"/>
      <c r="N70" s="165"/>
      <c r="O70" s="75" t="str">
        <f>IF(ISERROR(12*SUM(C70:N70)/COUNT(C70:N70)),"",12*SUM(C70:N70)/COUNT(C70:N70))</f>
        <v/>
      </c>
      <c r="P70" s="112">
        <f>IF(AND(O68="",O70="",P73=0),0,IF(OR(B66="",B66="年度を選択"),1,IF(OR(E65="",E65="エネルギー種別を選択"),2,4)))</f>
        <v>0</v>
      </c>
      <c r="Q70" s="194"/>
    </row>
    <row r="71" spans="2:20" ht="18.75" hidden="1" customHeight="1" x14ac:dyDescent="0.45">
      <c r="B71" s="196" t="s">
        <v>444</v>
      </c>
      <c r="C71" s="195">
        <f>IF(C67="",2,IF(C67&lt;&gt;"",0,1))</f>
        <v>2</v>
      </c>
      <c r="D71" s="195">
        <f t="shared" ref="D71:L71" si="45">IF(D67="",2,IF(D67&lt;&gt;"",0,1))</f>
        <v>2</v>
      </c>
      <c r="E71" s="195">
        <f t="shared" si="45"/>
        <v>2</v>
      </c>
      <c r="F71" s="195">
        <f t="shared" si="45"/>
        <v>2</v>
      </c>
      <c r="G71" s="195">
        <f t="shared" si="45"/>
        <v>2</v>
      </c>
      <c r="H71" s="195">
        <f t="shared" si="45"/>
        <v>2</v>
      </c>
      <c r="I71" s="195">
        <f t="shared" si="45"/>
        <v>2</v>
      </c>
      <c r="J71" s="195">
        <f t="shared" si="45"/>
        <v>2</v>
      </c>
      <c r="K71" s="195">
        <f t="shared" si="45"/>
        <v>2</v>
      </c>
      <c r="L71" s="195">
        <f t="shared" si="45"/>
        <v>2</v>
      </c>
      <c r="M71" s="195">
        <f>IF(M67="",2,IF(M67&lt;&gt;"",0,1))</f>
        <v>2</v>
      </c>
      <c r="N71" s="195">
        <f t="shared" ref="N71" si="46">IF(N67="",2,IF(N67&lt;&gt;"",0,1))</f>
        <v>2</v>
      </c>
      <c r="O71" s="195" t="str">
        <f>IF(R71&gt;1,"入力確認",IF(Q71=Q72,"入力済","未入力"))</f>
        <v>入力済</v>
      </c>
      <c r="P71" s="197">
        <f>P70</f>
        <v>0</v>
      </c>
      <c r="Q71" s="194">
        <f>COUNTIF($C71:$N71,0)</f>
        <v>0</v>
      </c>
      <c r="R71" s="194">
        <f>COUNTIF($C71:$N71,1)</f>
        <v>0</v>
      </c>
      <c r="S71" s="194">
        <f>COUNTIF($C71:$N71,2)</f>
        <v>12</v>
      </c>
      <c r="T71" s="194"/>
    </row>
    <row r="72" spans="2:20" ht="18.75" hidden="1" customHeight="1" x14ac:dyDescent="0.45">
      <c r="B72" s="196" t="s">
        <v>445</v>
      </c>
      <c r="C72" s="195">
        <f>IF(AND(C68="",C70=""),2,IF(AND(C68&lt;&gt;"",C70&lt;&gt;""),0,1))</f>
        <v>2</v>
      </c>
      <c r="D72" s="195">
        <f t="shared" ref="D72:N72" si="47">IF(AND(D68="",D70=""),2,IF(AND(D68&lt;&gt;"",D70&lt;&gt;""),0,1))</f>
        <v>2</v>
      </c>
      <c r="E72" s="195">
        <f t="shared" si="47"/>
        <v>2</v>
      </c>
      <c r="F72" s="195">
        <f t="shared" si="47"/>
        <v>2</v>
      </c>
      <c r="G72" s="195">
        <f t="shared" si="47"/>
        <v>2</v>
      </c>
      <c r="H72" s="195">
        <f t="shared" si="47"/>
        <v>2</v>
      </c>
      <c r="I72" s="195">
        <f t="shared" si="47"/>
        <v>2</v>
      </c>
      <c r="J72" s="195">
        <f t="shared" si="47"/>
        <v>2</v>
      </c>
      <c r="K72" s="195">
        <f t="shared" si="47"/>
        <v>2</v>
      </c>
      <c r="L72" s="195">
        <f t="shared" si="47"/>
        <v>2</v>
      </c>
      <c r="M72" s="195">
        <f t="shared" si="47"/>
        <v>2</v>
      </c>
      <c r="N72" s="195">
        <f t="shared" si="47"/>
        <v>2</v>
      </c>
      <c r="O72" s="195" t="str">
        <f>IF(R72&gt;1,"入力確認",IF(Q72+S72=12,"入力済","未入力"))</f>
        <v>入力済</v>
      </c>
      <c r="P72" s="197"/>
      <c r="Q72" s="194">
        <f>COUNTIF($C72:$N72,0)</f>
        <v>0</v>
      </c>
      <c r="R72" s="194">
        <f>COUNTIF($C72:$N72,1)</f>
        <v>0</v>
      </c>
      <c r="S72" s="194">
        <f>COUNTIF($C72:$N72,2)</f>
        <v>12</v>
      </c>
    </row>
    <row r="73" spans="2:20" ht="18.75" hidden="1" customHeight="1" x14ac:dyDescent="0.45">
      <c r="B73" s="196" t="s">
        <v>446</v>
      </c>
      <c r="C73" s="195">
        <f>IF(AND(C71=2,C72=2),2,IF(C71&lt;&gt;C72,1,IF(AND(C71=0,C72=0),0,4)))</f>
        <v>2</v>
      </c>
      <c r="D73" s="195">
        <f t="shared" ref="D73" si="48">IF(AND(D71=2,D72=2),2,IF(D71&lt;&gt;D72,1,IF(AND(D71=0,D72=0),0,4)))</f>
        <v>2</v>
      </c>
      <c r="E73" s="195">
        <f t="shared" ref="E73" si="49">IF(AND(E71=2,E72=2),2,IF(E71&lt;&gt;E72,1,IF(AND(E71=0,E72=0),0,4)))</f>
        <v>2</v>
      </c>
      <c r="F73" s="195">
        <f t="shared" ref="F73" si="50">IF(AND(F71=2,F72=2),2,IF(F71&lt;&gt;F72,1,IF(AND(F71=0,F72=0),0,4)))</f>
        <v>2</v>
      </c>
      <c r="G73" s="195">
        <f t="shared" ref="G73" si="51">IF(AND(G71=2,G72=2),2,IF(G71&lt;&gt;G72,1,IF(AND(G71=0,G72=0),0,4)))</f>
        <v>2</v>
      </c>
      <c r="H73" s="195">
        <f t="shared" ref="H73" si="52">IF(AND(H71=2,H72=2),2,IF(H71&lt;&gt;H72,1,IF(AND(H71=0,H72=0),0,4)))</f>
        <v>2</v>
      </c>
      <c r="I73" s="195">
        <f t="shared" ref="I73" si="53">IF(AND(I71=2,I72=2),2,IF(I71&lt;&gt;I72,1,IF(AND(I71=0,I72=0),0,4)))</f>
        <v>2</v>
      </c>
      <c r="J73" s="195">
        <f t="shared" ref="J73" si="54">IF(AND(J71=2,J72=2),2,IF(J71&lt;&gt;J72,1,IF(AND(J71=0,J72=0),0,4)))</f>
        <v>2</v>
      </c>
      <c r="K73" s="195">
        <f t="shared" ref="K73" si="55">IF(AND(K71=2,K72=2),2,IF(K71&lt;&gt;K72,1,IF(AND(K71=0,K72=0),0,4)))</f>
        <v>2</v>
      </c>
      <c r="L73" s="195">
        <f t="shared" ref="L73" si="56">IF(AND(L71=2,L72=2),2,IF(L71&lt;&gt;L72,1,IF(AND(L71=0,L72=0),0,4)))</f>
        <v>2</v>
      </c>
      <c r="M73" s="195">
        <f t="shared" ref="M73" si="57">IF(AND(M71=2,M72=2),2,IF(M71&lt;&gt;M72,1,IF(AND(M71=0,M72=0),0,4)))</f>
        <v>2</v>
      </c>
      <c r="N73" s="195">
        <f t="shared" ref="N73" si="58">IF(AND(N71=2,N72=2),2,IF(N71&lt;&gt;N72,1,IF(AND(N71=0,N72=0),0,4)))</f>
        <v>2</v>
      </c>
      <c r="O73" s="195" t="str">
        <f>IF(R73&gt;1,"入力確認",IF(Q73+S73=12,"入力済","未入力"))</f>
        <v>入力済</v>
      </c>
      <c r="P73" s="197">
        <f>IF(O73="未入力",1,IF(O73="入力済",0,2))</f>
        <v>0</v>
      </c>
      <c r="Q73" s="194">
        <f>COUNTIF($C73:$N73,0)</f>
        <v>0</v>
      </c>
      <c r="R73" s="194">
        <f>COUNTIF($C73:$N73,1)</f>
        <v>0</v>
      </c>
      <c r="S73" s="194">
        <f>COUNTIF($C73:$N73,2)</f>
        <v>12</v>
      </c>
    </row>
    <row r="74" spans="2:20" x14ac:dyDescent="0.45">
      <c r="E74" s="76"/>
      <c r="F74" s="76"/>
      <c r="G74" s="76"/>
      <c r="H74" s="76"/>
      <c r="O74" s="77"/>
    </row>
    <row r="75" spans="2:20" x14ac:dyDescent="0.45">
      <c r="E75" s="76"/>
      <c r="F75" s="76"/>
      <c r="G75" s="76"/>
      <c r="H75" s="76"/>
      <c r="O75" s="77"/>
    </row>
    <row r="76" spans="2:20" ht="20.25" customHeight="1" thickBot="1" x14ac:dyDescent="0.5">
      <c r="B76" s="64" t="s">
        <v>519</v>
      </c>
      <c r="E76" s="476" t="s">
        <v>259</v>
      </c>
      <c r="F76" s="476"/>
      <c r="G76" s="67"/>
      <c r="H76" s="459" t="s">
        <v>523</v>
      </c>
      <c r="I76" s="459"/>
      <c r="J76" s="470"/>
      <c r="K76" s="470"/>
      <c r="L76" s="470"/>
    </row>
    <row r="77" spans="2:20" ht="19.5" customHeight="1" x14ac:dyDescent="0.45">
      <c r="B77" s="4" t="s">
        <v>535</v>
      </c>
      <c r="C77" s="68" t="s">
        <v>32</v>
      </c>
      <c r="D77" s="69" t="s">
        <v>31</v>
      </c>
      <c r="E77" s="69" t="s">
        <v>30</v>
      </c>
      <c r="F77" s="69" t="s">
        <v>29</v>
      </c>
      <c r="G77" s="69" t="s">
        <v>28</v>
      </c>
      <c r="H77" s="69" t="s">
        <v>27</v>
      </c>
      <c r="I77" s="69" t="s">
        <v>26</v>
      </c>
      <c r="J77" s="69" t="s">
        <v>25</v>
      </c>
      <c r="K77" s="69" t="s">
        <v>24</v>
      </c>
      <c r="L77" s="68" t="s">
        <v>23</v>
      </c>
      <c r="M77" s="69" t="s">
        <v>22</v>
      </c>
      <c r="N77" s="73" t="s">
        <v>21</v>
      </c>
      <c r="O77" s="163"/>
      <c r="P77" s="74"/>
    </row>
    <row r="78" spans="2:20" ht="38.25" customHeight="1" x14ac:dyDescent="0.45">
      <c r="B78" s="71" t="s">
        <v>414</v>
      </c>
      <c r="C78" s="87"/>
      <c r="D78" s="87"/>
      <c r="E78" s="87"/>
      <c r="F78" s="87"/>
      <c r="G78" s="87"/>
      <c r="H78" s="87"/>
      <c r="I78" s="87"/>
      <c r="J78" s="87"/>
      <c r="K78" s="87"/>
      <c r="L78" s="87"/>
      <c r="M78" s="87"/>
      <c r="N78" s="88"/>
      <c r="O78" s="157" t="s">
        <v>416</v>
      </c>
      <c r="P78" s="162" t="s">
        <v>415</v>
      </c>
    </row>
    <row r="79" spans="2:20" ht="19.5" customHeight="1" x14ac:dyDescent="0.45">
      <c r="B79" s="70" t="s">
        <v>18</v>
      </c>
      <c r="C79" s="454"/>
      <c r="D79" s="454"/>
      <c r="E79" s="454"/>
      <c r="F79" s="454"/>
      <c r="G79" s="454"/>
      <c r="H79" s="454"/>
      <c r="I79" s="454"/>
      <c r="J79" s="454"/>
      <c r="K79" s="454"/>
      <c r="L79" s="454"/>
      <c r="M79" s="454"/>
      <c r="N79" s="454"/>
      <c r="O79" s="466" t="str">
        <f>IF(ISERROR(12*SUM(C79:N80)/COUNT(C79:N80)),"",12*SUM(C79:N80)/COUNT(C79:N80))</f>
        <v/>
      </c>
      <c r="P79" s="473" t="str">
        <f>IF(P82=0,"",IF(P84=1,"未入力欄を確認",IF(P82=1,"年度を選択",IF(P82=2,"エネルギー種別を選択",IF($E76="電気",計算!$J$50,IF($E76="都市ガス",計算!$J$51,IF($E76="温水・冷水",計算!$J$52,IF($E76="産業用蒸気",計算!$J$53,IF($E76="産業用以外の蒸気",計算!$J$54,IF($E76="灯油",計算!$J$55,IF($E76="軽油",計算!$J$56,IF($E76="A重油",計算!$J$57,IF($E76="B・Ｃ重油",計算!J58,"")))))))))))))</f>
        <v/>
      </c>
    </row>
    <row r="80" spans="2:20" ht="19.5" customHeight="1" thickBot="1" x14ac:dyDescent="0.5">
      <c r="B80" s="71" t="str">
        <f>IF(E76="電気","［kWh］",IF(E76="都市ガス","［m3］",IF(OR(E76="温水・冷水",E76="産業用蒸気",E76="産業用以外の蒸気"),"［MJ］","［L］")))</f>
        <v>［L］</v>
      </c>
      <c r="C80" s="455"/>
      <c r="D80" s="455"/>
      <c r="E80" s="455"/>
      <c r="F80" s="455"/>
      <c r="G80" s="455"/>
      <c r="H80" s="455"/>
      <c r="I80" s="455"/>
      <c r="J80" s="463"/>
      <c r="K80" s="463"/>
      <c r="L80" s="463"/>
      <c r="M80" s="463"/>
      <c r="N80" s="463"/>
      <c r="O80" s="467"/>
      <c r="P80" s="469"/>
    </row>
    <row r="81" spans="2:20" ht="38.25" customHeight="1" thickTop="1" thickBot="1" x14ac:dyDescent="0.5">
      <c r="B81" s="72" t="s">
        <v>413</v>
      </c>
      <c r="C81" s="164"/>
      <c r="D81" s="164"/>
      <c r="E81" s="164"/>
      <c r="F81" s="164"/>
      <c r="G81" s="164"/>
      <c r="H81" s="164"/>
      <c r="I81" s="164"/>
      <c r="J81" s="165"/>
      <c r="K81" s="165"/>
      <c r="L81" s="165"/>
      <c r="M81" s="165"/>
      <c r="N81" s="165"/>
      <c r="O81" s="75" t="str">
        <f>IF(ISERROR(12*SUM(C81:N81)/COUNT(C81:N81)),"",12*SUM(C81:N81)/COUNT(C81:N81))</f>
        <v/>
      </c>
      <c r="P81" s="112">
        <f>IF(AND(O79="",O81="",P84=0),0,IF(OR(B77="",B77="年度を選択"),1,IF(OR(E76="",E76="エネルギー種別を選択"),2,4)))</f>
        <v>0</v>
      </c>
      <c r="Q81" s="194"/>
    </row>
    <row r="82" spans="2:20" ht="18.75" hidden="1" customHeight="1" x14ac:dyDescent="0.45">
      <c r="B82" s="196" t="s">
        <v>444</v>
      </c>
      <c r="C82" s="195">
        <f>IF(C78="",2,IF(C78&lt;&gt;"",0,1))</f>
        <v>2</v>
      </c>
      <c r="D82" s="195">
        <f t="shared" ref="D82:L82" si="59">IF(D78="",2,IF(D78&lt;&gt;"",0,1))</f>
        <v>2</v>
      </c>
      <c r="E82" s="195">
        <f t="shared" si="59"/>
        <v>2</v>
      </c>
      <c r="F82" s="195">
        <f t="shared" si="59"/>
        <v>2</v>
      </c>
      <c r="G82" s="195">
        <f t="shared" si="59"/>
        <v>2</v>
      </c>
      <c r="H82" s="195">
        <f t="shared" si="59"/>
        <v>2</v>
      </c>
      <c r="I82" s="195">
        <f t="shared" si="59"/>
        <v>2</v>
      </c>
      <c r="J82" s="195">
        <f t="shared" si="59"/>
        <v>2</v>
      </c>
      <c r="K82" s="195">
        <f t="shared" si="59"/>
        <v>2</v>
      </c>
      <c r="L82" s="195">
        <f t="shared" si="59"/>
        <v>2</v>
      </c>
      <c r="M82" s="195">
        <f>IF(M78="",2,IF(M78&lt;&gt;"",0,1))</f>
        <v>2</v>
      </c>
      <c r="N82" s="195">
        <f t="shared" ref="N82" si="60">IF(N78="",2,IF(N78&lt;&gt;"",0,1))</f>
        <v>2</v>
      </c>
      <c r="O82" s="195" t="str">
        <f>IF(R82&gt;1,"入力確認",IF(Q82=Q83,"入力済","未入力"))</f>
        <v>入力済</v>
      </c>
      <c r="P82" s="197">
        <f>P81</f>
        <v>0</v>
      </c>
      <c r="Q82" s="194">
        <f>COUNTIF($C82:$N82,0)</f>
        <v>0</v>
      </c>
      <c r="R82" s="194">
        <f>COUNTIF($C82:$N82,1)</f>
        <v>0</v>
      </c>
      <c r="S82" s="194">
        <f>COUNTIF($C82:$N82,2)</f>
        <v>12</v>
      </c>
      <c r="T82" s="194"/>
    </row>
    <row r="83" spans="2:20" ht="18.75" hidden="1" customHeight="1" x14ac:dyDescent="0.45">
      <c r="B83" s="196" t="s">
        <v>445</v>
      </c>
      <c r="C83" s="195">
        <f>IF(AND(C79="",C81=""),2,IF(AND(C79&lt;&gt;"",C81&lt;&gt;""),0,1))</f>
        <v>2</v>
      </c>
      <c r="D83" s="195">
        <f t="shared" ref="D83:N83" si="61">IF(AND(D79="",D81=""),2,IF(AND(D79&lt;&gt;"",D81&lt;&gt;""),0,1))</f>
        <v>2</v>
      </c>
      <c r="E83" s="195">
        <f t="shared" si="61"/>
        <v>2</v>
      </c>
      <c r="F83" s="195">
        <f t="shared" si="61"/>
        <v>2</v>
      </c>
      <c r="G83" s="195">
        <f t="shared" si="61"/>
        <v>2</v>
      </c>
      <c r="H83" s="195">
        <f t="shared" si="61"/>
        <v>2</v>
      </c>
      <c r="I83" s="195">
        <f t="shared" si="61"/>
        <v>2</v>
      </c>
      <c r="J83" s="195">
        <f t="shared" si="61"/>
        <v>2</v>
      </c>
      <c r="K83" s="195">
        <f t="shared" si="61"/>
        <v>2</v>
      </c>
      <c r="L83" s="195">
        <f t="shared" si="61"/>
        <v>2</v>
      </c>
      <c r="M83" s="195">
        <f t="shared" si="61"/>
        <v>2</v>
      </c>
      <c r="N83" s="195">
        <f t="shared" si="61"/>
        <v>2</v>
      </c>
      <c r="O83" s="195" t="str">
        <f>IF(R83&gt;1,"入力確認",IF(Q83+S83=12,"入力済","未入力"))</f>
        <v>入力済</v>
      </c>
      <c r="P83" s="197"/>
      <c r="Q83" s="194">
        <f>COUNTIF($C83:$N83,0)</f>
        <v>0</v>
      </c>
      <c r="R83" s="194">
        <f>COUNTIF($C83:$N83,1)</f>
        <v>0</v>
      </c>
      <c r="S83" s="194">
        <f>COUNTIF($C83:$N83,2)</f>
        <v>12</v>
      </c>
    </row>
    <row r="84" spans="2:20" ht="18.75" hidden="1" customHeight="1" x14ac:dyDescent="0.45">
      <c r="B84" s="196" t="s">
        <v>446</v>
      </c>
      <c r="C84" s="195">
        <f>IF(AND(C82=2,C83=2),2,IF(C82&lt;&gt;C83,1,IF(AND(C82=0,C83=0),0,4)))</f>
        <v>2</v>
      </c>
      <c r="D84" s="195">
        <f t="shared" ref="D84" si="62">IF(AND(D82=2,D83=2),2,IF(D82&lt;&gt;D83,1,IF(AND(D82=0,D83=0),0,4)))</f>
        <v>2</v>
      </c>
      <c r="E84" s="195">
        <f t="shared" ref="E84" si="63">IF(AND(E82=2,E83=2),2,IF(E82&lt;&gt;E83,1,IF(AND(E82=0,E83=0),0,4)))</f>
        <v>2</v>
      </c>
      <c r="F84" s="195">
        <f t="shared" ref="F84" si="64">IF(AND(F82=2,F83=2),2,IF(F82&lt;&gt;F83,1,IF(AND(F82=0,F83=0),0,4)))</f>
        <v>2</v>
      </c>
      <c r="G84" s="195">
        <f t="shared" ref="G84" si="65">IF(AND(G82=2,G83=2),2,IF(G82&lt;&gt;G83,1,IF(AND(G82=0,G83=0),0,4)))</f>
        <v>2</v>
      </c>
      <c r="H84" s="195">
        <f t="shared" ref="H84" si="66">IF(AND(H82=2,H83=2),2,IF(H82&lt;&gt;H83,1,IF(AND(H82=0,H83=0),0,4)))</f>
        <v>2</v>
      </c>
      <c r="I84" s="195">
        <f t="shared" ref="I84" si="67">IF(AND(I82=2,I83=2),2,IF(I82&lt;&gt;I83,1,IF(AND(I82=0,I83=0),0,4)))</f>
        <v>2</v>
      </c>
      <c r="J84" s="195">
        <f t="shared" ref="J84" si="68">IF(AND(J82=2,J83=2),2,IF(J82&lt;&gt;J83,1,IF(AND(J82=0,J83=0),0,4)))</f>
        <v>2</v>
      </c>
      <c r="K84" s="195">
        <f t="shared" ref="K84" si="69">IF(AND(K82=2,K83=2),2,IF(K82&lt;&gt;K83,1,IF(AND(K82=0,K83=0),0,4)))</f>
        <v>2</v>
      </c>
      <c r="L84" s="195">
        <f t="shared" ref="L84" si="70">IF(AND(L82=2,L83=2),2,IF(L82&lt;&gt;L83,1,IF(AND(L82=0,L83=0),0,4)))</f>
        <v>2</v>
      </c>
      <c r="M84" s="195">
        <f t="shared" ref="M84" si="71">IF(AND(M82=2,M83=2),2,IF(M82&lt;&gt;M83,1,IF(AND(M82=0,M83=0),0,4)))</f>
        <v>2</v>
      </c>
      <c r="N84" s="195">
        <f t="shared" ref="N84" si="72">IF(AND(N82=2,N83=2),2,IF(N82&lt;&gt;N83,1,IF(AND(N82=0,N83=0),0,4)))</f>
        <v>2</v>
      </c>
      <c r="O84" s="195" t="str">
        <f>IF(R84&gt;1,"入力確認",IF(Q84+S84=12,"入力済","未入力"))</f>
        <v>入力済</v>
      </c>
      <c r="P84" s="197">
        <f>IF(O84="未入力",1,IF(O84="入力済",0,2))</f>
        <v>0</v>
      </c>
      <c r="Q84" s="194">
        <f>COUNTIF($C84:$N84,0)</f>
        <v>0</v>
      </c>
      <c r="R84" s="194">
        <f>COUNTIF($C84:$N84,1)</f>
        <v>0</v>
      </c>
      <c r="S84" s="194">
        <f>COUNTIF($C84:$N84,2)</f>
        <v>12</v>
      </c>
    </row>
  </sheetData>
  <sheetProtection password="DFA8" sheet="1" objects="1" scenarios="1" selectLockedCells="1" selectUnlockedCells="1"/>
  <mergeCells count="102">
    <mergeCell ref="N57:N58"/>
    <mergeCell ref="H65:I65"/>
    <mergeCell ref="J65:L65"/>
    <mergeCell ref="H76:I76"/>
    <mergeCell ref="J76:L76"/>
    <mergeCell ref="P79:P80"/>
    <mergeCell ref="E76:F76"/>
    <mergeCell ref="L79:L80"/>
    <mergeCell ref="M79:M80"/>
    <mergeCell ref="N79:N80"/>
    <mergeCell ref="O79:O80"/>
    <mergeCell ref="P68:P69"/>
    <mergeCell ref="E65:F65"/>
    <mergeCell ref="L68:L69"/>
    <mergeCell ref="M68:M69"/>
    <mergeCell ref="N68:N69"/>
    <mergeCell ref="O68:O69"/>
    <mergeCell ref="O57:O58"/>
    <mergeCell ref="P57:P58"/>
    <mergeCell ref="L57:L58"/>
    <mergeCell ref="M57:M58"/>
    <mergeCell ref="C79:C80"/>
    <mergeCell ref="D79:D80"/>
    <mergeCell ref="E79:E80"/>
    <mergeCell ref="F79:F80"/>
    <mergeCell ref="G79:G80"/>
    <mergeCell ref="H79:H80"/>
    <mergeCell ref="I79:I80"/>
    <mergeCell ref="J79:J80"/>
    <mergeCell ref="K79:K80"/>
    <mergeCell ref="C68:C69"/>
    <mergeCell ref="D68:D69"/>
    <mergeCell ref="E68:E69"/>
    <mergeCell ref="F68:F69"/>
    <mergeCell ref="G68:G69"/>
    <mergeCell ref="H68:H69"/>
    <mergeCell ref="I68:I69"/>
    <mergeCell ref="J68:J69"/>
    <mergeCell ref="K68:K69"/>
    <mergeCell ref="H54:I54"/>
    <mergeCell ref="C46:C47"/>
    <mergeCell ref="D46:D47"/>
    <mergeCell ref="O46:O47"/>
    <mergeCell ref="L46:L47"/>
    <mergeCell ref="M46:M47"/>
    <mergeCell ref="N46:N47"/>
    <mergeCell ref="P46:P47"/>
    <mergeCell ref="I46:I47"/>
    <mergeCell ref="J54:L54"/>
    <mergeCell ref="E54:F54"/>
    <mergeCell ref="C57:C58"/>
    <mergeCell ref="D57:D58"/>
    <mergeCell ref="E57:E58"/>
    <mergeCell ref="F57:F58"/>
    <mergeCell ref="G57:G58"/>
    <mergeCell ref="H57:H58"/>
    <mergeCell ref="I57:I58"/>
    <mergeCell ref="J57:J58"/>
    <mergeCell ref="K57:K58"/>
    <mergeCell ref="E43:F43"/>
    <mergeCell ref="H46:H47"/>
    <mergeCell ref="E46:E47"/>
    <mergeCell ref="F46:F47"/>
    <mergeCell ref="G46:G47"/>
    <mergeCell ref="J46:J47"/>
    <mergeCell ref="K46:K47"/>
    <mergeCell ref="H43:I43"/>
    <mergeCell ref="J43:L43"/>
    <mergeCell ref="C23:C24"/>
    <mergeCell ref="D23:D24"/>
    <mergeCell ref="E23:E24"/>
    <mergeCell ref="F23:F24"/>
    <mergeCell ref="P35:P36"/>
    <mergeCell ref="E35:E36"/>
    <mergeCell ref="F35:F36"/>
    <mergeCell ref="G35:G36"/>
    <mergeCell ref="I35:I36"/>
    <mergeCell ref="J35:J36"/>
    <mergeCell ref="H35:H36"/>
    <mergeCell ref="N35:N36"/>
    <mergeCell ref="O35:O36"/>
    <mergeCell ref="C35:C36"/>
    <mergeCell ref="D35:D36"/>
    <mergeCell ref="O23:O24"/>
    <mergeCell ref="H23:H24"/>
    <mergeCell ref="I23:I24"/>
    <mergeCell ref="J23:J24"/>
    <mergeCell ref="P23:P24"/>
    <mergeCell ref="H32:I32"/>
    <mergeCell ref="J32:L32"/>
    <mergeCell ref="E18:F18"/>
    <mergeCell ref="G23:G24"/>
    <mergeCell ref="G18:N18"/>
    <mergeCell ref="H20:I20"/>
    <mergeCell ref="J20:L20"/>
    <mergeCell ref="M35:M36"/>
    <mergeCell ref="N23:N24"/>
    <mergeCell ref="L23:L24"/>
    <mergeCell ref="M23:M24"/>
    <mergeCell ref="K23:K24"/>
    <mergeCell ref="K35:K36"/>
    <mergeCell ref="L35:L36"/>
  </mergeCells>
  <phoneticPr fontId="2"/>
  <conditionalFormatting sqref="B21 P23">
    <cfRule type="expression" dxfId="73" priority="32">
      <formula>$P$26=1</formula>
    </cfRule>
  </conditionalFormatting>
  <conditionalFormatting sqref="G18">
    <cfRule type="expression" dxfId="72" priority="46">
      <formula>OR($G$18="エネルギー種別・単位を選択してください。",$G$18="エネルギーの使用年度を選択してください。",$G$18="未入力欄が有ります。確認してください。",$G$18="中小規模事業所の要件を満たしていないため、申請できません。")</formula>
    </cfRule>
  </conditionalFormatting>
  <conditionalFormatting sqref="C21:N21">
    <cfRule type="expression" dxfId="71" priority="43">
      <formula>C28=1</formula>
    </cfRule>
  </conditionalFormatting>
  <conditionalFormatting sqref="C33:N33">
    <cfRule type="expression" dxfId="70" priority="42">
      <formula>C40=1</formula>
    </cfRule>
  </conditionalFormatting>
  <conditionalFormatting sqref="B33 P35">
    <cfRule type="expression" dxfId="69" priority="29">
      <formula>$P$38=1</formula>
    </cfRule>
  </conditionalFormatting>
  <conditionalFormatting sqref="E32 P35">
    <cfRule type="expression" dxfId="68" priority="28">
      <formula>$P$38=2</formula>
    </cfRule>
  </conditionalFormatting>
  <conditionalFormatting sqref="F32 P35">
    <cfRule type="expression" dxfId="67" priority="27">
      <formula>$P$38=3</formula>
    </cfRule>
  </conditionalFormatting>
  <conditionalFormatting sqref="C44:N44">
    <cfRule type="expression" dxfId="66" priority="40">
      <formula>C51=1</formula>
    </cfRule>
  </conditionalFormatting>
  <conditionalFormatting sqref="C55:N55">
    <cfRule type="expression" dxfId="65" priority="35">
      <formula>C62=1</formula>
    </cfRule>
  </conditionalFormatting>
  <conditionalFormatting sqref="C66:N66">
    <cfRule type="expression" dxfId="64" priority="34">
      <formula>C73=1</formula>
    </cfRule>
  </conditionalFormatting>
  <conditionalFormatting sqref="C77:N77">
    <cfRule type="expression" dxfId="63" priority="33">
      <formula>C84=1</formula>
    </cfRule>
  </conditionalFormatting>
  <conditionalFormatting sqref="B44 P46">
    <cfRule type="expression" dxfId="62" priority="26">
      <formula>$P$49=1</formula>
    </cfRule>
  </conditionalFormatting>
  <conditionalFormatting sqref="B55 P57">
    <cfRule type="expression" dxfId="61" priority="24">
      <formula>$P$60=1</formula>
    </cfRule>
  </conditionalFormatting>
  <conditionalFormatting sqref="B66 P68">
    <cfRule type="expression" dxfId="60" priority="20">
      <formula>$P$71=1</formula>
    </cfRule>
  </conditionalFormatting>
  <conditionalFormatting sqref="E43 P46">
    <cfRule type="expression" dxfId="59" priority="25">
      <formula>$P$49=2</formula>
    </cfRule>
  </conditionalFormatting>
  <conditionalFormatting sqref="E54 P57">
    <cfRule type="expression" dxfId="58" priority="21">
      <formula>$P$60=2</formula>
    </cfRule>
  </conditionalFormatting>
  <conditionalFormatting sqref="E65 P68">
    <cfRule type="expression" dxfId="57" priority="18">
      <formula>$P$71=2</formula>
    </cfRule>
  </conditionalFormatting>
  <conditionalFormatting sqref="P23">
    <cfRule type="expression" dxfId="56" priority="30">
      <formula>$P$28=1</formula>
    </cfRule>
  </conditionalFormatting>
  <conditionalFormatting sqref="B77 P79">
    <cfRule type="expression" dxfId="55" priority="17">
      <formula>$P$82=1</formula>
    </cfRule>
  </conditionalFormatting>
  <conditionalFormatting sqref="E76 P79">
    <cfRule type="expression" dxfId="54" priority="16">
      <formula>$P$82=2</formula>
    </cfRule>
  </conditionalFormatting>
  <conditionalFormatting sqref="G18:N18">
    <cfRule type="expression" dxfId="53" priority="7">
      <formula>$G$18="事業所のエネルギー使用について入力してください。"</formula>
    </cfRule>
  </conditionalFormatting>
  <conditionalFormatting sqref="J20 J32 J43 J54 J65 J76">
    <cfRule type="expression" dxfId="52" priority="6">
      <formula>J20=""</formula>
    </cfRule>
  </conditionalFormatting>
  <dataValidations disablePrompts="1" xWindow="198" yWindow="327" count="4">
    <dataValidation allowBlank="1" showInputMessage="1" sqref="B22 B56 B67 B34 B45 B78"/>
    <dataValidation type="list" allowBlank="1" showInputMessage="1" sqref="B77 B21 B33 B44 B55 B66">
      <formula1>"年度を選択,2021年度,2022年度"</formula1>
    </dataValidation>
    <dataValidation allowBlank="1" sqref="C12:C13"/>
    <dataValidation type="list" allowBlank="1" showInputMessage="1" showErrorMessage="1" sqref="F32">
      <formula1>INDIRECT($E$32)</formula1>
    </dataValidation>
  </dataValidations>
  <printOptions horizontalCentered="1"/>
  <pageMargins left="0.6692913385826772" right="0.31496062992125984" top="0.56000000000000005" bottom="0.37" header="0.24" footer="0.15748031496062992"/>
  <pageSetup paperSize="9" scale="61" fitToHeight="0" orientation="landscape" r:id="rId1"/>
  <headerFooter>
    <oddHeader>&amp;C&amp;20換気量・省エネ計算シート</oddHeader>
    <oddFooter>&amp;C&amp;P</oddFooter>
  </headerFooter>
  <rowBreaks count="1" manualBreakCount="1">
    <brk id="63" max="16" man="1"/>
  </rowBreaks>
  <drawing r:id="rId2"/>
  <legacyDrawing r:id="rId3"/>
  <extLst>
    <ext xmlns:x14="http://schemas.microsoft.com/office/spreadsheetml/2009/9/main" uri="{CCE6A557-97BC-4b89-ADB6-D9C93CAAB3DF}">
      <x14:dataValidations xmlns:xm="http://schemas.microsoft.com/office/excel/2006/main" disablePrompts="1" xWindow="198" yWindow="327" count="2">
        <x14:dataValidation type="list" allowBlank="1" showInputMessage="1" showErrorMessage="1">
          <x14:formula1>
            <xm:f>計算!$N$3:$N$5</xm:f>
          </x14:formula1>
          <xm:sqref>E32</xm:sqref>
        </x14:dataValidation>
        <x14:dataValidation type="list" allowBlank="1" showInputMessage="1" showErrorMessage="1">
          <x14:formula1>
            <xm:f>計算!$Q$3:$Q$12</xm:f>
          </x14:formula1>
          <xm:sqref>E43:F43 E76:F76 E65:F65 E54:F54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T84"/>
  <sheetViews>
    <sheetView zoomScale="70" zoomScaleNormal="70" zoomScaleSheetLayoutView="90" workbookViewId="0"/>
  </sheetViews>
  <sheetFormatPr defaultColWidth="8.796875" defaultRowHeight="18.75" x14ac:dyDescent="0.45"/>
  <cols>
    <col min="1" max="1" width="2.296875" style="64" customWidth="1"/>
    <col min="2" max="2" width="11.8984375" style="64" customWidth="1"/>
    <col min="3" max="16" width="10.59765625" style="64" customWidth="1"/>
    <col min="17" max="17" width="2.19921875" style="64" customWidth="1"/>
    <col min="18" max="21" width="5" style="64" customWidth="1"/>
    <col min="22" max="23" width="8.796875" style="64"/>
    <col min="24" max="24" width="9.59765625" style="64" bestFit="1" customWidth="1"/>
    <col min="25" max="25" width="8.5" style="64" customWidth="1"/>
    <col min="26" max="26" width="9.296875" style="64" customWidth="1"/>
    <col min="27" max="27" width="9.296875" style="64" bestFit="1" customWidth="1"/>
    <col min="28" max="16384" width="8.796875" style="64"/>
  </cols>
  <sheetData>
    <row r="2" spans="2:18" s="23" customFormat="1" ht="19.5" x14ac:dyDescent="0.45">
      <c r="B2" s="53" t="s">
        <v>166</v>
      </c>
    </row>
    <row r="3" spans="2:18" ht="19.5" x14ac:dyDescent="0.45">
      <c r="B3" s="160" t="s">
        <v>412</v>
      </c>
      <c r="K3" s="23"/>
    </row>
    <row r="4" spans="2:18" ht="19.5" x14ac:dyDescent="0.45">
      <c r="B4" s="160" t="s">
        <v>429</v>
      </c>
      <c r="K4" s="23"/>
    </row>
    <row r="5" spans="2:18" ht="19.5" x14ac:dyDescent="0.45">
      <c r="B5" s="160" t="s">
        <v>463</v>
      </c>
      <c r="K5" s="23"/>
    </row>
    <row r="6" spans="2:18" ht="19.5" x14ac:dyDescent="0.45">
      <c r="B6" s="160" t="s">
        <v>428</v>
      </c>
      <c r="K6" s="23"/>
    </row>
    <row r="7" spans="2:18" ht="19.5" x14ac:dyDescent="0.45">
      <c r="B7" s="160" t="s">
        <v>632</v>
      </c>
      <c r="K7" s="23"/>
    </row>
    <row r="8" spans="2:18" ht="19.5" x14ac:dyDescent="0.45">
      <c r="B8" s="160" t="s">
        <v>522</v>
      </c>
      <c r="K8" s="23"/>
    </row>
    <row r="9" spans="2:18" ht="19.5" x14ac:dyDescent="0.45">
      <c r="B9" s="160" t="s">
        <v>411</v>
      </c>
      <c r="K9" s="23"/>
    </row>
    <row r="10" spans="2:18" ht="19.5" x14ac:dyDescent="0.45">
      <c r="B10" s="160" t="s">
        <v>464</v>
      </c>
      <c r="K10" s="23"/>
    </row>
    <row r="11" spans="2:18" ht="19.5" x14ac:dyDescent="0.45">
      <c r="B11" s="63"/>
      <c r="K11" s="23"/>
    </row>
    <row r="12" spans="2:18" s="23" customFormat="1" ht="19.5" x14ac:dyDescent="0.45">
      <c r="B12" s="94" t="s">
        <v>167</v>
      </c>
      <c r="C12" s="25"/>
      <c r="D12" s="56" t="s">
        <v>633</v>
      </c>
      <c r="K12" s="198"/>
    </row>
    <row r="13" spans="2:18" s="23" customFormat="1" ht="19.5" x14ac:dyDescent="0.45">
      <c r="C13" s="26"/>
      <c r="D13" s="56" t="s">
        <v>636</v>
      </c>
      <c r="J13" s="42"/>
    </row>
    <row r="14" spans="2:18" s="23" customFormat="1" ht="19.5" x14ac:dyDescent="0.45">
      <c r="C14" s="27"/>
      <c r="D14" s="52" t="s">
        <v>634</v>
      </c>
    </row>
    <row r="15" spans="2:18" s="23" customFormat="1" ht="19.5" x14ac:dyDescent="0.45">
      <c r="B15" s="24"/>
      <c r="C15" s="24"/>
    </row>
    <row r="16" spans="2:18" ht="18" customHeight="1" x14ac:dyDescent="0.45">
      <c r="B16" s="202" t="str">
        <f>'1.換気～比較表（適合）'!B19</f>
        <v>R4_Ver8.2</v>
      </c>
      <c r="J16" s="123"/>
      <c r="L16" s="23"/>
      <c r="M16" s="23"/>
      <c r="N16" s="23"/>
      <c r="O16" s="23"/>
      <c r="P16" s="23"/>
      <c r="Q16" s="23"/>
      <c r="R16" s="23"/>
    </row>
    <row r="17" spans="2:20" ht="18.75" customHeight="1" thickBot="1" x14ac:dyDescent="0.5">
      <c r="B17" s="202"/>
      <c r="J17" s="123"/>
      <c r="L17" s="23"/>
      <c r="M17" s="23"/>
      <c r="N17" s="23"/>
      <c r="O17" s="23"/>
      <c r="P17" s="23"/>
      <c r="Q17" s="23"/>
      <c r="R17" s="23"/>
    </row>
    <row r="18" spans="2:20" ht="42.75" customHeight="1" thickTop="1" thickBot="1" x14ac:dyDescent="0.5">
      <c r="B18" s="65" t="s">
        <v>191</v>
      </c>
      <c r="E18" s="452" t="s">
        <v>258</v>
      </c>
      <c r="F18" s="453"/>
      <c r="G18" s="456" t="str">
        <f>IF(AND(P26=0,P38=0,P49=0,P60=0,P71=0,P82=0),"事業所のエネルギー使用について入力してください。",IF(OR(P28&lt;&gt;0,P40&lt;&gt;0,P51&lt;&gt;0,P62&lt;&gt;0,P73&lt;&gt;0,P84&lt;&gt;0),"未入力欄が有ります。確認してください。",IF(OR(P26=1,P38=1,P49=1,P60=1,P71=1,P82=1),"エネルギーの使用年度を選択してください。",IF(OR(P38=2,P38=3,P49=2,P60=2,P71=2,P82=2),"エネルギー種別・単位を選択してください。",IF(SUM(P23,P35,P46,P57,P68,P79)&lt;1500,"中小規模事業所に該当します。","中小規模事業所の要件を満たしていないため、申請できません。")))))</f>
        <v>未入力欄が有ります。確認してください。</v>
      </c>
      <c r="H18" s="457"/>
      <c r="I18" s="457"/>
      <c r="J18" s="457"/>
      <c r="K18" s="457"/>
      <c r="L18" s="457"/>
      <c r="M18" s="457"/>
      <c r="N18" s="458"/>
      <c r="O18" s="23"/>
      <c r="P18" s="23"/>
      <c r="Q18" s="23"/>
      <c r="R18" s="23"/>
    </row>
    <row r="19" spans="2:20" ht="19.5" customHeight="1" thickTop="1" x14ac:dyDescent="0.45">
      <c r="B19" s="65"/>
      <c r="C19" s="65"/>
      <c r="D19" s="65"/>
      <c r="E19" s="65"/>
      <c r="F19" s="65"/>
      <c r="G19" s="65"/>
      <c r="H19" s="65"/>
      <c r="I19" s="65"/>
      <c r="J19" s="65"/>
      <c r="K19" s="65"/>
      <c r="L19" s="65"/>
      <c r="M19" s="65"/>
      <c r="N19" s="65"/>
      <c r="O19" s="23"/>
      <c r="P19" s="23"/>
      <c r="Q19" s="23"/>
      <c r="R19" s="23"/>
    </row>
    <row r="20" spans="2:20" ht="20.25" thickBot="1" x14ac:dyDescent="0.5">
      <c r="B20" s="64" t="s">
        <v>36</v>
      </c>
      <c r="H20" s="459" t="s">
        <v>523</v>
      </c>
      <c r="I20" s="459"/>
      <c r="J20" s="477" t="s">
        <v>624</v>
      </c>
      <c r="K20" s="477"/>
      <c r="L20" s="477"/>
      <c r="M20" s="23"/>
      <c r="N20" s="23"/>
      <c r="O20" s="23"/>
      <c r="P20" s="23"/>
      <c r="Q20" s="23"/>
      <c r="R20" s="23"/>
    </row>
    <row r="21" spans="2:20" ht="18.75" customHeight="1" x14ac:dyDescent="0.45">
      <c r="B21" s="241" t="s">
        <v>599</v>
      </c>
      <c r="C21" s="343" t="s">
        <v>32</v>
      </c>
      <c r="D21" s="69" t="s">
        <v>31</v>
      </c>
      <c r="E21" s="69" t="s">
        <v>30</v>
      </c>
      <c r="F21" s="69" t="s">
        <v>29</v>
      </c>
      <c r="G21" s="69" t="s">
        <v>28</v>
      </c>
      <c r="H21" s="69" t="s">
        <v>27</v>
      </c>
      <c r="I21" s="69" t="s">
        <v>26</v>
      </c>
      <c r="J21" s="340" t="s">
        <v>25</v>
      </c>
      <c r="K21" s="340" t="s">
        <v>24</v>
      </c>
      <c r="L21" s="345" t="s">
        <v>23</v>
      </c>
      <c r="M21" s="69" t="s">
        <v>22</v>
      </c>
      <c r="N21" s="73" t="s">
        <v>21</v>
      </c>
      <c r="O21" s="163"/>
      <c r="P21" s="74"/>
      <c r="Q21" s="23"/>
      <c r="R21" s="23"/>
    </row>
    <row r="22" spans="2:20" ht="38.25" customHeight="1" thickBot="1" x14ac:dyDescent="0.5">
      <c r="B22" s="71" t="s">
        <v>414</v>
      </c>
      <c r="C22" s="87" t="s">
        <v>575</v>
      </c>
      <c r="D22" s="87" t="s">
        <v>576</v>
      </c>
      <c r="E22" s="87" t="s">
        <v>577</v>
      </c>
      <c r="F22" s="87" t="s">
        <v>578</v>
      </c>
      <c r="G22" s="87" t="s">
        <v>579</v>
      </c>
      <c r="H22" s="87" t="s">
        <v>580</v>
      </c>
      <c r="I22" s="87" t="s">
        <v>581</v>
      </c>
      <c r="J22" s="87" t="s">
        <v>582</v>
      </c>
      <c r="K22" s="87" t="s">
        <v>583</v>
      </c>
      <c r="L22" s="87" t="s">
        <v>584</v>
      </c>
      <c r="M22" s="87" t="s">
        <v>585</v>
      </c>
      <c r="N22" s="87" t="s">
        <v>586</v>
      </c>
      <c r="O22" s="157" t="s">
        <v>416</v>
      </c>
      <c r="P22" s="162" t="s">
        <v>415</v>
      </c>
    </row>
    <row r="23" spans="2:20" ht="18.75" customHeight="1" thickTop="1" x14ac:dyDescent="0.45">
      <c r="B23" s="70" t="s">
        <v>35</v>
      </c>
      <c r="C23" s="474">
        <v>898</v>
      </c>
      <c r="D23" s="479"/>
      <c r="E23" s="481">
        <v>1179</v>
      </c>
      <c r="F23" s="454">
        <v>1257</v>
      </c>
      <c r="G23" s="454">
        <v>1467</v>
      </c>
      <c r="H23" s="454">
        <v>1770</v>
      </c>
      <c r="I23" s="454">
        <v>1216</v>
      </c>
      <c r="J23" s="454">
        <v>856</v>
      </c>
      <c r="K23" s="454">
        <v>956</v>
      </c>
      <c r="L23" s="454">
        <v>1032</v>
      </c>
      <c r="M23" s="454">
        <v>1164</v>
      </c>
      <c r="N23" s="454">
        <v>785</v>
      </c>
      <c r="O23" s="466">
        <f>IF(ISERROR(12*SUM(C23:N24)/COUNT(C23:N24)),"",12*SUM(C23:N24)/COUNT(C23:N24))</f>
        <v>13723.636363636364</v>
      </c>
      <c r="P23" s="468" t="str">
        <f>IF(P26=0,"",IF(P28=1,"未入力欄を確認",IF(P26=1,"年度を選択",IF(AND(O23&gt;0,O25&gt;0,Q26=Q27,P26=4),計算!$J$3,"入力不足"))))</f>
        <v>未入力欄を確認</v>
      </c>
    </row>
    <row r="24" spans="2:20" ht="18.75" customHeight="1" thickBot="1" x14ac:dyDescent="0.5">
      <c r="B24" s="71" t="s">
        <v>34</v>
      </c>
      <c r="C24" s="478"/>
      <c r="D24" s="480"/>
      <c r="E24" s="482"/>
      <c r="F24" s="455"/>
      <c r="G24" s="455"/>
      <c r="H24" s="455"/>
      <c r="I24" s="455"/>
      <c r="J24" s="455"/>
      <c r="K24" s="455"/>
      <c r="L24" s="455"/>
      <c r="M24" s="455"/>
      <c r="N24" s="455"/>
      <c r="O24" s="467"/>
      <c r="P24" s="469"/>
    </row>
    <row r="25" spans="2:20" ht="38.25" customHeight="1" thickTop="1" thickBot="1" x14ac:dyDescent="0.5">
      <c r="B25" s="72" t="s">
        <v>413</v>
      </c>
      <c r="C25" s="164">
        <v>27234</v>
      </c>
      <c r="D25" s="165">
        <v>29368</v>
      </c>
      <c r="E25" s="164">
        <v>33026</v>
      </c>
      <c r="F25" s="164">
        <v>33807</v>
      </c>
      <c r="G25" s="164">
        <v>37411</v>
      </c>
      <c r="H25" s="164">
        <v>42293</v>
      </c>
      <c r="I25" s="164">
        <v>30582</v>
      </c>
      <c r="J25" s="164">
        <v>25126</v>
      </c>
      <c r="K25" s="164">
        <v>25741</v>
      </c>
      <c r="L25" s="164">
        <v>25461</v>
      </c>
      <c r="M25" s="164">
        <v>27085</v>
      </c>
      <c r="N25" s="164">
        <v>21091</v>
      </c>
      <c r="O25" s="75">
        <f>IF(ISERROR(12*SUM(C25:N25)/COUNT(C25:N25)),"",12*SUM(C25:N25)/COUNT(C25:N25))</f>
        <v>358225</v>
      </c>
      <c r="P25" s="168">
        <f>IF(AND(O23="",O25="",P28=0),0,IF(OR(B21="",B21="年度を選択"),1,4))</f>
        <v>4</v>
      </c>
      <c r="Q25" s="194"/>
    </row>
    <row r="26" spans="2:20" ht="18.75" hidden="1" customHeight="1" x14ac:dyDescent="0.45">
      <c r="B26" s="196" t="s">
        <v>444</v>
      </c>
      <c r="C26" s="195">
        <f>IF(C22="",2,IF(C22&lt;&gt;"",0,1))</f>
        <v>0</v>
      </c>
      <c r="D26" s="195">
        <f t="shared" ref="D26:N26" si="0">IF(D22="",2,IF(D22&lt;&gt;"",0,1))</f>
        <v>0</v>
      </c>
      <c r="E26" s="195">
        <f t="shared" si="0"/>
        <v>0</v>
      </c>
      <c r="F26" s="195">
        <f t="shared" si="0"/>
        <v>0</v>
      </c>
      <c r="G26" s="195">
        <f t="shared" si="0"/>
        <v>0</v>
      </c>
      <c r="H26" s="195">
        <f t="shared" si="0"/>
        <v>0</v>
      </c>
      <c r="I26" s="195">
        <f t="shared" si="0"/>
        <v>0</v>
      </c>
      <c r="J26" s="195">
        <f t="shared" si="0"/>
        <v>0</v>
      </c>
      <c r="K26" s="195">
        <f t="shared" si="0"/>
        <v>0</v>
      </c>
      <c r="L26" s="195">
        <f t="shared" si="0"/>
        <v>0</v>
      </c>
      <c r="M26" s="195">
        <f>IF(M22="",2,IF(M22&lt;&gt;"",0,1))</f>
        <v>0</v>
      </c>
      <c r="N26" s="195">
        <f t="shared" si="0"/>
        <v>0</v>
      </c>
      <c r="O26" s="195" t="str">
        <f>IF(R26&gt;1,"入力確認",IF(Q26=Q27,"入力済","未入力"))</f>
        <v>未入力</v>
      </c>
      <c r="P26" s="197">
        <f>P25</f>
        <v>4</v>
      </c>
      <c r="Q26" s="194">
        <f>COUNTIF($C26:$N26,0)</f>
        <v>12</v>
      </c>
      <c r="R26" s="194">
        <f>COUNTIF($C26:$N26,1)</f>
        <v>0</v>
      </c>
      <c r="S26" s="194">
        <f>COUNTIF($C26:$N26,2)</f>
        <v>0</v>
      </c>
      <c r="T26" s="194"/>
    </row>
    <row r="27" spans="2:20" ht="18.75" hidden="1" customHeight="1" x14ac:dyDescent="0.45">
      <c r="B27" s="196" t="s">
        <v>445</v>
      </c>
      <c r="C27" s="195">
        <f>IF(AND(C23="",C25=""),2,IF(AND(C23&lt;&gt;"",C25&lt;&gt;""),0,1))</f>
        <v>0</v>
      </c>
      <c r="D27" s="195">
        <f t="shared" ref="D27:N27" si="1">IF(AND(D23="",D25=""),2,IF(AND(D23&lt;&gt;"",D25&lt;&gt;""),0,1))</f>
        <v>1</v>
      </c>
      <c r="E27" s="195">
        <f t="shared" si="1"/>
        <v>0</v>
      </c>
      <c r="F27" s="195">
        <f t="shared" si="1"/>
        <v>0</v>
      </c>
      <c r="G27" s="195">
        <f t="shared" si="1"/>
        <v>0</v>
      </c>
      <c r="H27" s="195">
        <f t="shared" si="1"/>
        <v>0</v>
      </c>
      <c r="I27" s="195">
        <f t="shared" si="1"/>
        <v>0</v>
      </c>
      <c r="J27" s="195">
        <f t="shared" si="1"/>
        <v>0</v>
      </c>
      <c r="K27" s="195">
        <f t="shared" si="1"/>
        <v>0</v>
      </c>
      <c r="L27" s="195">
        <f t="shared" si="1"/>
        <v>0</v>
      </c>
      <c r="M27" s="195">
        <f t="shared" si="1"/>
        <v>0</v>
      </c>
      <c r="N27" s="195">
        <f t="shared" si="1"/>
        <v>0</v>
      </c>
      <c r="O27" s="195" t="str">
        <f>IF(R27&gt;1,"入力確認",IF(Q27+S27=12,"入力済","未入力"))</f>
        <v>未入力</v>
      </c>
      <c r="P27" s="197"/>
      <c r="Q27" s="194">
        <f>COUNTIF($C27:$N27,0)</f>
        <v>11</v>
      </c>
      <c r="R27" s="194">
        <f>COUNTIF($C27:$N27,1)</f>
        <v>1</v>
      </c>
      <c r="S27" s="194">
        <f>COUNTIF($C27:$N27,2)</f>
        <v>0</v>
      </c>
    </row>
    <row r="28" spans="2:20" ht="18.75" hidden="1" customHeight="1" x14ac:dyDescent="0.45">
      <c r="B28" s="196" t="s">
        <v>446</v>
      </c>
      <c r="C28" s="195">
        <f>IF(AND(C26=2,C27=2),2,IF(C26&lt;&gt;C27,1,IF(AND(C26=0,C27=0),0,4)))</f>
        <v>0</v>
      </c>
      <c r="D28" s="195">
        <f t="shared" ref="D28:N28" si="2">IF(AND(D26=2,D27=2),2,IF(D26&lt;&gt;D27,1,IF(AND(D26=0,D27=0),0,4)))</f>
        <v>1</v>
      </c>
      <c r="E28" s="195">
        <f t="shared" si="2"/>
        <v>0</v>
      </c>
      <c r="F28" s="195">
        <f t="shared" si="2"/>
        <v>0</v>
      </c>
      <c r="G28" s="195">
        <f t="shared" si="2"/>
        <v>0</v>
      </c>
      <c r="H28" s="195">
        <f t="shared" si="2"/>
        <v>0</v>
      </c>
      <c r="I28" s="195">
        <f t="shared" si="2"/>
        <v>0</v>
      </c>
      <c r="J28" s="195">
        <f t="shared" si="2"/>
        <v>0</v>
      </c>
      <c r="K28" s="195">
        <f t="shared" si="2"/>
        <v>0</v>
      </c>
      <c r="L28" s="195">
        <f t="shared" si="2"/>
        <v>0</v>
      </c>
      <c r="M28" s="195">
        <f t="shared" si="2"/>
        <v>0</v>
      </c>
      <c r="N28" s="195">
        <f t="shared" si="2"/>
        <v>0</v>
      </c>
      <c r="O28" s="195" t="str">
        <f>IF(R28&gt;1,"入力確認",IF(Q28+S28=12,"入力済","未入力"))</f>
        <v>未入力</v>
      </c>
      <c r="P28" s="197">
        <f>IF(O28="未入力",1,IF(O28="入力済",0,2))</f>
        <v>1</v>
      </c>
      <c r="Q28" s="194">
        <f>COUNTIF($C28:$N28,0)</f>
        <v>11</v>
      </c>
      <c r="R28" s="194">
        <f>COUNTIF($C28:$N28,1)</f>
        <v>1</v>
      </c>
      <c r="S28" s="194">
        <f>COUNTIF($C28:$N28,2)</f>
        <v>0</v>
      </c>
    </row>
    <row r="29" spans="2:20" x14ac:dyDescent="0.45">
      <c r="B29" s="66" t="s">
        <v>515</v>
      </c>
      <c r="E29" s="76"/>
      <c r="F29" s="76"/>
      <c r="G29" s="76"/>
      <c r="H29" s="76"/>
      <c r="O29" s="77"/>
    </row>
    <row r="31" spans="2:20" ht="19.5" thickBot="1" x14ac:dyDescent="0.5"/>
    <row r="32" spans="2:20" ht="20.25" thickTop="1" thickBot="1" x14ac:dyDescent="0.5">
      <c r="B32" s="64" t="s">
        <v>520</v>
      </c>
      <c r="E32" s="349" t="s">
        <v>450</v>
      </c>
      <c r="F32" s="344" t="s">
        <v>177</v>
      </c>
      <c r="G32" s="67"/>
      <c r="H32" s="459" t="s">
        <v>523</v>
      </c>
      <c r="I32" s="459"/>
      <c r="J32" s="470"/>
      <c r="K32" s="470"/>
      <c r="L32" s="470"/>
    </row>
    <row r="33" spans="2:20" ht="19.5" customHeight="1" x14ac:dyDescent="0.45">
      <c r="B33" s="241" t="s">
        <v>599</v>
      </c>
      <c r="C33" s="343" t="s">
        <v>32</v>
      </c>
      <c r="D33" s="69" t="s">
        <v>31</v>
      </c>
      <c r="E33" s="340" t="s">
        <v>30</v>
      </c>
      <c r="F33" s="340" t="s">
        <v>29</v>
      </c>
      <c r="G33" s="69" t="s">
        <v>28</v>
      </c>
      <c r="H33" s="69" t="s">
        <v>27</v>
      </c>
      <c r="I33" s="69" t="s">
        <v>26</v>
      </c>
      <c r="J33" s="69" t="s">
        <v>25</v>
      </c>
      <c r="K33" s="69" t="s">
        <v>24</v>
      </c>
      <c r="L33" s="68" t="s">
        <v>23</v>
      </c>
      <c r="M33" s="69" t="s">
        <v>22</v>
      </c>
      <c r="N33" s="73" t="s">
        <v>21</v>
      </c>
      <c r="O33" s="163"/>
      <c r="P33" s="74"/>
    </row>
    <row r="34" spans="2:20" ht="38.25" customHeight="1" x14ac:dyDescent="0.45">
      <c r="B34" s="71" t="s">
        <v>414</v>
      </c>
      <c r="C34" s="87" t="s">
        <v>587</v>
      </c>
      <c r="D34" s="87" t="s">
        <v>588</v>
      </c>
      <c r="E34" s="87" t="s">
        <v>589</v>
      </c>
      <c r="F34" s="87" t="s">
        <v>590</v>
      </c>
      <c r="G34" s="87" t="s">
        <v>591</v>
      </c>
      <c r="H34" s="87" t="s">
        <v>592</v>
      </c>
      <c r="I34" s="87" t="s">
        <v>593</v>
      </c>
      <c r="J34" s="87" t="s">
        <v>594</v>
      </c>
      <c r="K34" s="87" t="s">
        <v>595</v>
      </c>
      <c r="L34" s="87" t="s">
        <v>596</v>
      </c>
      <c r="M34" s="87" t="s">
        <v>597</v>
      </c>
      <c r="N34" s="88" t="s">
        <v>598</v>
      </c>
      <c r="O34" s="157" t="s">
        <v>416</v>
      </c>
      <c r="P34" s="162" t="s">
        <v>415</v>
      </c>
    </row>
    <row r="35" spans="2:20" ht="19.5" customHeight="1" x14ac:dyDescent="0.45">
      <c r="B35" s="70" t="s">
        <v>33</v>
      </c>
      <c r="C35" s="454">
        <v>78</v>
      </c>
      <c r="D35" s="454">
        <v>78</v>
      </c>
      <c r="E35" s="454">
        <v>114</v>
      </c>
      <c r="F35" s="454">
        <v>103</v>
      </c>
      <c r="G35" s="454">
        <v>85</v>
      </c>
      <c r="H35" s="454">
        <v>102</v>
      </c>
      <c r="I35" s="454">
        <v>109</v>
      </c>
      <c r="J35" s="454">
        <v>123</v>
      </c>
      <c r="K35" s="454">
        <v>102</v>
      </c>
      <c r="L35" s="454">
        <v>99</v>
      </c>
      <c r="M35" s="454">
        <v>110</v>
      </c>
      <c r="N35" s="454">
        <v>119</v>
      </c>
      <c r="O35" s="466">
        <f>IF(ISERROR(12*SUM(C35:N36)/COUNT(C35:N36)),"",12*SUM(C35:N36)/COUNT(C35:N36))</f>
        <v>1222</v>
      </c>
      <c r="P35" s="464" t="str">
        <f>IF(P38=0,"",IF(P40=1,"未入力欄を確認",IF(P38=1,"年度を選択",IF(P38=2,"種別を選択",IF(P38=3,"単位を選択",IF(AND($E$32="都市ガス",$F$32="［m3］"),計算!$J$6,IF(AND($E$32="LPG",$F$32="［m3］"),計算!$J$7,IF(AND($E$32="LPG",$F$32="［kg］"),計算!$L$7,IF($E$32="LNG",計算!$J$8,IF($E$32="水素ガス",計算!$J$9,IF($E$32="天然ガス",計算!$J$10,"")))))))))))</f>
        <v>単位を選択</v>
      </c>
    </row>
    <row r="36" spans="2:20" ht="19.5" customHeight="1" thickBot="1" x14ac:dyDescent="0.5">
      <c r="B36" s="71" t="str">
        <f>IF(F32="","",F32)</f>
        <v>単位を選択</v>
      </c>
      <c r="C36" s="455"/>
      <c r="D36" s="455"/>
      <c r="E36" s="455"/>
      <c r="F36" s="455"/>
      <c r="G36" s="455"/>
      <c r="H36" s="455"/>
      <c r="I36" s="455"/>
      <c r="J36" s="463"/>
      <c r="K36" s="463"/>
      <c r="L36" s="463"/>
      <c r="M36" s="463"/>
      <c r="N36" s="463"/>
      <c r="O36" s="467"/>
      <c r="P36" s="465"/>
    </row>
    <row r="37" spans="2:20" ht="38.25" customHeight="1" thickTop="1" thickBot="1" x14ac:dyDescent="0.5">
      <c r="B37" s="72" t="s">
        <v>413</v>
      </c>
      <c r="C37" s="164">
        <v>10377</v>
      </c>
      <c r="D37" s="164">
        <v>10467</v>
      </c>
      <c r="E37" s="164">
        <v>14752</v>
      </c>
      <c r="F37" s="164">
        <v>13285</v>
      </c>
      <c r="G37" s="164">
        <v>11434</v>
      </c>
      <c r="H37" s="164">
        <v>13841</v>
      </c>
      <c r="I37" s="164">
        <v>15030</v>
      </c>
      <c r="J37" s="165">
        <v>17138</v>
      </c>
      <c r="K37" s="165">
        <v>14785</v>
      </c>
      <c r="L37" s="165">
        <v>15258</v>
      </c>
      <c r="M37" s="165">
        <v>17637</v>
      </c>
      <c r="N37" s="165">
        <v>19312</v>
      </c>
      <c r="O37" s="167">
        <f>IF(ISERROR(12*SUM(C37:N37)/COUNT(C37:N37)),"",12*SUM(C37:N37)/COUNT(C37:N37))</f>
        <v>173316</v>
      </c>
      <c r="P37" s="168">
        <f>IF(AND(O35="",O37="",P40=0),0,IF(OR(B33="",B33="年度を選択"),1,IF(OR(E32="",E32="種別を選択"),2,IF(OR(F32="",F32="単位を選択"),3,4))))</f>
        <v>3</v>
      </c>
      <c r="Q37" s="194"/>
      <c r="R37" s="194"/>
    </row>
    <row r="38" spans="2:20" ht="18.75" hidden="1" customHeight="1" x14ac:dyDescent="0.45">
      <c r="B38" s="196" t="s">
        <v>444</v>
      </c>
      <c r="C38" s="195">
        <f>IF(C34="",2,IF(C34&lt;&gt;"",0,1))</f>
        <v>0</v>
      </c>
      <c r="D38" s="195">
        <f t="shared" ref="D38:L38" si="3">IF(D34="",2,IF(D34&lt;&gt;"",0,1))</f>
        <v>0</v>
      </c>
      <c r="E38" s="195">
        <f t="shared" si="3"/>
        <v>0</v>
      </c>
      <c r="F38" s="195">
        <f t="shared" si="3"/>
        <v>0</v>
      </c>
      <c r="G38" s="195">
        <f t="shared" si="3"/>
        <v>0</v>
      </c>
      <c r="H38" s="195">
        <f t="shared" si="3"/>
        <v>0</v>
      </c>
      <c r="I38" s="195">
        <f t="shared" si="3"/>
        <v>0</v>
      </c>
      <c r="J38" s="195">
        <f t="shared" si="3"/>
        <v>0</v>
      </c>
      <c r="K38" s="195">
        <f t="shared" si="3"/>
        <v>0</v>
      </c>
      <c r="L38" s="195">
        <f t="shared" si="3"/>
        <v>0</v>
      </c>
      <c r="M38" s="195">
        <f>IF(M34="",2,IF(M34&lt;&gt;"",0,1))</f>
        <v>0</v>
      </c>
      <c r="N38" s="195">
        <f t="shared" ref="N38" si="4">IF(N34="",2,IF(N34&lt;&gt;"",0,1))</f>
        <v>0</v>
      </c>
      <c r="O38" s="195" t="str">
        <f>IF(R38&gt;1,"入力確認",IF(Q38=Q39,"入力済","未入力"))</f>
        <v>入力済</v>
      </c>
      <c r="P38" s="197">
        <f>P37</f>
        <v>3</v>
      </c>
      <c r="Q38" s="194">
        <f>COUNTIF($C38:$N38,0)</f>
        <v>12</v>
      </c>
      <c r="R38" s="194">
        <f>COUNTIF($C38:$N38,1)</f>
        <v>0</v>
      </c>
      <c r="S38" s="194">
        <f>COUNTIF($C38:$N38,2)</f>
        <v>0</v>
      </c>
      <c r="T38" s="194"/>
    </row>
    <row r="39" spans="2:20" ht="18.75" hidden="1" customHeight="1" x14ac:dyDescent="0.45">
      <c r="B39" s="196" t="s">
        <v>445</v>
      </c>
      <c r="C39" s="195">
        <f>IF(AND(C35="",C37=""),2,IF(AND(C35&lt;&gt;"",C37&lt;&gt;""),0,1))</f>
        <v>0</v>
      </c>
      <c r="D39" s="195">
        <f t="shared" ref="D39:N39" si="5">IF(AND(D35="",D37=""),2,IF(AND(D35&lt;&gt;"",D37&lt;&gt;""),0,1))</f>
        <v>0</v>
      </c>
      <c r="E39" s="195">
        <f t="shared" si="5"/>
        <v>0</v>
      </c>
      <c r="F39" s="195">
        <f t="shared" si="5"/>
        <v>0</v>
      </c>
      <c r="G39" s="195">
        <f t="shared" si="5"/>
        <v>0</v>
      </c>
      <c r="H39" s="195">
        <f t="shared" si="5"/>
        <v>0</v>
      </c>
      <c r="I39" s="195">
        <f t="shared" si="5"/>
        <v>0</v>
      </c>
      <c r="J39" s="195">
        <f t="shared" si="5"/>
        <v>0</v>
      </c>
      <c r="K39" s="195">
        <f t="shared" si="5"/>
        <v>0</v>
      </c>
      <c r="L39" s="195">
        <f t="shared" si="5"/>
        <v>0</v>
      </c>
      <c r="M39" s="195">
        <f t="shared" si="5"/>
        <v>0</v>
      </c>
      <c r="N39" s="195">
        <f t="shared" si="5"/>
        <v>0</v>
      </c>
      <c r="O39" s="195" t="str">
        <f>IF(R39&gt;1,"入力確認",IF(Q39+S39=12,"入力済","未入力"))</f>
        <v>入力済</v>
      </c>
      <c r="P39" s="197"/>
      <c r="Q39" s="194">
        <f>COUNTIF($C39:$N39,0)</f>
        <v>12</v>
      </c>
      <c r="R39" s="194">
        <f>COUNTIF($C39:$N39,1)</f>
        <v>0</v>
      </c>
      <c r="S39" s="194">
        <f>COUNTIF($C39:$N39,2)</f>
        <v>0</v>
      </c>
    </row>
    <row r="40" spans="2:20" ht="18.75" hidden="1" customHeight="1" x14ac:dyDescent="0.45">
      <c r="B40" s="196" t="s">
        <v>446</v>
      </c>
      <c r="C40" s="195">
        <f>IF(AND(C38=2,C39=2),2,IF(C38&lt;&gt;C39,1,IF(AND(C38=0,C39=0),0,4)))</f>
        <v>0</v>
      </c>
      <c r="D40" s="195">
        <f t="shared" ref="D40:N40" si="6">IF(AND(D38=2,D39=2),2,IF(D38&lt;&gt;D39,1,IF(AND(D38=0,D39=0),0,4)))</f>
        <v>0</v>
      </c>
      <c r="E40" s="195">
        <f t="shared" si="6"/>
        <v>0</v>
      </c>
      <c r="F40" s="195">
        <f t="shared" si="6"/>
        <v>0</v>
      </c>
      <c r="G40" s="195">
        <f t="shared" si="6"/>
        <v>0</v>
      </c>
      <c r="H40" s="195">
        <f t="shared" si="6"/>
        <v>0</v>
      </c>
      <c r="I40" s="195">
        <f t="shared" si="6"/>
        <v>0</v>
      </c>
      <c r="J40" s="195">
        <f t="shared" si="6"/>
        <v>0</v>
      </c>
      <c r="K40" s="195">
        <f t="shared" si="6"/>
        <v>0</v>
      </c>
      <c r="L40" s="195">
        <f t="shared" si="6"/>
        <v>0</v>
      </c>
      <c r="M40" s="195">
        <f t="shared" si="6"/>
        <v>0</v>
      </c>
      <c r="N40" s="195">
        <f t="shared" si="6"/>
        <v>0</v>
      </c>
      <c r="O40" s="195" t="str">
        <f>IF(R40&gt;1,"入力確認",IF(Q40+S40=12,"入力済","未入力"))</f>
        <v>入力済</v>
      </c>
      <c r="P40" s="197">
        <f>IF(O40="未入力",1,IF(O40="入力済",0,2))</f>
        <v>0</v>
      </c>
      <c r="Q40" s="194">
        <f>COUNTIF($C40:$N40,0)</f>
        <v>12</v>
      </c>
      <c r="R40" s="194">
        <f>COUNTIF($C40:$N40,1)</f>
        <v>0</v>
      </c>
      <c r="S40" s="194">
        <f>COUNTIF($C40:$N40,2)</f>
        <v>0</v>
      </c>
    </row>
    <row r="41" spans="2:20" x14ac:dyDescent="0.45">
      <c r="B41" s="66" t="s">
        <v>521</v>
      </c>
      <c r="E41" s="76"/>
      <c r="F41" s="76"/>
      <c r="G41" s="76"/>
      <c r="H41" s="76"/>
      <c r="O41" s="77"/>
    </row>
    <row r="42" spans="2:20" x14ac:dyDescent="0.45">
      <c r="E42" s="76"/>
      <c r="F42" s="76"/>
      <c r="G42" s="76"/>
      <c r="H42" s="76"/>
      <c r="O42" s="77"/>
    </row>
    <row r="43" spans="2:20" ht="20.25" customHeight="1" thickBot="1" x14ac:dyDescent="0.5">
      <c r="B43" s="64" t="s">
        <v>516</v>
      </c>
      <c r="E43" s="476" t="s">
        <v>89</v>
      </c>
      <c r="F43" s="476"/>
      <c r="G43" s="67"/>
      <c r="H43" s="459" t="s">
        <v>523</v>
      </c>
      <c r="I43" s="459"/>
      <c r="J43" s="477" t="s">
        <v>625</v>
      </c>
      <c r="K43" s="477"/>
      <c r="L43" s="477"/>
    </row>
    <row r="44" spans="2:20" ht="19.5" customHeight="1" x14ac:dyDescent="0.45">
      <c r="B44" s="241" t="s">
        <v>599</v>
      </c>
      <c r="C44" s="343" t="s">
        <v>32</v>
      </c>
      <c r="D44" s="69" t="s">
        <v>31</v>
      </c>
      <c r="E44" s="340" t="s">
        <v>30</v>
      </c>
      <c r="F44" s="340" t="s">
        <v>29</v>
      </c>
      <c r="G44" s="69" t="s">
        <v>28</v>
      </c>
      <c r="H44" s="69" t="s">
        <v>27</v>
      </c>
      <c r="I44" s="69" t="s">
        <v>26</v>
      </c>
      <c r="J44" s="340" t="s">
        <v>25</v>
      </c>
      <c r="K44" s="340" t="s">
        <v>24</v>
      </c>
      <c r="L44" s="345" t="s">
        <v>23</v>
      </c>
      <c r="M44" s="69" t="s">
        <v>22</v>
      </c>
      <c r="N44" s="73" t="s">
        <v>21</v>
      </c>
      <c r="O44" s="163"/>
      <c r="P44" s="74"/>
    </row>
    <row r="45" spans="2:20" ht="38.25" customHeight="1" x14ac:dyDescent="0.45">
      <c r="B45" s="71" t="s">
        <v>414</v>
      </c>
      <c r="C45" s="87" t="s">
        <v>600</v>
      </c>
      <c r="D45" s="87" t="s">
        <v>601</v>
      </c>
      <c r="E45" s="87" t="s">
        <v>602</v>
      </c>
      <c r="F45" s="87" t="s">
        <v>603</v>
      </c>
      <c r="G45" s="87" t="s">
        <v>604</v>
      </c>
      <c r="H45" s="87" t="s">
        <v>605</v>
      </c>
      <c r="I45" s="87" t="s">
        <v>606</v>
      </c>
      <c r="J45" s="87" t="s">
        <v>607</v>
      </c>
      <c r="K45" s="87" t="s">
        <v>608</v>
      </c>
      <c r="L45" s="87" t="s">
        <v>609</v>
      </c>
      <c r="M45" s="87" t="s">
        <v>610</v>
      </c>
      <c r="N45" s="88" t="s">
        <v>611</v>
      </c>
      <c r="O45" s="157" t="s">
        <v>416</v>
      </c>
      <c r="P45" s="162" t="s">
        <v>415</v>
      </c>
    </row>
    <row r="46" spans="2:20" ht="19.5" customHeight="1" x14ac:dyDescent="0.45">
      <c r="B46" s="70" t="s">
        <v>18</v>
      </c>
      <c r="C46" s="454">
        <v>13663</v>
      </c>
      <c r="D46" s="454">
        <v>15008</v>
      </c>
      <c r="E46" s="454">
        <v>16961</v>
      </c>
      <c r="F46" s="454">
        <v>16164</v>
      </c>
      <c r="G46" s="454">
        <v>18522</v>
      </c>
      <c r="H46" s="454">
        <v>13621</v>
      </c>
      <c r="I46" s="454">
        <v>13542</v>
      </c>
      <c r="J46" s="454">
        <v>12063</v>
      </c>
      <c r="K46" s="454">
        <v>15467</v>
      </c>
      <c r="L46" s="454">
        <v>18524</v>
      </c>
      <c r="M46" s="454">
        <v>18504</v>
      </c>
      <c r="N46" s="454">
        <v>16500</v>
      </c>
      <c r="O46" s="466">
        <f>IF(ISERROR(12*SUM(C46:N47)/COUNT(C46:N47)),"",12*SUM(C46:N47)/COUNT(C46:N47))</f>
        <v>188539</v>
      </c>
      <c r="P46" s="473">
        <f>IF(P49=0,"",IF(P51=1,"未入力欄を確認",IF(P49=1,"年度を選択",IF(P49=2,"エネルギー種別を選択",IF($E43="電気",計算!$J$17,IF($E43="都市ガス",計算!$J$18,IF($E43="温水・冷水",計算!$J$19,IF($E43="産業用蒸気",計算!$J$20,IF($E43="産業用以外の蒸気",計算!$J$21,IF($E43="灯油",計算!$J$22,IF($E43="軽油",計算!$J$23,IF($E43="A重油",計算!$J$24,IF($E43="B・Ｃ重油",計算!$J$25,"")))))))))))))</f>
        <v>47.48</v>
      </c>
    </row>
    <row r="47" spans="2:20" ht="19.5" customHeight="1" thickBot="1" x14ac:dyDescent="0.5">
      <c r="B47" s="71" t="str">
        <f>IF(E43="電気","［kWh］",IF(E43="都市ガス","［m3］",IF(OR(E43="温水・冷水",E43="産業用蒸気",E43="産業用以外の蒸気"),"［MJ］","［L］")))</f>
        <v>［kWh］</v>
      </c>
      <c r="C47" s="455"/>
      <c r="D47" s="455"/>
      <c r="E47" s="455"/>
      <c r="F47" s="455"/>
      <c r="G47" s="455"/>
      <c r="H47" s="455"/>
      <c r="I47" s="455"/>
      <c r="J47" s="463"/>
      <c r="K47" s="463"/>
      <c r="L47" s="463"/>
      <c r="M47" s="463"/>
      <c r="N47" s="463"/>
      <c r="O47" s="467"/>
      <c r="P47" s="469"/>
    </row>
    <row r="48" spans="2:20" ht="38.25" customHeight="1" thickTop="1" thickBot="1" x14ac:dyDescent="0.5">
      <c r="B48" s="72" t="s">
        <v>413</v>
      </c>
      <c r="C48" s="164">
        <v>255924</v>
      </c>
      <c r="D48" s="164">
        <v>282654</v>
      </c>
      <c r="E48" s="164">
        <v>319180</v>
      </c>
      <c r="F48" s="164">
        <v>322811</v>
      </c>
      <c r="G48" s="164">
        <v>375423</v>
      </c>
      <c r="H48" s="164">
        <v>292519</v>
      </c>
      <c r="I48" s="164">
        <v>282963</v>
      </c>
      <c r="J48" s="165">
        <v>261350</v>
      </c>
      <c r="K48" s="165">
        <v>332692</v>
      </c>
      <c r="L48" s="165">
        <v>413989</v>
      </c>
      <c r="M48" s="165">
        <v>433012</v>
      </c>
      <c r="N48" s="165">
        <v>397282</v>
      </c>
      <c r="O48" s="75">
        <f>IF(ISERROR(12*SUM(C48:N48)/COUNT(C48:N48)),"",12*SUM(C48:N48)/COUNT(C48:N48))</f>
        <v>3969799</v>
      </c>
      <c r="P48" s="168">
        <f>IF(AND(O46="",O48="",P51=0),0,IF(OR(B44="",B44="年度を選択"),1,IF(OR(E43="",E43="エネルギー種別を選択"),2,4)))</f>
        <v>4</v>
      </c>
      <c r="Q48" s="194"/>
    </row>
    <row r="49" spans="2:20" ht="18.75" hidden="1" customHeight="1" x14ac:dyDescent="0.45">
      <c r="B49" s="196" t="s">
        <v>444</v>
      </c>
      <c r="C49" s="195">
        <f>IF(C45="",2,IF(C45&lt;&gt;"",0,1))</f>
        <v>0</v>
      </c>
      <c r="D49" s="195">
        <f t="shared" ref="D49:L49" si="7">IF(D45="",2,IF(D45&lt;&gt;"",0,1))</f>
        <v>0</v>
      </c>
      <c r="E49" s="195">
        <f t="shared" si="7"/>
        <v>0</v>
      </c>
      <c r="F49" s="195">
        <f t="shared" si="7"/>
        <v>0</v>
      </c>
      <c r="G49" s="195">
        <f t="shared" si="7"/>
        <v>0</v>
      </c>
      <c r="H49" s="195">
        <f t="shared" si="7"/>
        <v>0</v>
      </c>
      <c r="I49" s="195">
        <f t="shared" si="7"/>
        <v>0</v>
      </c>
      <c r="J49" s="195">
        <f t="shared" si="7"/>
        <v>0</v>
      </c>
      <c r="K49" s="195">
        <f t="shared" si="7"/>
        <v>0</v>
      </c>
      <c r="L49" s="195">
        <f t="shared" si="7"/>
        <v>0</v>
      </c>
      <c r="M49" s="195">
        <f>IF(M45="",2,IF(M45&lt;&gt;"",0,1))</f>
        <v>0</v>
      </c>
      <c r="N49" s="195">
        <f t="shared" ref="N49" si="8">IF(N45="",2,IF(N45&lt;&gt;"",0,1))</f>
        <v>0</v>
      </c>
      <c r="O49" s="195" t="str">
        <f>IF(R49&gt;1,"入力確認",IF(Q49=Q50,"入力済","未入力"))</f>
        <v>入力済</v>
      </c>
      <c r="P49" s="197">
        <f>P48</f>
        <v>4</v>
      </c>
      <c r="Q49" s="194">
        <f>COUNTIF($C49:$N49,0)</f>
        <v>12</v>
      </c>
      <c r="R49" s="194">
        <f>COUNTIF($C49:$N49,1)</f>
        <v>0</v>
      </c>
      <c r="S49" s="194">
        <f>COUNTIF($C49:$N49,2)</f>
        <v>0</v>
      </c>
      <c r="T49" s="194"/>
    </row>
    <row r="50" spans="2:20" ht="18.75" hidden="1" customHeight="1" x14ac:dyDescent="0.45">
      <c r="B50" s="196" t="s">
        <v>445</v>
      </c>
      <c r="C50" s="195">
        <f>IF(AND(C46="",C48=""),2,IF(AND(C46&lt;&gt;"",C48&lt;&gt;""),0,1))</f>
        <v>0</v>
      </c>
      <c r="D50" s="195">
        <f t="shared" ref="D50:N50" si="9">IF(AND(D46="",D48=""),2,IF(AND(D46&lt;&gt;"",D48&lt;&gt;""),0,1))</f>
        <v>0</v>
      </c>
      <c r="E50" s="195">
        <f t="shared" si="9"/>
        <v>0</v>
      </c>
      <c r="F50" s="195">
        <f t="shared" si="9"/>
        <v>0</v>
      </c>
      <c r="G50" s="195">
        <f t="shared" si="9"/>
        <v>0</v>
      </c>
      <c r="H50" s="195">
        <f t="shared" si="9"/>
        <v>0</v>
      </c>
      <c r="I50" s="195">
        <f t="shared" si="9"/>
        <v>0</v>
      </c>
      <c r="J50" s="195">
        <f t="shared" si="9"/>
        <v>0</v>
      </c>
      <c r="K50" s="195">
        <f t="shared" si="9"/>
        <v>0</v>
      </c>
      <c r="L50" s="195">
        <f t="shared" si="9"/>
        <v>0</v>
      </c>
      <c r="M50" s="195">
        <f t="shared" si="9"/>
        <v>0</v>
      </c>
      <c r="N50" s="195">
        <f t="shared" si="9"/>
        <v>0</v>
      </c>
      <c r="O50" s="195" t="str">
        <f>IF(R50&gt;1,"入力確認",IF(Q50+S50=12,"入力済","未入力"))</f>
        <v>入力済</v>
      </c>
      <c r="P50" s="197"/>
      <c r="Q50" s="194">
        <f>COUNTIF($C50:$N50,0)</f>
        <v>12</v>
      </c>
      <c r="R50" s="194">
        <f>COUNTIF($C50:$N50,1)</f>
        <v>0</v>
      </c>
      <c r="S50" s="194">
        <f>COUNTIF($C50:$N50,2)</f>
        <v>0</v>
      </c>
    </row>
    <row r="51" spans="2:20" ht="18.75" hidden="1" customHeight="1" x14ac:dyDescent="0.45">
      <c r="B51" s="196" t="s">
        <v>446</v>
      </c>
      <c r="C51" s="195">
        <f>IF(AND(C49=2,C50=2),2,IF(C49&lt;&gt;C50,1,IF(AND(C49=0,C50=0),0,4)))</f>
        <v>0</v>
      </c>
      <c r="D51" s="195">
        <f t="shared" ref="D51:N51" si="10">IF(AND(D49=2,D50=2),2,IF(D49&lt;&gt;D50,1,IF(AND(D49=0,D50=0),0,4)))</f>
        <v>0</v>
      </c>
      <c r="E51" s="195">
        <f t="shared" si="10"/>
        <v>0</v>
      </c>
      <c r="F51" s="195">
        <f t="shared" si="10"/>
        <v>0</v>
      </c>
      <c r="G51" s="195">
        <f t="shared" si="10"/>
        <v>0</v>
      </c>
      <c r="H51" s="195">
        <f t="shared" si="10"/>
        <v>0</v>
      </c>
      <c r="I51" s="195">
        <f t="shared" si="10"/>
        <v>0</v>
      </c>
      <c r="J51" s="195">
        <f t="shared" si="10"/>
        <v>0</v>
      </c>
      <c r="K51" s="195">
        <f t="shared" si="10"/>
        <v>0</v>
      </c>
      <c r="L51" s="195">
        <f t="shared" si="10"/>
        <v>0</v>
      </c>
      <c r="M51" s="195">
        <f t="shared" si="10"/>
        <v>0</v>
      </c>
      <c r="N51" s="195">
        <f t="shared" si="10"/>
        <v>0</v>
      </c>
      <c r="O51" s="195" t="str">
        <f>IF(R51&gt;1,"入力確認",IF(Q51+S51=12,"入力済","未入力"))</f>
        <v>入力済</v>
      </c>
      <c r="P51" s="197">
        <f>IF(O51="未入力",1,IF(O51="入力済",0,2))</f>
        <v>0</v>
      </c>
      <c r="Q51" s="194">
        <f>COUNTIF($C51:$N51,0)</f>
        <v>12</v>
      </c>
      <c r="R51" s="194">
        <f>COUNTIF($C51:$N51,1)</f>
        <v>0</v>
      </c>
      <c r="S51" s="194">
        <f>COUNTIF($C51:$N51,2)</f>
        <v>0</v>
      </c>
    </row>
    <row r="52" spans="2:20" x14ac:dyDescent="0.45">
      <c r="E52" s="76"/>
      <c r="F52" s="76"/>
      <c r="G52" s="76"/>
      <c r="H52" s="76"/>
      <c r="O52" s="77"/>
    </row>
    <row r="53" spans="2:20" x14ac:dyDescent="0.45">
      <c r="E53" s="76"/>
      <c r="F53" s="76"/>
      <c r="G53" s="76"/>
      <c r="H53" s="76"/>
      <c r="O53" s="77"/>
    </row>
    <row r="54" spans="2:20" ht="20.25" customHeight="1" thickBot="1" x14ac:dyDescent="0.5">
      <c r="B54" s="64" t="s">
        <v>517</v>
      </c>
      <c r="E54" s="476" t="s">
        <v>441</v>
      </c>
      <c r="F54" s="476"/>
      <c r="G54" s="67"/>
      <c r="H54" s="459" t="s">
        <v>523</v>
      </c>
      <c r="I54" s="459"/>
      <c r="J54" s="470"/>
      <c r="K54" s="470"/>
      <c r="L54" s="470"/>
    </row>
    <row r="55" spans="2:20" ht="19.5" customHeight="1" x14ac:dyDescent="0.45">
      <c r="B55" s="241" t="s">
        <v>599</v>
      </c>
      <c r="C55" s="343" t="s">
        <v>32</v>
      </c>
      <c r="D55" s="69" t="s">
        <v>31</v>
      </c>
      <c r="E55" s="340" t="s">
        <v>30</v>
      </c>
      <c r="F55" s="340" t="s">
        <v>29</v>
      </c>
      <c r="G55" s="69" t="s">
        <v>28</v>
      </c>
      <c r="H55" s="69" t="s">
        <v>27</v>
      </c>
      <c r="I55" s="69" t="s">
        <v>26</v>
      </c>
      <c r="J55" s="69" t="s">
        <v>25</v>
      </c>
      <c r="K55" s="69" t="s">
        <v>24</v>
      </c>
      <c r="L55" s="68" t="s">
        <v>23</v>
      </c>
      <c r="M55" s="69" t="s">
        <v>22</v>
      </c>
      <c r="N55" s="73" t="s">
        <v>21</v>
      </c>
      <c r="O55" s="163"/>
      <c r="P55" s="74"/>
    </row>
    <row r="56" spans="2:20" ht="38.25" customHeight="1" x14ac:dyDescent="0.45">
      <c r="B56" s="71" t="s">
        <v>414</v>
      </c>
      <c r="C56" s="87" t="s">
        <v>612</v>
      </c>
      <c r="D56" s="87" t="s">
        <v>613</v>
      </c>
      <c r="E56" s="87" t="s">
        <v>614</v>
      </c>
      <c r="F56" s="87" t="s">
        <v>615</v>
      </c>
      <c r="G56" s="87" t="s">
        <v>616</v>
      </c>
      <c r="H56" s="87" t="s">
        <v>617</v>
      </c>
      <c r="I56" s="87" t="s">
        <v>618</v>
      </c>
      <c r="J56" s="87" t="s">
        <v>619</v>
      </c>
      <c r="K56" s="87" t="s">
        <v>620</v>
      </c>
      <c r="L56" s="227" t="s">
        <v>621</v>
      </c>
      <c r="M56" s="87" t="s">
        <v>622</v>
      </c>
      <c r="N56" s="88" t="s">
        <v>623</v>
      </c>
      <c r="O56" s="157" t="s">
        <v>416</v>
      </c>
      <c r="P56" s="162" t="s">
        <v>415</v>
      </c>
    </row>
    <row r="57" spans="2:20" ht="19.5" customHeight="1" x14ac:dyDescent="0.45">
      <c r="B57" s="70" t="s">
        <v>18</v>
      </c>
      <c r="C57" s="454">
        <v>247</v>
      </c>
      <c r="D57" s="454">
        <v>269</v>
      </c>
      <c r="E57" s="454">
        <v>230</v>
      </c>
      <c r="F57" s="454">
        <v>222</v>
      </c>
      <c r="G57" s="454">
        <v>266</v>
      </c>
      <c r="H57" s="454">
        <v>224</v>
      </c>
      <c r="I57" s="454">
        <v>328</v>
      </c>
      <c r="J57" s="454">
        <v>369</v>
      </c>
      <c r="K57" s="454">
        <v>394</v>
      </c>
      <c r="L57" s="454">
        <v>378</v>
      </c>
      <c r="M57" s="454">
        <v>342</v>
      </c>
      <c r="N57" s="474">
        <v>348</v>
      </c>
      <c r="O57" s="466">
        <f>IF(ISERROR(12*SUM(C57:N58)/COUNT(C57:N58)),"",12*SUM(C57:N58)/COUNT(C57:N58))</f>
        <v>3617</v>
      </c>
      <c r="P57" s="473">
        <f>IF(P60=0,"",IF(P62=1,"未入力欄を確認",IF(P60=1,"年度を選択",IF(P60=2,"エネルギー種別を選択",IF($E54="電気",計算!$J$28,IF($E54="都市ガス",計算!$J$29,IF($E54="温水・冷水",計算!$J$30,IF($E54="産業用蒸気",計算!$J$31,IF($E54="産業用以外の蒸気",計算!$J$32,IF($E54="灯油",計算!$J$33,IF($E54="軽油",計算!$J$34,IF($E54="A重油",計算!$J$35,IF($E54="B・Ｃ重油",計算!$J$36,"")))))))))))))</f>
        <v>4.0599999999999996</v>
      </c>
    </row>
    <row r="58" spans="2:20" ht="19.5" customHeight="1" thickBot="1" x14ac:dyDescent="0.5">
      <c r="B58" s="71" t="str">
        <f>IF(E54="電気","［kWh］",IF(E54="都市ガス","［m3］",IF(OR(E54="温水・冷水",E54="産業用蒸気",E54="産業用以外の蒸気"),"［MJ］","［L］")))</f>
        <v>［m3］</v>
      </c>
      <c r="C58" s="455"/>
      <c r="D58" s="455"/>
      <c r="E58" s="455"/>
      <c r="F58" s="455"/>
      <c r="G58" s="455"/>
      <c r="H58" s="455"/>
      <c r="I58" s="455"/>
      <c r="J58" s="463"/>
      <c r="K58" s="463"/>
      <c r="L58" s="463"/>
      <c r="M58" s="463"/>
      <c r="N58" s="475"/>
      <c r="O58" s="467"/>
      <c r="P58" s="469"/>
    </row>
    <row r="59" spans="2:20" ht="38.25" customHeight="1" thickTop="1" thickBot="1" x14ac:dyDescent="0.5">
      <c r="B59" s="72" t="s">
        <v>413</v>
      </c>
      <c r="C59" s="164">
        <v>31853</v>
      </c>
      <c r="D59" s="164">
        <v>34521</v>
      </c>
      <c r="E59" s="164">
        <v>29770</v>
      </c>
      <c r="F59" s="164">
        <v>28742</v>
      </c>
      <c r="G59" s="164">
        <v>33968</v>
      </c>
      <c r="H59" s="164">
        <v>28424</v>
      </c>
      <c r="I59" s="164">
        <v>39516</v>
      </c>
      <c r="J59" s="165">
        <v>42279</v>
      </c>
      <c r="K59" s="165">
        <v>43226</v>
      </c>
      <c r="L59" s="165">
        <v>40671</v>
      </c>
      <c r="M59" s="165">
        <v>37189</v>
      </c>
      <c r="N59" s="166">
        <v>38804</v>
      </c>
      <c r="O59" s="75">
        <f>IF(ISERROR(12*SUM(C59:N59)/COUNT(C59:N59)),"",12*SUM(C59:N59)/COUNT(C59:N59))</f>
        <v>428963</v>
      </c>
      <c r="P59" s="112">
        <f>IF(AND(O57="",O59="",P62=0),0,IF(OR(B55="",B55="年度を選択"),1,IF(OR(E54="",E54="エネルギー種別を選択"),2,4)))</f>
        <v>4</v>
      </c>
      <c r="Q59" s="194"/>
    </row>
    <row r="60" spans="2:20" ht="18.75" hidden="1" customHeight="1" x14ac:dyDescent="0.45">
      <c r="B60" s="196" t="s">
        <v>444</v>
      </c>
      <c r="C60" s="195">
        <f>IF(C56="",2,IF(C56&lt;&gt;"",0,1))</f>
        <v>0</v>
      </c>
      <c r="D60" s="195">
        <f t="shared" ref="D60:L60" si="11">IF(D56="",2,IF(D56&lt;&gt;"",0,1))</f>
        <v>0</v>
      </c>
      <c r="E60" s="195">
        <f t="shared" si="11"/>
        <v>0</v>
      </c>
      <c r="F60" s="195">
        <f t="shared" si="11"/>
        <v>0</v>
      </c>
      <c r="G60" s="195">
        <f t="shared" si="11"/>
        <v>0</v>
      </c>
      <c r="H60" s="195">
        <f t="shared" si="11"/>
        <v>0</v>
      </c>
      <c r="I60" s="195">
        <f t="shared" si="11"/>
        <v>0</v>
      </c>
      <c r="J60" s="195">
        <f t="shared" si="11"/>
        <v>0</v>
      </c>
      <c r="K60" s="195">
        <f t="shared" si="11"/>
        <v>0</v>
      </c>
      <c r="L60" s="195">
        <f t="shared" si="11"/>
        <v>0</v>
      </c>
      <c r="M60" s="195">
        <f>IF(M56="",2,IF(M56&lt;&gt;"",0,1))</f>
        <v>0</v>
      </c>
      <c r="N60" s="195">
        <f t="shared" ref="N60" si="12">IF(N56="",2,IF(N56&lt;&gt;"",0,1))</f>
        <v>0</v>
      </c>
      <c r="O60" s="195" t="str">
        <f>IF(R60&gt;1,"入力確認",IF(Q60=Q61,"入力済","未入力"))</f>
        <v>入力済</v>
      </c>
      <c r="P60" s="197">
        <f>P59</f>
        <v>4</v>
      </c>
      <c r="Q60" s="194">
        <f>COUNTIF($C60:$N60,0)</f>
        <v>12</v>
      </c>
      <c r="R60" s="194">
        <f>COUNTIF($C60:$N60,1)</f>
        <v>0</v>
      </c>
      <c r="S60" s="194">
        <f>COUNTIF($C60:$N60,2)</f>
        <v>0</v>
      </c>
      <c r="T60" s="194"/>
    </row>
    <row r="61" spans="2:20" ht="18.75" hidden="1" customHeight="1" x14ac:dyDescent="0.45">
      <c r="B61" s="196" t="s">
        <v>445</v>
      </c>
      <c r="C61" s="195">
        <f>IF(AND(C57="",C59=""),2,IF(AND(C57&lt;&gt;"",C59&lt;&gt;""),0,1))</f>
        <v>0</v>
      </c>
      <c r="D61" s="195">
        <f t="shared" ref="D61:N61" si="13">IF(AND(D57="",D59=""),2,IF(AND(D57&lt;&gt;"",D59&lt;&gt;""),0,1))</f>
        <v>0</v>
      </c>
      <c r="E61" s="195">
        <f t="shared" si="13"/>
        <v>0</v>
      </c>
      <c r="F61" s="195">
        <f t="shared" si="13"/>
        <v>0</v>
      </c>
      <c r="G61" s="195">
        <f t="shared" si="13"/>
        <v>0</v>
      </c>
      <c r="H61" s="195">
        <f t="shared" si="13"/>
        <v>0</v>
      </c>
      <c r="I61" s="195">
        <f t="shared" si="13"/>
        <v>0</v>
      </c>
      <c r="J61" s="195">
        <f t="shared" si="13"/>
        <v>0</v>
      </c>
      <c r="K61" s="195">
        <f t="shared" si="13"/>
        <v>0</v>
      </c>
      <c r="L61" s="195">
        <f t="shared" si="13"/>
        <v>0</v>
      </c>
      <c r="M61" s="195">
        <f t="shared" si="13"/>
        <v>0</v>
      </c>
      <c r="N61" s="195">
        <f t="shared" si="13"/>
        <v>0</v>
      </c>
      <c r="O61" s="195" t="str">
        <f>IF(R61&gt;1,"入力確認",IF(Q61+S61=12,"入力済","未入力"))</f>
        <v>入力済</v>
      </c>
      <c r="P61" s="197"/>
      <c r="Q61" s="194">
        <f>COUNTIF($C61:$N61,0)</f>
        <v>12</v>
      </c>
      <c r="R61" s="194">
        <f>COUNTIF($C61:$N61,1)</f>
        <v>0</v>
      </c>
      <c r="S61" s="194">
        <f>COUNTIF($C61:$N61,2)</f>
        <v>0</v>
      </c>
    </row>
    <row r="62" spans="2:20" ht="18.75" hidden="1" customHeight="1" x14ac:dyDescent="0.45">
      <c r="B62" s="196" t="s">
        <v>446</v>
      </c>
      <c r="C62" s="195">
        <f>IF(AND(C60=2,C61=2),2,IF(C60&lt;&gt;C61,1,IF(AND(C60=0,C61=0),0,4)))</f>
        <v>0</v>
      </c>
      <c r="D62" s="195">
        <f t="shared" ref="D62:N62" si="14">IF(AND(D60=2,D61=2),2,IF(D60&lt;&gt;D61,1,IF(AND(D60=0,D61=0),0,4)))</f>
        <v>0</v>
      </c>
      <c r="E62" s="195">
        <f t="shared" si="14"/>
        <v>0</v>
      </c>
      <c r="F62" s="195">
        <f t="shared" si="14"/>
        <v>0</v>
      </c>
      <c r="G62" s="195">
        <f t="shared" si="14"/>
        <v>0</v>
      </c>
      <c r="H62" s="195">
        <f t="shared" si="14"/>
        <v>0</v>
      </c>
      <c r="I62" s="195">
        <f t="shared" si="14"/>
        <v>0</v>
      </c>
      <c r="J62" s="195">
        <f t="shared" si="14"/>
        <v>0</v>
      </c>
      <c r="K62" s="195">
        <f t="shared" si="14"/>
        <v>0</v>
      </c>
      <c r="L62" s="195">
        <f t="shared" si="14"/>
        <v>0</v>
      </c>
      <c r="M62" s="195">
        <f t="shared" si="14"/>
        <v>0</v>
      </c>
      <c r="N62" s="195">
        <f t="shared" si="14"/>
        <v>0</v>
      </c>
      <c r="O62" s="195" t="str">
        <f>IF(R62&gt;1,"入力確認",IF(Q62+S62=12,"入力済","未入力"))</f>
        <v>入力済</v>
      </c>
      <c r="P62" s="197">
        <f>IF(O62="未入力",1,IF(O62="入力済",0,2))</f>
        <v>0</v>
      </c>
      <c r="Q62" s="194">
        <f>COUNTIF($C62:$N62,0)</f>
        <v>12</v>
      </c>
      <c r="R62" s="194">
        <f>COUNTIF($C62:$N62,1)</f>
        <v>0</v>
      </c>
      <c r="S62" s="194">
        <f>COUNTIF($C62:$N62,2)</f>
        <v>0</v>
      </c>
    </row>
    <row r="63" spans="2:20" x14ac:dyDescent="0.45">
      <c r="E63" s="76"/>
      <c r="F63" s="76"/>
      <c r="G63" s="76"/>
      <c r="H63" s="76"/>
      <c r="O63" s="77"/>
    </row>
    <row r="64" spans="2:20" x14ac:dyDescent="0.45">
      <c r="E64" s="76"/>
      <c r="F64" s="76"/>
      <c r="G64" s="76"/>
      <c r="H64" s="76"/>
      <c r="O64" s="77"/>
    </row>
    <row r="65" spans="2:20" ht="20.25" customHeight="1" thickBot="1" x14ac:dyDescent="0.5">
      <c r="B65" s="64" t="s">
        <v>518</v>
      </c>
      <c r="E65" s="476" t="s">
        <v>259</v>
      </c>
      <c r="F65" s="476"/>
      <c r="G65" s="67"/>
      <c r="H65" s="459" t="s">
        <v>523</v>
      </c>
      <c r="I65" s="459"/>
      <c r="J65" s="470"/>
      <c r="K65" s="470"/>
      <c r="L65" s="470"/>
    </row>
    <row r="66" spans="2:20" ht="19.5" customHeight="1" x14ac:dyDescent="0.45">
      <c r="B66" s="4" t="s">
        <v>535</v>
      </c>
      <c r="C66" s="68" t="s">
        <v>32</v>
      </c>
      <c r="D66" s="69" t="s">
        <v>31</v>
      </c>
      <c r="E66" s="69" t="s">
        <v>30</v>
      </c>
      <c r="F66" s="69" t="s">
        <v>29</v>
      </c>
      <c r="G66" s="69" t="s">
        <v>28</v>
      </c>
      <c r="H66" s="69" t="s">
        <v>27</v>
      </c>
      <c r="I66" s="69" t="s">
        <v>26</v>
      </c>
      <c r="J66" s="69" t="s">
        <v>25</v>
      </c>
      <c r="K66" s="69" t="s">
        <v>24</v>
      </c>
      <c r="L66" s="68" t="s">
        <v>23</v>
      </c>
      <c r="M66" s="69" t="s">
        <v>22</v>
      </c>
      <c r="N66" s="73" t="s">
        <v>21</v>
      </c>
      <c r="O66" s="163"/>
      <c r="P66" s="74"/>
    </row>
    <row r="67" spans="2:20" ht="38.25" customHeight="1" x14ac:dyDescent="0.45">
      <c r="B67" s="71" t="s">
        <v>414</v>
      </c>
      <c r="C67" s="87"/>
      <c r="D67" s="87"/>
      <c r="E67" s="87"/>
      <c r="F67" s="87"/>
      <c r="G67" s="87"/>
      <c r="H67" s="87"/>
      <c r="I67" s="87"/>
      <c r="J67" s="87"/>
      <c r="K67" s="87"/>
      <c r="L67" s="87"/>
      <c r="M67" s="87"/>
      <c r="N67" s="88"/>
      <c r="O67" s="157" t="s">
        <v>416</v>
      </c>
      <c r="P67" s="162" t="s">
        <v>415</v>
      </c>
    </row>
    <row r="68" spans="2:20" ht="19.5" customHeight="1" x14ac:dyDescent="0.45">
      <c r="B68" s="70" t="s">
        <v>18</v>
      </c>
      <c r="C68" s="454"/>
      <c r="D68" s="454"/>
      <c r="E68" s="454"/>
      <c r="F68" s="454"/>
      <c r="G68" s="454"/>
      <c r="H68" s="454"/>
      <c r="I68" s="454"/>
      <c r="J68" s="454"/>
      <c r="K68" s="454"/>
      <c r="L68" s="454"/>
      <c r="M68" s="454"/>
      <c r="N68" s="454"/>
      <c r="O68" s="466" t="str">
        <f>IF(ISERROR(12*SUM(C68:N69)/COUNT(C68:N69)),"",12*SUM(C68:N69)/COUNT(C68:N69))</f>
        <v/>
      </c>
      <c r="P68" s="473" t="str">
        <f>IF(P71=0,"",IF(P73=1,"未入力欄を確認",IF(P71=1,"年度を選択",IF(P71=2,"エネルギー種別を選択",IF($E65="電気",計算!$J$39,IF($E65="都市ガス",計算!$J$40,IF($E65="温水・冷水",計算!$J$41,IF($E65="産業用蒸気",計算!$J$42,IF($E65="産業用以外の蒸気",計算!$J$43,IF($E65="灯油",計算!$J$44,IF($E65="軽油",計算!$J$45,IF($E65="A重油",計算!$J$46,IF($E65="B・Ｃ重油",計算!$J$47,"")))))))))))))</f>
        <v/>
      </c>
    </row>
    <row r="69" spans="2:20" ht="19.5" customHeight="1" thickBot="1" x14ac:dyDescent="0.5">
      <c r="B69" s="71" t="str">
        <f>IF(E65="電気","［kWh］",IF(E65="都市ガス","［m3］",IF(OR(E65="温水・冷水",E65="産業用蒸気",E65="産業用以外の蒸気"),"［MJ］","［L］")))</f>
        <v>［L］</v>
      </c>
      <c r="C69" s="455"/>
      <c r="D69" s="455"/>
      <c r="E69" s="455"/>
      <c r="F69" s="455"/>
      <c r="G69" s="455"/>
      <c r="H69" s="455"/>
      <c r="I69" s="455"/>
      <c r="J69" s="463"/>
      <c r="K69" s="463"/>
      <c r="L69" s="463"/>
      <c r="M69" s="463"/>
      <c r="N69" s="463"/>
      <c r="O69" s="467"/>
      <c r="P69" s="469"/>
    </row>
    <row r="70" spans="2:20" ht="38.25" customHeight="1" thickTop="1" thickBot="1" x14ac:dyDescent="0.5">
      <c r="B70" s="72" t="s">
        <v>413</v>
      </c>
      <c r="C70" s="164"/>
      <c r="D70" s="164"/>
      <c r="E70" s="164"/>
      <c r="F70" s="164"/>
      <c r="G70" s="164"/>
      <c r="H70" s="164"/>
      <c r="I70" s="164"/>
      <c r="J70" s="165"/>
      <c r="K70" s="165"/>
      <c r="L70" s="165"/>
      <c r="M70" s="165"/>
      <c r="N70" s="165"/>
      <c r="O70" s="75" t="str">
        <f>IF(ISERROR(12*SUM(C70:N70)/COUNT(C70:N70)),"",12*SUM(C70:N70)/COUNT(C70:N70))</f>
        <v/>
      </c>
      <c r="P70" s="112">
        <f>IF(AND(O68="",O70="",P73=0),0,IF(OR(B66="",B66="年度を選択"),1,IF(OR(E65="",E65="エネルギー種別を選択"),2,4)))</f>
        <v>0</v>
      </c>
      <c r="Q70" s="194"/>
    </row>
    <row r="71" spans="2:20" ht="18.75" hidden="1" customHeight="1" x14ac:dyDescent="0.45">
      <c r="B71" s="196" t="s">
        <v>444</v>
      </c>
      <c r="C71" s="195">
        <f>IF(C67="",2,IF(C67&lt;&gt;"",0,1))</f>
        <v>2</v>
      </c>
      <c r="D71" s="195">
        <f t="shared" ref="D71:L71" si="15">IF(D67="",2,IF(D67&lt;&gt;"",0,1))</f>
        <v>2</v>
      </c>
      <c r="E71" s="195">
        <f t="shared" si="15"/>
        <v>2</v>
      </c>
      <c r="F71" s="195">
        <f t="shared" si="15"/>
        <v>2</v>
      </c>
      <c r="G71" s="195">
        <f t="shared" si="15"/>
        <v>2</v>
      </c>
      <c r="H71" s="195">
        <f t="shared" si="15"/>
        <v>2</v>
      </c>
      <c r="I71" s="195">
        <f t="shared" si="15"/>
        <v>2</v>
      </c>
      <c r="J71" s="195">
        <f t="shared" si="15"/>
        <v>2</v>
      </c>
      <c r="K71" s="195">
        <f t="shared" si="15"/>
        <v>2</v>
      </c>
      <c r="L71" s="195">
        <f t="shared" si="15"/>
        <v>2</v>
      </c>
      <c r="M71" s="195">
        <f>IF(M67="",2,IF(M67&lt;&gt;"",0,1))</f>
        <v>2</v>
      </c>
      <c r="N71" s="195">
        <f t="shared" ref="N71" si="16">IF(N67="",2,IF(N67&lt;&gt;"",0,1))</f>
        <v>2</v>
      </c>
      <c r="O71" s="195" t="str">
        <f>IF(R71&gt;1,"入力確認",IF(Q71=Q72,"入力済","未入力"))</f>
        <v>入力済</v>
      </c>
      <c r="P71" s="197">
        <f>P70</f>
        <v>0</v>
      </c>
      <c r="Q71" s="194">
        <f>COUNTIF($C71:$N71,0)</f>
        <v>0</v>
      </c>
      <c r="R71" s="194">
        <f>COUNTIF($C71:$N71,1)</f>
        <v>0</v>
      </c>
      <c r="S71" s="194">
        <f>COUNTIF($C71:$N71,2)</f>
        <v>12</v>
      </c>
      <c r="T71" s="194"/>
    </row>
    <row r="72" spans="2:20" ht="18.75" hidden="1" customHeight="1" x14ac:dyDescent="0.45">
      <c r="B72" s="196" t="s">
        <v>445</v>
      </c>
      <c r="C72" s="195">
        <f>IF(AND(C68="",C70=""),2,IF(AND(C68&lt;&gt;"",C70&lt;&gt;""),0,1))</f>
        <v>2</v>
      </c>
      <c r="D72" s="195">
        <f t="shared" ref="D72:N72" si="17">IF(AND(D68="",D70=""),2,IF(AND(D68&lt;&gt;"",D70&lt;&gt;""),0,1))</f>
        <v>2</v>
      </c>
      <c r="E72" s="195">
        <f t="shared" si="17"/>
        <v>2</v>
      </c>
      <c r="F72" s="195">
        <f t="shared" si="17"/>
        <v>2</v>
      </c>
      <c r="G72" s="195">
        <f t="shared" si="17"/>
        <v>2</v>
      </c>
      <c r="H72" s="195">
        <f t="shared" si="17"/>
        <v>2</v>
      </c>
      <c r="I72" s="195">
        <f t="shared" si="17"/>
        <v>2</v>
      </c>
      <c r="J72" s="195">
        <f t="shared" si="17"/>
        <v>2</v>
      </c>
      <c r="K72" s="195">
        <f t="shared" si="17"/>
        <v>2</v>
      </c>
      <c r="L72" s="195">
        <f t="shared" si="17"/>
        <v>2</v>
      </c>
      <c r="M72" s="195">
        <f t="shared" si="17"/>
        <v>2</v>
      </c>
      <c r="N72" s="195">
        <f t="shared" si="17"/>
        <v>2</v>
      </c>
      <c r="O72" s="195" t="str">
        <f>IF(R72&gt;1,"入力確認",IF(Q72+S72=12,"入力済","未入力"))</f>
        <v>入力済</v>
      </c>
      <c r="P72" s="197"/>
      <c r="Q72" s="194">
        <f>COUNTIF($C72:$N72,0)</f>
        <v>0</v>
      </c>
      <c r="R72" s="194">
        <f>COUNTIF($C72:$N72,1)</f>
        <v>0</v>
      </c>
      <c r="S72" s="194">
        <f>COUNTIF($C72:$N72,2)</f>
        <v>12</v>
      </c>
    </row>
    <row r="73" spans="2:20" ht="18.75" hidden="1" customHeight="1" x14ac:dyDescent="0.45">
      <c r="B73" s="196" t="s">
        <v>446</v>
      </c>
      <c r="C73" s="195">
        <f>IF(AND(C71=2,C72=2),2,IF(C71&lt;&gt;C72,1,IF(AND(C71=0,C72=0),0,4)))</f>
        <v>2</v>
      </c>
      <c r="D73" s="195">
        <f t="shared" ref="D73:N73" si="18">IF(AND(D71=2,D72=2),2,IF(D71&lt;&gt;D72,1,IF(AND(D71=0,D72=0),0,4)))</f>
        <v>2</v>
      </c>
      <c r="E73" s="195">
        <f t="shared" si="18"/>
        <v>2</v>
      </c>
      <c r="F73" s="195">
        <f t="shared" si="18"/>
        <v>2</v>
      </c>
      <c r="G73" s="195">
        <f t="shared" si="18"/>
        <v>2</v>
      </c>
      <c r="H73" s="195">
        <f t="shared" si="18"/>
        <v>2</v>
      </c>
      <c r="I73" s="195">
        <f t="shared" si="18"/>
        <v>2</v>
      </c>
      <c r="J73" s="195">
        <f t="shared" si="18"/>
        <v>2</v>
      </c>
      <c r="K73" s="195">
        <f t="shared" si="18"/>
        <v>2</v>
      </c>
      <c r="L73" s="195">
        <f t="shared" si="18"/>
        <v>2</v>
      </c>
      <c r="M73" s="195">
        <f t="shared" si="18"/>
        <v>2</v>
      </c>
      <c r="N73" s="195">
        <f t="shared" si="18"/>
        <v>2</v>
      </c>
      <c r="O73" s="195" t="str">
        <f>IF(R73&gt;1,"入力確認",IF(Q73+S73=12,"入力済","未入力"))</f>
        <v>入力済</v>
      </c>
      <c r="P73" s="197">
        <f>IF(O73="未入力",1,IF(O73="入力済",0,2))</f>
        <v>0</v>
      </c>
      <c r="Q73" s="194">
        <f>COUNTIF($C73:$N73,0)</f>
        <v>0</v>
      </c>
      <c r="R73" s="194">
        <f>COUNTIF($C73:$N73,1)</f>
        <v>0</v>
      </c>
      <c r="S73" s="194">
        <f>COUNTIF($C73:$N73,2)</f>
        <v>12</v>
      </c>
    </row>
    <row r="74" spans="2:20" x14ac:dyDescent="0.45">
      <c r="E74" s="76"/>
      <c r="F74" s="76"/>
      <c r="G74" s="76"/>
      <c r="H74" s="76"/>
      <c r="O74" s="77"/>
    </row>
    <row r="75" spans="2:20" x14ac:dyDescent="0.45">
      <c r="E75" s="76"/>
      <c r="F75" s="76"/>
      <c r="G75" s="76"/>
      <c r="H75" s="76"/>
      <c r="O75" s="77"/>
    </row>
    <row r="76" spans="2:20" ht="20.25" customHeight="1" thickBot="1" x14ac:dyDescent="0.5">
      <c r="B76" s="64" t="s">
        <v>519</v>
      </c>
      <c r="E76" s="476" t="s">
        <v>259</v>
      </c>
      <c r="F76" s="476"/>
      <c r="G76" s="67"/>
      <c r="H76" s="459" t="s">
        <v>523</v>
      </c>
      <c r="I76" s="459"/>
      <c r="J76" s="470"/>
      <c r="K76" s="470"/>
      <c r="L76" s="470"/>
    </row>
    <row r="77" spans="2:20" ht="19.5" customHeight="1" x14ac:dyDescent="0.45">
      <c r="B77" s="4" t="s">
        <v>535</v>
      </c>
      <c r="C77" s="68" t="s">
        <v>32</v>
      </c>
      <c r="D77" s="69" t="s">
        <v>31</v>
      </c>
      <c r="E77" s="69" t="s">
        <v>30</v>
      </c>
      <c r="F77" s="69" t="s">
        <v>29</v>
      </c>
      <c r="G77" s="69" t="s">
        <v>28</v>
      </c>
      <c r="H77" s="69" t="s">
        <v>27</v>
      </c>
      <c r="I77" s="69" t="s">
        <v>26</v>
      </c>
      <c r="J77" s="69" t="s">
        <v>25</v>
      </c>
      <c r="K77" s="69" t="s">
        <v>24</v>
      </c>
      <c r="L77" s="68" t="s">
        <v>23</v>
      </c>
      <c r="M77" s="69" t="s">
        <v>22</v>
      </c>
      <c r="N77" s="73" t="s">
        <v>21</v>
      </c>
      <c r="O77" s="163"/>
      <c r="P77" s="74"/>
    </row>
    <row r="78" spans="2:20" ht="38.25" customHeight="1" x14ac:dyDescent="0.45">
      <c r="B78" s="71" t="s">
        <v>414</v>
      </c>
      <c r="C78" s="87"/>
      <c r="D78" s="87"/>
      <c r="E78" s="87"/>
      <c r="F78" s="87"/>
      <c r="G78" s="87"/>
      <c r="H78" s="87"/>
      <c r="I78" s="87"/>
      <c r="J78" s="87"/>
      <c r="K78" s="87"/>
      <c r="L78" s="87"/>
      <c r="M78" s="87"/>
      <c r="N78" s="88"/>
      <c r="O78" s="157" t="s">
        <v>416</v>
      </c>
      <c r="P78" s="162" t="s">
        <v>415</v>
      </c>
    </row>
    <row r="79" spans="2:20" ht="19.5" customHeight="1" x14ac:dyDescent="0.45">
      <c r="B79" s="70" t="s">
        <v>18</v>
      </c>
      <c r="C79" s="454"/>
      <c r="D79" s="454"/>
      <c r="E79" s="454"/>
      <c r="F79" s="454"/>
      <c r="G79" s="454"/>
      <c r="H79" s="454"/>
      <c r="I79" s="454"/>
      <c r="J79" s="454"/>
      <c r="K79" s="454"/>
      <c r="L79" s="454"/>
      <c r="M79" s="454"/>
      <c r="N79" s="454"/>
      <c r="O79" s="466" t="str">
        <f>IF(ISERROR(12*SUM(C79:N80)/COUNT(C79:N80)),"",12*SUM(C79:N80)/COUNT(C79:N80))</f>
        <v/>
      </c>
      <c r="P79" s="473" t="str">
        <f>IF(P82=0,"",IF(P84=1,"未入力欄を確認",IF(P82=1,"年度を選択",IF(P82=2,"エネルギー種別を選択",IF($E76="電気",計算!$J$50,IF($E76="都市ガス",計算!$J$51,IF($E76="温水・冷水",計算!$J$52,IF($E76="産業用蒸気",計算!$J$53,IF($E76="産業用以外の蒸気",計算!$J$54,IF($E76="灯油",計算!$J$55,IF($E76="軽油",計算!$J$56,IF($E76="A重油",計算!$J$57,IF($E76="B・Ｃ重油",計算!J58,"")))))))))))))</f>
        <v/>
      </c>
    </row>
    <row r="80" spans="2:20" ht="19.5" customHeight="1" thickBot="1" x14ac:dyDescent="0.5">
      <c r="B80" s="71" t="str">
        <f>IF(E76="電気","［kWh］",IF(E76="都市ガス","［m3］",IF(OR(E76="温水・冷水",E76="産業用蒸気",E76="産業用以外の蒸気"),"［MJ］","［L］")))</f>
        <v>［L］</v>
      </c>
      <c r="C80" s="455"/>
      <c r="D80" s="455"/>
      <c r="E80" s="455"/>
      <c r="F80" s="455"/>
      <c r="G80" s="455"/>
      <c r="H80" s="455"/>
      <c r="I80" s="455"/>
      <c r="J80" s="463"/>
      <c r="K80" s="463"/>
      <c r="L80" s="463"/>
      <c r="M80" s="463"/>
      <c r="N80" s="463"/>
      <c r="O80" s="467"/>
      <c r="P80" s="469"/>
    </row>
    <row r="81" spans="2:20" ht="38.25" customHeight="1" thickTop="1" thickBot="1" x14ac:dyDescent="0.5">
      <c r="B81" s="72" t="s">
        <v>413</v>
      </c>
      <c r="C81" s="164"/>
      <c r="D81" s="164"/>
      <c r="E81" s="164"/>
      <c r="F81" s="164"/>
      <c r="G81" s="164"/>
      <c r="H81" s="164"/>
      <c r="I81" s="164"/>
      <c r="J81" s="165"/>
      <c r="K81" s="165"/>
      <c r="L81" s="165"/>
      <c r="M81" s="165"/>
      <c r="N81" s="165"/>
      <c r="O81" s="75" t="str">
        <f>IF(ISERROR(12*SUM(C81:N81)/COUNT(C81:N81)),"",12*SUM(C81:N81)/COUNT(C81:N81))</f>
        <v/>
      </c>
      <c r="P81" s="112">
        <f>IF(AND(O79="",O81="",P84=0),0,IF(OR(B77="",B77="年度を選択"),1,IF(OR(E76="",E76="エネルギー種別を選択"),2,4)))</f>
        <v>0</v>
      </c>
      <c r="Q81" s="194"/>
    </row>
    <row r="82" spans="2:20" ht="18.75" hidden="1" customHeight="1" x14ac:dyDescent="0.45">
      <c r="B82" s="196" t="s">
        <v>444</v>
      </c>
      <c r="C82" s="195">
        <f>IF(C78="",2,IF(C78&lt;&gt;"",0,1))</f>
        <v>2</v>
      </c>
      <c r="D82" s="195">
        <f t="shared" ref="D82:L82" si="19">IF(D78="",2,IF(D78&lt;&gt;"",0,1))</f>
        <v>2</v>
      </c>
      <c r="E82" s="195">
        <f t="shared" si="19"/>
        <v>2</v>
      </c>
      <c r="F82" s="195">
        <f t="shared" si="19"/>
        <v>2</v>
      </c>
      <c r="G82" s="195">
        <f t="shared" si="19"/>
        <v>2</v>
      </c>
      <c r="H82" s="195">
        <f t="shared" si="19"/>
        <v>2</v>
      </c>
      <c r="I82" s="195">
        <f t="shared" si="19"/>
        <v>2</v>
      </c>
      <c r="J82" s="195">
        <f t="shared" si="19"/>
        <v>2</v>
      </c>
      <c r="K82" s="195">
        <f t="shared" si="19"/>
        <v>2</v>
      </c>
      <c r="L82" s="195">
        <f t="shared" si="19"/>
        <v>2</v>
      </c>
      <c r="M82" s="195">
        <f>IF(M78="",2,IF(M78&lt;&gt;"",0,1))</f>
        <v>2</v>
      </c>
      <c r="N82" s="195">
        <f t="shared" ref="N82" si="20">IF(N78="",2,IF(N78&lt;&gt;"",0,1))</f>
        <v>2</v>
      </c>
      <c r="O82" s="195" t="str">
        <f>IF(R82&gt;1,"入力確認",IF(Q82=Q83,"入力済","未入力"))</f>
        <v>入力済</v>
      </c>
      <c r="P82" s="197">
        <f>P81</f>
        <v>0</v>
      </c>
      <c r="Q82" s="194">
        <f>COUNTIF($C82:$N82,0)</f>
        <v>0</v>
      </c>
      <c r="R82" s="194">
        <f>COUNTIF($C82:$N82,1)</f>
        <v>0</v>
      </c>
      <c r="S82" s="194">
        <f>COUNTIF($C82:$N82,2)</f>
        <v>12</v>
      </c>
      <c r="T82" s="194"/>
    </row>
    <row r="83" spans="2:20" ht="18.75" hidden="1" customHeight="1" x14ac:dyDescent="0.45">
      <c r="B83" s="196" t="s">
        <v>445</v>
      </c>
      <c r="C83" s="195">
        <f>IF(AND(C79="",C81=""),2,IF(AND(C79&lt;&gt;"",C81&lt;&gt;""),0,1))</f>
        <v>2</v>
      </c>
      <c r="D83" s="195">
        <f t="shared" ref="D83:N83" si="21">IF(AND(D79="",D81=""),2,IF(AND(D79&lt;&gt;"",D81&lt;&gt;""),0,1))</f>
        <v>2</v>
      </c>
      <c r="E83" s="195">
        <f t="shared" si="21"/>
        <v>2</v>
      </c>
      <c r="F83" s="195">
        <f t="shared" si="21"/>
        <v>2</v>
      </c>
      <c r="G83" s="195">
        <f t="shared" si="21"/>
        <v>2</v>
      </c>
      <c r="H83" s="195">
        <f t="shared" si="21"/>
        <v>2</v>
      </c>
      <c r="I83" s="195">
        <f t="shared" si="21"/>
        <v>2</v>
      </c>
      <c r="J83" s="195">
        <f t="shared" si="21"/>
        <v>2</v>
      </c>
      <c r="K83" s="195">
        <f t="shared" si="21"/>
        <v>2</v>
      </c>
      <c r="L83" s="195">
        <f t="shared" si="21"/>
        <v>2</v>
      </c>
      <c r="M83" s="195">
        <f t="shared" si="21"/>
        <v>2</v>
      </c>
      <c r="N83" s="195">
        <f t="shared" si="21"/>
        <v>2</v>
      </c>
      <c r="O83" s="195" t="str">
        <f>IF(R83&gt;1,"入力確認",IF(Q83+S83=12,"入力済","未入力"))</f>
        <v>入力済</v>
      </c>
      <c r="P83" s="197"/>
      <c r="Q83" s="194">
        <f>COUNTIF($C83:$N83,0)</f>
        <v>0</v>
      </c>
      <c r="R83" s="194">
        <f>COUNTIF($C83:$N83,1)</f>
        <v>0</v>
      </c>
      <c r="S83" s="194">
        <f>COUNTIF($C83:$N83,2)</f>
        <v>12</v>
      </c>
    </row>
    <row r="84" spans="2:20" ht="18.75" hidden="1" customHeight="1" x14ac:dyDescent="0.45">
      <c r="B84" s="196" t="s">
        <v>446</v>
      </c>
      <c r="C84" s="195">
        <f>IF(AND(C82=2,C83=2),2,IF(C82&lt;&gt;C83,1,IF(AND(C82=0,C83=0),0,4)))</f>
        <v>2</v>
      </c>
      <c r="D84" s="195">
        <f t="shared" ref="D84:N84" si="22">IF(AND(D82=2,D83=2),2,IF(D82&lt;&gt;D83,1,IF(AND(D82=0,D83=0),0,4)))</f>
        <v>2</v>
      </c>
      <c r="E84" s="195">
        <f t="shared" si="22"/>
        <v>2</v>
      </c>
      <c r="F84" s="195">
        <f t="shared" si="22"/>
        <v>2</v>
      </c>
      <c r="G84" s="195">
        <f t="shared" si="22"/>
        <v>2</v>
      </c>
      <c r="H84" s="195">
        <f t="shared" si="22"/>
        <v>2</v>
      </c>
      <c r="I84" s="195">
        <f t="shared" si="22"/>
        <v>2</v>
      </c>
      <c r="J84" s="195">
        <f t="shared" si="22"/>
        <v>2</v>
      </c>
      <c r="K84" s="195">
        <f t="shared" si="22"/>
        <v>2</v>
      </c>
      <c r="L84" s="195">
        <f t="shared" si="22"/>
        <v>2</v>
      </c>
      <c r="M84" s="195">
        <f t="shared" si="22"/>
        <v>2</v>
      </c>
      <c r="N84" s="195">
        <f t="shared" si="22"/>
        <v>2</v>
      </c>
      <c r="O84" s="195" t="str">
        <f>IF(R84&gt;1,"入力確認",IF(Q84+S84=12,"入力済","未入力"))</f>
        <v>入力済</v>
      </c>
      <c r="P84" s="197">
        <f>IF(O84="未入力",1,IF(O84="入力済",0,2))</f>
        <v>0</v>
      </c>
      <c r="Q84" s="194">
        <f>COUNTIF($C84:$N84,0)</f>
        <v>0</v>
      </c>
      <c r="R84" s="194">
        <f>COUNTIF($C84:$N84,1)</f>
        <v>0</v>
      </c>
      <c r="S84" s="194">
        <f>COUNTIF($C84:$N84,2)</f>
        <v>12</v>
      </c>
    </row>
  </sheetData>
  <sheetProtection password="DFA8" sheet="1" objects="1" scenarios="1" selectLockedCells="1" selectUnlockedCells="1"/>
  <mergeCells count="102">
    <mergeCell ref="E18:F18"/>
    <mergeCell ref="G18:N18"/>
    <mergeCell ref="H20:I20"/>
    <mergeCell ref="J20:L20"/>
    <mergeCell ref="C23:C24"/>
    <mergeCell ref="D23:D24"/>
    <mergeCell ref="E23:E24"/>
    <mergeCell ref="F23:F24"/>
    <mergeCell ref="G23:G24"/>
    <mergeCell ref="H23:H24"/>
    <mergeCell ref="O23:O24"/>
    <mergeCell ref="P23:P24"/>
    <mergeCell ref="H32:I32"/>
    <mergeCell ref="J32:L32"/>
    <mergeCell ref="C35:C36"/>
    <mergeCell ref="D35:D36"/>
    <mergeCell ref="E35:E36"/>
    <mergeCell ref="F35:F36"/>
    <mergeCell ref="G35:G36"/>
    <mergeCell ref="H35:H36"/>
    <mergeCell ref="I23:I24"/>
    <mergeCell ref="J23:J24"/>
    <mergeCell ref="K23:K24"/>
    <mergeCell ref="L23:L24"/>
    <mergeCell ref="M23:M24"/>
    <mergeCell ref="N23:N24"/>
    <mergeCell ref="O35:O36"/>
    <mergeCell ref="P35:P36"/>
    <mergeCell ref="M35:M36"/>
    <mergeCell ref="N35:N36"/>
    <mergeCell ref="E43:F43"/>
    <mergeCell ref="H43:I43"/>
    <mergeCell ref="J43:L43"/>
    <mergeCell ref="C46:C47"/>
    <mergeCell ref="D46:D47"/>
    <mergeCell ref="E46:E47"/>
    <mergeCell ref="F46:F47"/>
    <mergeCell ref="G46:G47"/>
    <mergeCell ref="I35:I36"/>
    <mergeCell ref="J35:J36"/>
    <mergeCell ref="K35:K36"/>
    <mergeCell ref="L35:L36"/>
    <mergeCell ref="N46:N47"/>
    <mergeCell ref="O46:O47"/>
    <mergeCell ref="P46:P47"/>
    <mergeCell ref="E54:F54"/>
    <mergeCell ref="H54:I54"/>
    <mergeCell ref="J54:L54"/>
    <mergeCell ref="H46:H47"/>
    <mergeCell ref="I46:I47"/>
    <mergeCell ref="J46:J47"/>
    <mergeCell ref="K46:K47"/>
    <mergeCell ref="L46:L47"/>
    <mergeCell ref="M46:M47"/>
    <mergeCell ref="O57:O58"/>
    <mergeCell ref="P57:P58"/>
    <mergeCell ref="E65:F65"/>
    <mergeCell ref="H65:I65"/>
    <mergeCell ref="J65:L65"/>
    <mergeCell ref="C68:C69"/>
    <mergeCell ref="D68:D69"/>
    <mergeCell ref="E68:E69"/>
    <mergeCell ref="F68:F69"/>
    <mergeCell ref="G68:G69"/>
    <mergeCell ref="I57:I58"/>
    <mergeCell ref="J57:J58"/>
    <mergeCell ref="K57:K58"/>
    <mergeCell ref="L57:L58"/>
    <mergeCell ref="M57:M58"/>
    <mergeCell ref="N57:N58"/>
    <mergeCell ref="C57:C58"/>
    <mergeCell ref="D57:D58"/>
    <mergeCell ref="E57:E58"/>
    <mergeCell ref="F57:F58"/>
    <mergeCell ref="G57:G58"/>
    <mergeCell ref="H57:H58"/>
    <mergeCell ref="N68:N69"/>
    <mergeCell ref="O68:O69"/>
    <mergeCell ref="P68:P69"/>
    <mergeCell ref="E76:F76"/>
    <mergeCell ref="H76:I76"/>
    <mergeCell ref="J76:L76"/>
    <mergeCell ref="H68:H69"/>
    <mergeCell ref="I68:I69"/>
    <mergeCell ref="J68:J69"/>
    <mergeCell ref="K68:K69"/>
    <mergeCell ref="L68:L69"/>
    <mergeCell ref="M68:M69"/>
    <mergeCell ref="O79:O80"/>
    <mergeCell ref="P79:P80"/>
    <mergeCell ref="I79:I80"/>
    <mergeCell ref="J79:J80"/>
    <mergeCell ref="K79:K80"/>
    <mergeCell ref="L79:L80"/>
    <mergeCell ref="M79:M80"/>
    <mergeCell ref="N79:N80"/>
    <mergeCell ref="C79:C80"/>
    <mergeCell ref="D79:D80"/>
    <mergeCell ref="E79:E80"/>
    <mergeCell ref="F79:F80"/>
    <mergeCell ref="G79:G80"/>
    <mergeCell ref="H79:H80"/>
  </mergeCells>
  <phoneticPr fontId="2"/>
  <conditionalFormatting sqref="B21 P23">
    <cfRule type="expression" dxfId="51" priority="15">
      <formula>$P$26=1</formula>
    </cfRule>
  </conditionalFormatting>
  <conditionalFormatting sqref="G18">
    <cfRule type="expression" dxfId="50" priority="22">
      <formula>OR($G$18="エネルギー種別・単位を選択してください。",$G$18="エネルギーの使用年度を選択してください。",$G$18="未入力欄が有ります。確認してください。",$G$18="中小規模事業所の要件を満たしていないため、申請できません。")</formula>
    </cfRule>
  </conditionalFormatting>
  <conditionalFormatting sqref="C21:N21">
    <cfRule type="expression" dxfId="49" priority="21">
      <formula>C28=1</formula>
    </cfRule>
  </conditionalFormatting>
  <conditionalFormatting sqref="C33:N33">
    <cfRule type="expression" dxfId="48" priority="20">
      <formula>C40=1</formula>
    </cfRule>
  </conditionalFormatting>
  <conditionalFormatting sqref="B33 P35">
    <cfRule type="expression" dxfId="47" priority="13">
      <formula>$P$38=1</formula>
    </cfRule>
  </conditionalFormatting>
  <conditionalFormatting sqref="E32 P35">
    <cfRule type="expression" dxfId="46" priority="12">
      <formula>$P$38=2</formula>
    </cfRule>
  </conditionalFormatting>
  <conditionalFormatting sqref="F32 P35">
    <cfRule type="expression" dxfId="45" priority="11">
      <formula>$P$38=3</formula>
    </cfRule>
  </conditionalFormatting>
  <conditionalFormatting sqref="C44:N44">
    <cfRule type="expression" dxfId="44" priority="19">
      <formula>C51=1</formula>
    </cfRule>
  </conditionalFormatting>
  <conditionalFormatting sqref="C55:N55">
    <cfRule type="expression" dxfId="43" priority="18">
      <formula>C62=1</formula>
    </cfRule>
  </conditionalFormatting>
  <conditionalFormatting sqref="C66:N66">
    <cfRule type="expression" dxfId="42" priority="17">
      <formula>C73=1</formula>
    </cfRule>
  </conditionalFormatting>
  <conditionalFormatting sqref="C77:N77">
    <cfRule type="expression" dxfId="41" priority="16">
      <formula>C84=1</formula>
    </cfRule>
  </conditionalFormatting>
  <conditionalFormatting sqref="B44 P46">
    <cfRule type="expression" dxfId="40" priority="10">
      <formula>$P$49=1</formula>
    </cfRule>
  </conditionalFormatting>
  <conditionalFormatting sqref="B55 P57">
    <cfRule type="expression" dxfId="39" priority="8">
      <formula>$P$60=1</formula>
    </cfRule>
  </conditionalFormatting>
  <conditionalFormatting sqref="B66 P68">
    <cfRule type="expression" dxfId="38" priority="6">
      <formula>$P$71=1</formula>
    </cfRule>
  </conditionalFormatting>
  <conditionalFormatting sqref="E43 P46">
    <cfRule type="expression" dxfId="37" priority="9">
      <formula>$P$49=2</formula>
    </cfRule>
  </conditionalFormatting>
  <conditionalFormatting sqref="E54 P57">
    <cfRule type="expression" dxfId="36" priority="7">
      <formula>$P$60=2</formula>
    </cfRule>
  </conditionalFormatting>
  <conditionalFormatting sqref="E65 P68">
    <cfRule type="expression" dxfId="35" priority="5">
      <formula>$P$71=2</formula>
    </cfRule>
  </conditionalFormatting>
  <conditionalFormatting sqref="P23">
    <cfRule type="expression" dxfId="34" priority="14">
      <formula>$P$28=1</formula>
    </cfRule>
  </conditionalFormatting>
  <conditionalFormatting sqref="B77 P79">
    <cfRule type="expression" dxfId="33" priority="4">
      <formula>$P$82=1</formula>
    </cfRule>
  </conditionalFormatting>
  <conditionalFormatting sqref="E76 P79">
    <cfRule type="expression" dxfId="32" priority="3">
      <formula>$P$82=2</formula>
    </cfRule>
  </conditionalFormatting>
  <conditionalFormatting sqref="G18:N18">
    <cfRule type="expression" dxfId="31" priority="2">
      <formula>$G$18="事業所のエネルギー使用について入力してください。"</formula>
    </cfRule>
  </conditionalFormatting>
  <conditionalFormatting sqref="J20 J32 J43 J54 J65 J76">
    <cfRule type="expression" dxfId="30" priority="1">
      <formula>J20=""</formula>
    </cfRule>
  </conditionalFormatting>
  <dataValidations disablePrompts="1" count="4">
    <dataValidation type="list" allowBlank="1" showInputMessage="1" showErrorMessage="1" sqref="F32">
      <formula1>INDIRECT($E$32)</formula1>
    </dataValidation>
    <dataValidation allowBlank="1" sqref="C12:C13"/>
    <dataValidation type="list" allowBlank="1" showInputMessage="1" sqref="B77 B21 B33 B44 B55 B66">
      <formula1>"年度を選択,2021年度,2022年度"</formula1>
    </dataValidation>
    <dataValidation allowBlank="1" showInputMessage="1" sqref="B22 B56 B67 B34 B45 B78"/>
  </dataValidations>
  <printOptions horizontalCentered="1"/>
  <pageMargins left="0.6692913385826772" right="0.31496062992125984" top="0.56000000000000005" bottom="0.37" header="0.24" footer="0.15748031496062992"/>
  <pageSetup paperSize="9" scale="61" fitToHeight="0" orientation="landscape" r:id="rId1"/>
  <headerFooter>
    <oddHeader>&amp;C&amp;20換気量・省エネ計算シート</oddHeader>
    <oddFooter>&amp;C&amp;P</oddFooter>
  </headerFooter>
  <rowBreaks count="1" manualBreakCount="1">
    <brk id="63" max="16"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計算!$Q$3:$Q$12</xm:f>
          </x14:formula1>
          <xm:sqref>E43:F43 E76:F76 E65:F65 E54:F54</xm:sqref>
        </x14:dataValidation>
        <x14:dataValidation type="list" allowBlank="1" showInputMessage="1" showErrorMessage="1">
          <x14:formula1>
            <xm:f>計算!$N$3:$N$5</xm:f>
          </x14:formula1>
          <xm:sqref>E32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T84"/>
  <sheetViews>
    <sheetView zoomScale="70" zoomScaleNormal="70" zoomScaleSheetLayoutView="90" workbookViewId="0"/>
  </sheetViews>
  <sheetFormatPr defaultColWidth="8.796875" defaultRowHeight="18.75" x14ac:dyDescent="0.45"/>
  <cols>
    <col min="1" max="1" width="2.296875" style="64" customWidth="1"/>
    <col min="2" max="2" width="11.8984375" style="64" customWidth="1"/>
    <col min="3" max="16" width="10.59765625" style="64" customWidth="1"/>
    <col min="17" max="17" width="2.19921875" style="64" customWidth="1"/>
    <col min="18" max="21" width="5" style="64" customWidth="1"/>
    <col min="22" max="23" width="8.796875" style="64"/>
    <col min="24" max="24" width="9.59765625" style="64" bestFit="1" customWidth="1"/>
    <col min="25" max="25" width="8.5" style="64" customWidth="1"/>
    <col min="26" max="26" width="9.296875" style="64" customWidth="1"/>
    <col min="27" max="27" width="9.296875" style="64" bestFit="1" customWidth="1"/>
    <col min="28" max="16384" width="8.796875" style="64"/>
  </cols>
  <sheetData>
    <row r="2" spans="2:18" s="23" customFormat="1" ht="19.5" x14ac:dyDescent="0.45">
      <c r="B2" s="53" t="s">
        <v>166</v>
      </c>
    </row>
    <row r="3" spans="2:18" ht="19.5" x14ac:dyDescent="0.45">
      <c r="B3" s="160" t="s">
        <v>412</v>
      </c>
      <c r="K3" s="23"/>
    </row>
    <row r="4" spans="2:18" ht="19.5" x14ac:dyDescent="0.45">
      <c r="B4" s="160" t="s">
        <v>429</v>
      </c>
      <c r="K4" s="23"/>
    </row>
    <row r="5" spans="2:18" ht="19.5" x14ac:dyDescent="0.45">
      <c r="B5" s="160" t="s">
        <v>463</v>
      </c>
      <c r="K5" s="23"/>
    </row>
    <row r="6" spans="2:18" ht="19.5" x14ac:dyDescent="0.45">
      <c r="B6" s="160" t="s">
        <v>428</v>
      </c>
      <c r="K6" s="23"/>
    </row>
    <row r="7" spans="2:18" ht="19.5" x14ac:dyDescent="0.45">
      <c r="B7" s="160" t="s">
        <v>632</v>
      </c>
      <c r="K7" s="23"/>
    </row>
    <row r="8" spans="2:18" ht="19.5" x14ac:dyDescent="0.45">
      <c r="B8" s="160" t="s">
        <v>522</v>
      </c>
      <c r="K8" s="23"/>
    </row>
    <row r="9" spans="2:18" ht="19.5" x14ac:dyDescent="0.45">
      <c r="B9" s="160" t="s">
        <v>411</v>
      </c>
      <c r="K9" s="23"/>
    </row>
    <row r="10" spans="2:18" ht="19.5" x14ac:dyDescent="0.45">
      <c r="B10" s="160" t="s">
        <v>464</v>
      </c>
      <c r="K10" s="23"/>
    </row>
    <row r="11" spans="2:18" ht="19.5" x14ac:dyDescent="0.45">
      <c r="B11" s="63"/>
      <c r="K11" s="23"/>
    </row>
    <row r="12" spans="2:18" s="23" customFormat="1" ht="19.5" x14ac:dyDescent="0.45">
      <c r="B12" s="94" t="s">
        <v>167</v>
      </c>
      <c r="C12" s="25"/>
      <c r="D12" s="56" t="s">
        <v>633</v>
      </c>
      <c r="K12" s="198"/>
    </row>
    <row r="13" spans="2:18" s="23" customFormat="1" ht="19.5" x14ac:dyDescent="0.45">
      <c r="C13" s="26"/>
      <c r="D13" s="56" t="s">
        <v>636</v>
      </c>
      <c r="J13" s="42"/>
    </row>
    <row r="14" spans="2:18" s="23" customFormat="1" ht="19.5" x14ac:dyDescent="0.45">
      <c r="C14" s="27"/>
      <c r="D14" s="52" t="s">
        <v>634</v>
      </c>
    </row>
    <row r="15" spans="2:18" s="23" customFormat="1" ht="19.5" x14ac:dyDescent="0.45">
      <c r="B15" s="24"/>
      <c r="C15" s="24"/>
    </row>
    <row r="16" spans="2:18" ht="18" customHeight="1" x14ac:dyDescent="0.45">
      <c r="B16" s="202" t="str">
        <f>'1.換気～比較表（適合）'!B19</f>
        <v>R4_Ver8.2</v>
      </c>
      <c r="J16" s="123"/>
      <c r="L16" s="23"/>
      <c r="M16" s="23"/>
      <c r="N16" s="23"/>
      <c r="O16" s="23"/>
      <c r="P16" s="23"/>
      <c r="Q16" s="23"/>
      <c r="R16" s="23"/>
    </row>
    <row r="17" spans="2:20" ht="18.75" customHeight="1" thickBot="1" x14ac:dyDescent="0.5">
      <c r="B17" s="202"/>
      <c r="J17" s="123"/>
      <c r="L17" s="23"/>
      <c r="M17" s="23"/>
      <c r="N17" s="23"/>
      <c r="O17" s="23"/>
      <c r="P17" s="23"/>
      <c r="Q17" s="23"/>
      <c r="R17" s="23"/>
    </row>
    <row r="18" spans="2:20" ht="42.75" customHeight="1" thickTop="1" thickBot="1" x14ac:dyDescent="0.5">
      <c r="B18" s="65" t="s">
        <v>191</v>
      </c>
      <c r="E18" s="452" t="s">
        <v>258</v>
      </c>
      <c r="F18" s="453"/>
      <c r="G18" s="456" t="str">
        <f>IF(AND(P26=0,P38=0,P49=0,P60=0,P71=0,P82=0),"事業所のエネルギー使用について入力してください。",IF(OR(P28&lt;&gt;0,P40&lt;&gt;0,P51&lt;&gt;0,P62&lt;&gt;0,P73&lt;&gt;0,P84&lt;&gt;0),"未入力欄が有ります。確認してください。",IF(OR(P26=1,P38=1,P49=1,P60=1,P71=1,P82=1),"エネルギーの使用年度を選択してください。",IF(OR(P38=2,P38=3,P49=2,P60=2,P71=2,P82=2),"エネルギー種別・単位を選択してください。",IF(SUM(P23,P35,P46,P57,P68,P79)&lt;1500,"中小規模事業所に該当します。","中小規模事業所の要件を満たしていないため、申請できません。")))))</f>
        <v>中小規模事業所の要件を満たしていないため、申請できません。</v>
      </c>
      <c r="H18" s="457"/>
      <c r="I18" s="457"/>
      <c r="J18" s="457"/>
      <c r="K18" s="457"/>
      <c r="L18" s="457"/>
      <c r="M18" s="457"/>
      <c r="N18" s="458"/>
      <c r="O18" s="23"/>
      <c r="P18" s="23"/>
      <c r="Q18" s="23"/>
      <c r="R18" s="23"/>
    </row>
    <row r="19" spans="2:20" ht="19.5" customHeight="1" thickTop="1" x14ac:dyDescent="0.45">
      <c r="B19" s="65"/>
      <c r="C19" s="65"/>
      <c r="D19" s="65"/>
      <c r="E19" s="65"/>
      <c r="F19" s="65"/>
      <c r="G19" s="65"/>
      <c r="H19" s="65"/>
      <c r="I19" s="65"/>
      <c r="J19" s="65"/>
      <c r="K19" s="65"/>
      <c r="L19" s="65"/>
      <c r="M19" s="65"/>
      <c r="N19" s="65"/>
      <c r="O19" s="23"/>
      <c r="P19" s="23"/>
      <c r="Q19" s="23"/>
      <c r="R19" s="23"/>
    </row>
    <row r="20" spans="2:20" ht="20.25" thickBot="1" x14ac:dyDescent="0.5">
      <c r="B20" s="64" t="s">
        <v>36</v>
      </c>
      <c r="H20" s="459" t="s">
        <v>523</v>
      </c>
      <c r="I20" s="459"/>
      <c r="J20" s="470"/>
      <c r="K20" s="470"/>
      <c r="L20" s="470"/>
      <c r="M20" s="23"/>
      <c r="N20" s="23"/>
      <c r="O20" s="23"/>
      <c r="P20" s="23"/>
      <c r="Q20" s="23"/>
      <c r="R20" s="23"/>
    </row>
    <row r="21" spans="2:20" ht="18.75" customHeight="1" x14ac:dyDescent="0.45">
      <c r="B21" s="241" t="s">
        <v>599</v>
      </c>
      <c r="C21" s="343" t="s">
        <v>32</v>
      </c>
      <c r="D21" s="69" t="s">
        <v>31</v>
      </c>
      <c r="E21" s="69" t="s">
        <v>30</v>
      </c>
      <c r="F21" s="69" t="s">
        <v>29</v>
      </c>
      <c r="G21" s="69" t="s">
        <v>28</v>
      </c>
      <c r="H21" s="69" t="s">
        <v>27</v>
      </c>
      <c r="I21" s="69" t="s">
        <v>26</v>
      </c>
      <c r="J21" s="340" t="s">
        <v>25</v>
      </c>
      <c r="K21" s="340" t="s">
        <v>24</v>
      </c>
      <c r="L21" s="345" t="s">
        <v>23</v>
      </c>
      <c r="M21" s="69" t="s">
        <v>22</v>
      </c>
      <c r="N21" s="73" t="s">
        <v>21</v>
      </c>
      <c r="O21" s="163"/>
      <c r="P21" s="74"/>
      <c r="Q21" s="23"/>
      <c r="R21" s="23"/>
    </row>
    <row r="22" spans="2:20" ht="38.25" customHeight="1" thickBot="1" x14ac:dyDescent="0.5">
      <c r="B22" s="71" t="s">
        <v>414</v>
      </c>
      <c r="C22" s="87" t="s">
        <v>575</v>
      </c>
      <c r="D22" s="87" t="s">
        <v>576</v>
      </c>
      <c r="E22" s="87" t="s">
        <v>577</v>
      </c>
      <c r="F22" s="87" t="s">
        <v>578</v>
      </c>
      <c r="G22" s="87" t="s">
        <v>579</v>
      </c>
      <c r="H22" s="87" t="s">
        <v>580</v>
      </c>
      <c r="I22" s="87" t="s">
        <v>581</v>
      </c>
      <c r="J22" s="87" t="s">
        <v>582</v>
      </c>
      <c r="K22" s="87" t="s">
        <v>583</v>
      </c>
      <c r="L22" s="87" t="s">
        <v>584</v>
      </c>
      <c r="M22" s="87" t="s">
        <v>585</v>
      </c>
      <c r="N22" s="87" t="s">
        <v>586</v>
      </c>
      <c r="O22" s="157" t="s">
        <v>416</v>
      </c>
      <c r="P22" s="350" t="s">
        <v>415</v>
      </c>
    </row>
    <row r="23" spans="2:20" ht="18.75" customHeight="1" thickTop="1" x14ac:dyDescent="0.45">
      <c r="B23" s="70" t="s">
        <v>35</v>
      </c>
      <c r="C23" s="454">
        <v>197560</v>
      </c>
      <c r="D23" s="454">
        <v>219340</v>
      </c>
      <c r="E23" s="454">
        <v>259380</v>
      </c>
      <c r="F23" s="454">
        <v>276540</v>
      </c>
      <c r="G23" s="454">
        <v>322740</v>
      </c>
      <c r="H23" s="454">
        <v>389400</v>
      </c>
      <c r="I23" s="454">
        <v>267520</v>
      </c>
      <c r="J23" s="454">
        <v>188320</v>
      </c>
      <c r="K23" s="454">
        <v>210320</v>
      </c>
      <c r="L23" s="454">
        <v>227040</v>
      </c>
      <c r="M23" s="454">
        <v>256080</v>
      </c>
      <c r="N23" s="454">
        <v>172700</v>
      </c>
      <c r="O23" s="483">
        <f>IF(ISERROR(12*SUM(C23:N24)/COUNT(C23:N24)),"",12*SUM(C23:N24)/COUNT(C23:N24))</f>
        <v>2986940</v>
      </c>
      <c r="P23" s="485">
        <v>752.14</v>
      </c>
    </row>
    <row r="24" spans="2:20" ht="18.75" customHeight="1" thickBot="1" x14ac:dyDescent="0.5">
      <c r="B24" s="71" t="s">
        <v>34</v>
      </c>
      <c r="C24" s="455"/>
      <c r="D24" s="455"/>
      <c r="E24" s="455"/>
      <c r="F24" s="455"/>
      <c r="G24" s="455"/>
      <c r="H24" s="455"/>
      <c r="I24" s="455"/>
      <c r="J24" s="455"/>
      <c r="K24" s="455"/>
      <c r="L24" s="455"/>
      <c r="M24" s="455"/>
      <c r="N24" s="455"/>
      <c r="O24" s="484"/>
      <c r="P24" s="486"/>
    </row>
    <row r="25" spans="2:20" ht="38.25" customHeight="1" thickTop="1" thickBot="1" x14ac:dyDescent="0.5">
      <c r="B25" s="72" t="s">
        <v>413</v>
      </c>
      <c r="C25" s="164">
        <v>5991480</v>
      </c>
      <c r="D25" s="164">
        <v>6460960</v>
      </c>
      <c r="E25" s="164">
        <v>7265720</v>
      </c>
      <c r="F25" s="164">
        <v>7437540</v>
      </c>
      <c r="G25" s="164">
        <v>8230420</v>
      </c>
      <c r="H25" s="164">
        <v>9304460</v>
      </c>
      <c r="I25" s="164">
        <v>6728040</v>
      </c>
      <c r="J25" s="164">
        <v>5527720</v>
      </c>
      <c r="K25" s="164">
        <v>5663020</v>
      </c>
      <c r="L25" s="164">
        <v>5601420</v>
      </c>
      <c r="M25" s="164">
        <v>5958700</v>
      </c>
      <c r="N25" s="164">
        <v>4640020</v>
      </c>
      <c r="O25" s="75">
        <f>IF(ISERROR(12*SUM(C25:N25)/COUNT(C25:N25)),"",12*SUM(C25:N25)/COUNT(C25:N25))</f>
        <v>78809500</v>
      </c>
      <c r="P25" s="351">
        <f>IF(AND(O23="",O25="",P28=0),0,IF(OR(B21="",B21="年度を選択"),1,4))</f>
        <v>4</v>
      </c>
      <c r="Q25" s="194"/>
    </row>
    <row r="26" spans="2:20" ht="18.75" hidden="1" customHeight="1" x14ac:dyDescent="0.45">
      <c r="B26" s="196" t="s">
        <v>444</v>
      </c>
      <c r="C26" s="195">
        <f>IF(C22="",2,IF(C22&lt;&gt;"",0,1))</f>
        <v>0</v>
      </c>
      <c r="D26" s="195">
        <f t="shared" ref="D26:N26" si="0">IF(D22="",2,IF(D22&lt;&gt;"",0,1))</f>
        <v>0</v>
      </c>
      <c r="E26" s="195">
        <f t="shared" si="0"/>
        <v>0</v>
      </c>
      <c r="F26" s="195">
        <f t="shared" si="0"/>
        <v>0</v>
      </c>
      <c r="G26" s="195">
        <f t="shared" si="0"/>
        <v>0</v>
      </c>
      <c r="H26" s="195">
        <f t="shared" si="0"/>
        <v>0</v>
      </c>
      <c r="I26" s="195">
        <f t="shared" si="0"/>
        <v>0</v>
      </c>
      <c r="J26" s="195">
        <f t="shared" si="0"/>
        <v>0</v>
      </c>
      <c r="K26" s="195">
        <f t="shared" si="0"/>
        <v>0</v>
      </c>
      <c r="L26" s="195">
        <f t="shared" si="0"/>
        <v>0</v>
      </c>
      <c r="M26" s="195">
        <f>IF(M22="",2,IF(M22&lt;&gt;"",0,1))</f>
        <v>0</v>
      </c>
      <c r="N26" s="195">
        <f t="shared" si="0"/>
        <v>0</v>
      </c>
      <c r="O26" s="195" t="str">
        <f>IF(R26&gt;1,"入力確認",IF(Q26=Q27,"入力済","未入力"))</f>
        <v>入力済</v>
      </c>
      <c r="P26" s="197">
        <f>P25</f>
        <v>4</v>
      </c>
      <c r="Q26" s="194">
        <f>COUNTIF($C26:$N26,0)</f>
        <v>12</v>
      </c>
      <c r="R26" s="194">
        <f>COUNTIF($C26:$N26,1)</f>
        <v>0</v>
      </c>
      <c r="S26" s="194">
        <f>COUNTIF($C26:$N26,2)</f>
        <v>0</v>
      </c>
      <c r="T26" s="194"/>
    </row>
    <row r="27" spans="2:20" ht="18.75" hidden="1" customHeight="1" x14ac:dyDescent="0.45">
      <c r="B27" s="196" t="s">
        <v>445</v>
      </c>
      <c r="C27" s="195">
        <f>IF(AND(C23="",C25=""),2,IF(AND(C23&lt;&gt;"",C25&lt;&gt;""),0,1))</f>
        <v>0</v>
      </c>
      <c r="D27" s="195">
        <f t="shared" ref="D27:N27" si="1">IF(AND(D23="",D25=""),2,IF(AND(D23&lt;&gt;"",D25&lt;&gt;""),0,1))</f>
        <v>0</v>
      </c>
      <c r="E27" s="195">
        <f t="shared" si="1"/>
        <v>0</v>
      </c>
      <c r="F27" s="195">
        <f t="shared" si="1"/>
        <v>0</v>
      </c>
      <c r="G27" s="195">
        <f t="shared" si="1"/>
        <v>0</v>
      </c>
      <c r="H27" s="195">
        <f t="shared" si="1"/>
        <v>0</v>
      </c>
      <c r="I27" s="195">
        <f t="shared" si="1"/>
        <v>0</v>
      </c>
      <c r="J27" s="195">
        <f t="shared" si="1"/>
        <v>0</v>
      </c>
      <c r="K27" s="195">
        <f t="shared" si="1"/>
        <v>0</v>
      </c>
      <c r="L27" s="195">
        <f t="shared" si="1"/>
        <v>0</v>
      </c>
      <c r="M27" s="195">
        <f t="shared" si="1"/>
        <v>0</v>
      </c>
      <c r="N27" s="195">
        <f t="shared" si="1"/>
        <v>0</v>
      </c>
      <c r="O27" s="195" t="str">
        <f>IF(R27&gt;1,"入力確認",IF(Q27+S27=12,"入力済","未入力"))</f>
        <v>入力済</v>
      </c>
      <c r="P27" s="197"/>
      <c r="Q27" s="194">
        <f>COUNTIF($C27:$N27,0)</f>
        <v>12</v>
      </c>
      <c r="R27" s="194">
        <f>COUNTIF($C27:$N27,1)</f>
        <v>0</v>
      </c>
      <c r="S27" s="194">
        <f>COUNTIF($C27:$N27,2)</f>
        <v>0</v>
      </c>
    </row>
    <row r="28" spans="2:20" ht="18.75" hidden="1" customHeight="1" x14ac:dyDescent="0.45">
      <c r="B28" s="196" t="s">
        <v>446</v>
      </c>
      <c r="C28" s="195">
        <f>IF(AND(C26=2,C27=2),2,IF(C26&lt;&gt;C27,1,IF(AND(C26=0,C27=0),0,4)))</f>
        <v>0</v>
      </c>
      <c r="D28" s="195">
        <f t="shared" ref="D28:N28" si="2">IF(AND(D26=2,D27=2),2,IF(D26&lt;&gt;D27,1,IF(AND(D26=0,D27=0),0,4)))</f>
        <v>0</v>
      </c>
      <c r="E28" s="195">
        <f t="shared" si="2"/>
        <v>0</v>
      </c>
      <c r="F28" s="195">
        <f t="shared" si="2"/>
        <v>0</v>
      </c>
      <c r="G28" s="195">
        <f t="shared" si="2"/>
        <v>0</v>
      </c>
      <c r="H28" s="195">
        <f t="shared" si="2"/>
        <v>0</v>
      </c>
      <c r="I28" s="195">
        <f t="shared" si="2"/>
        <v>0</v>
      </c>
      <c r="J28" s="195">
        <f t="shared" si="2"/>
        <v>0</v>
      </c>
      <c r="K28" s="195">
        <f t="shared" si="2"/>
        <v>0</v>
      </c>
      <c r="L28" s="195">
        <f t="shared" si="2"/>
        <v>0</v>
      </c>
      <c r="M28" s="195">
        <f t="shared" si="2"/>
        <v>0</v>
      </c>
      <c r="N28" s="195">
        <f t="shared" si="2"/>
        <v>0</v>
      </c>
      <c r="O28" s="195" t="str">
        <f>IF(R28&gt;1,"入力確認",IF(Q28+S28=12,"入力済","未入力"))</f>
        <v>入力済</v>
      </c>
      <c r="P28" s="197">
        <f>IF(O28="未入力",1,IF(O28="入力済",0,2))</f>
        <v>0</v>
      </c>
      <c r="Q28" s="194">
        <f>COUNTIF($C28:$N28,0)</f>
        <v>12</v>
      </c>
      <c r="R28" s="194">
        <f>COUNTIF($C28:$N28,1)</f>
        <v>0</v>
      </c>
      <c r="S28" s="194">
        <f>COUNTIF($C28:$N28,2)</f>
        <v>0</v>
      </c>
    </row>
    <row r="29" spans="2:20" x14ac:dyDescent="0.45">
      <c r="B29" s="66" t="s">
        <v>515</v>
      </c>
      <c r="E29" s="76"/>
      <c r="F29" s="76"/>
      <c r="G29" s="76"/>
      <c r="H29" s="76"/>
      <c r="O29" s="77"/>
    </row>
    <row r="32" spans="2:20" ht="19.5" thickBot="1" x14ac:dyDescent="0.5">
      <c r="B32" s="64" t="s">
        <v>520</v>
      </c>
      <c r="E32" s="78" t="s">
        <v>450</v>
      </c>
      <c r="F32" s="78" t="s">
        <v>442</v>
      </c>
      <c r="G32" s="67"/>
      <c r="H32" s="459" t="s">
        <v>523</v>
      </c>
      <c r="I32" s="459"/>
      <c r="J32" s="470"/>
      <c r="K32" s="470"/>
      <c r="L32" s="470"/>
    </row>
    <row r="33" spans="2:20" ht="19.5" customHeight="1" x14ac:dyDescent="0.45">
      <c r="B33" s="241" t="s">
        <v>599</v>
      </c>
      <c r="C33" s="343" t="s">
        <v>32</v>
      </c>
      <c r="D33" s="69" t="s">
        <v>31</v>
      </c>
      <c r="E33" s="340" t="s">
        <v>30</v>
      </c>
      <c r="F33" s="340" t="s">
        <v>29</v>
      </c>
      <c r="G33" s="69" t="s">
        <v>28</v>
      </c>
      <c r="H33" s="69" t="s">
        <v>27</v>
      </c>
      <c r="I33" s="69" t="s">
        <v>26</v>
      </c>
      <c r="J33" s="69" t="s">
        <v>25</v>
      </c>
      <c r="K33" s="69" t="s">
        <v>24</v>
      </c>
      <c r="L33" s="68" t="s">
        <v>23</v>
      </c>
      <c r="M33" s="69" t="s">
        <v>22</v>
      </c>
      <c r="N33" s="73" t="s">
        <v>21</v>
      </c>
      <c r="O33" s="163"/>
      <c r="P33" s="74"/>
    </row>
    <row r="34" spans="2:20" ht="38.25" customHeight="1" thickBot="1" x14ac:dyDescent="0.5">
      <c r="B34" s="71" t="s">
        <v>414</v>
      </c>
      <c r="C34" s="87" t="s">
        <v>587</v>
      </c>
      <c r="D34" s="87" t="s">
        <v>588</v>
      </c>
      <c r="E34" s="87" t="s">
        <v>589</v>
      </c>
      <c r="F34" s="87" t="s">
        <v>590</v>
      </c>
      <c r="G34" s="87" t="s">
        <v>591</v>
      </c>
      <c r="H34" s="87" t="s">
        <v>592</v>
      </c>
      <c r="I34" s="87" t="s">
        <v>593</v>
      </c>
      <c r="J34" s="87" t="s">
        <v>594</v>
      </c>
      <c r="K34" s="87" t="s">
        <v>595</v>
      </c>
      <c r="L34" s="87" t="s">
        <v>596</v>
      </c>
      <c r="M34" s="87" t="s">
        <v>597</v>
      </c>
      <c r="N34" s="88" t="s">
        <v>598</v>
      </c>
      <c r="O34" s="157" t="s">
        <v>416</v>
      </c>
      <c r="P34" s="350" t="s">
        <v>415</v>
      </c>
    </row>
    <row r="35" spans="2:20" ht="19.5" customHeight="1" thickTop="1" x14ac:dyDescent="0.45">
      <c r="B35" s="70" t="s">
        <v>33</v>
      </c>
      <c r="C35" s="454">
        <v>54340</v>
      </c>
      <c r="D35" s="454">
        <v>59180</v>
      </c>
      <c r="E35" s="454">
        <v>50600</v>
      </c>
      <c r="F35" s="454">
        <v>48840</v>
      </c>
      <c r="G35" s="454">
        <v>58520</v>
      </c>
      <c r="H35" s="454">
        <v>49280</v>
      </c>
      <c r="I35" s="454">
        <v>72160</v>
      </c>
      <c r="J35" s="454">
        <v>81180</v>
      </c>
      <c r="K35" s="454">
        <v>86680</v>
      </c>
      <c r="L35" s="454">
        <v>83160</v>
      </c>
      <c r="M35" s="454">
        <v>75240</v>
      </c>
      <c r="N35" s="454">
        <v>76560</v>
      </c>
      <c r="O35" s="483">
        <f>IF(ISERROR(12*SUM(C35:N36)/COUNT(C35:N36)),"",12*SUM(C35:N36)/COUNT(C35:N36))</f>
        <v>795740</v>
      </c>
      <c r="P35" s="487">
        <v>893.05</v>
      </c>
    </row>
    <row r="36" spans="2:20" ht="19.5" customHeight="1" thickBot="1" x14ac:dyDescent="0.5">
      <c r="B36" s="71" t="str">
        <f>IF(F32="","",F32)</f>
        <v>［m3］</v>
      </c>
      <c r="C36" s="455"/>
      <c r="D36" s="455"/>
      <c r="E36" s="455"/>
      <c r="F36" s="455"/>
      <c r="G36" s="455"/>
      <c r="H36" s="455"/>
      <c r="I36" s="455"/>
      <c r="J36" s="463"/>
      <c r="K36" s="463"/>
      <c r="L36" s="463"/>
      <c r="M36" s="463"/>
      <c r="N36" s="463"/>
      <c r="O36" s="484"/>
      <c r="P36" s="488"/>
    </row>
    <row r="37" spans="2:20" ht="38.25" customHeight="1" thickTop="1" thickBot="1" x14ac:dyDescent="0.5">
      <c r="B37" s="72" t="s">
        <v>413</v>
      </c>
      <c r="C37" s="164">
        <v>7007660</v>
      </c>
      <c r="D37" s="164">
        <v>7594620</v>
      </c>
      <c r="E37" s="164">
        <v>6549400</v>
      </c>
      <c r="F37" s="164">
        <v>6323240</v>
      </c>
      <c r="G37" s="164">
        <v>7472960</v>
      </c>
      <c r="H37" s="164">
        <v>6253280</v>
      </c>
      <c r="I37" s="164">
        <v>8693520</v>
      </c>
      <c r="J37" s="165">
        <v>9301380</v>
      </c>
      <c r="K37" s="165">
        <v>9509720</v>
      </c>
      <c r="L37" s="165">
        <v>8947620</v>
      </c>
      <c r="M37" s="165">
        <v>8181580</v>
      </c>
      <c r="N37" s="165">
        <v>8536880</v>
      </c>
      <c r="O37" s="167">
        <f>IF(ISERROR(12*SUM(C37:N37)/COUNT(C37:N37)),"",12*SUM(C37:N37)/COUNT(C37:N37))</f>
        <v>94371860</v>
      </c>
      <c r="P37" s="351">
        <f>IF(AND(O35="",O37="",P40=0),0,IF(OR(B33="",B33="年度を選択"),1,IF(OR(E32="",E32="種別を選択"),2,IF(OR(F32="",F32="単位を選択"),3,4))))</f>
        <v>4</v>
      </c>
      <c r="Q37" s="194"/>
      <c r="R37" s="194"/>
    </row>
    <row r="38" spans="2:20" ht="18.75" hidden="1" customHeight="1" x14ac:dyDescent="0.45">
      <c r="B38" s="196" t="s">
        <v>444</v>
      </c>
      <c r="C38" s="195">
        <f>IF(C34="",2,IF(C34&lt;&gt;"",0,1))</f>
        <v>0</v>
      </c>
      <c r="D38" s="195">
        <f t="shared" ref="D38:L38" si="3">IF(D34="",2,IF(D34&lt;&gt;"",0,1))</f>
        <v>0</v>
      </c>
      <c r="E38" s="195">
        <f t="shared" si="3"/>
        <v>0</v>
      </c>
      <c r="F38" s="195">
        <f t="shared" si="3"/>
        <v>0</v>
      </c>
      <c r="G38" s="195">
        <f t="shared" si="3"/>
        <v>0</v>
      </c>
      <c r="H38" s="195">
        <f t="shared" si="3"/>
        <v>0</v>
      </c>
      <c r="I38" s="195">
        <f t="shared" si="3"/>
        <v>0</v>
      </c>
      <c r="J38" s="195">
        <f t="shared" si="3"/>
        <v>0</v>
      </c>
      <c r="K38" s="195">
        <f t="shared" si="3"/>
        <v>0</v>
      </c>
      <c r="L38" s="195">
        <f t="shared" si="3"/>
        <v>0</v>
      </c>
      <c r="M38" s="195">
        <f>IF(M34="",2,IF(M34&lt;&gt;"",0,1))</f>
        <v>0</v>
      </c>
      <c r="N38" s="195">
        <f t="shared" ref="N38" si="4">IF(N34="",2,IF(N34&lt;&gt;"",0,1))</f>
        <v>0</v>
      </c>
      <c r="O38" s="195" t="str">
        <f>IF(R38&gt;1,"入力確認",IF(Q38=Q39,"入力済","未入力"))</f>
        <v>入力済</v>
      </c>
      <c r="P38" s="197">
        <f>P37</f>
        <v>4</v>
      </c>
      <c r="Q38" s="194">
        <f>COUNTIF($C38:$N38,0)</f>
        <v>12</v>
      </c>
      <c r="R38" s="194">
        <f>COUNTIF($C38:$N38,1)</f>
        <v>0</v>
      </c>
      <c r="S38" s="194">
        <f>COUNTIF($C38:$N38,2)</f>
        <v>0</v>
      </c>
      <c r="T38" s="194"/>
    </row>
    <row r="39" spans="2:20" ht="18.75" hidden="1" customHeight="1" x14ac:dyDescent="0.45">
      <c r="B39" s="196" t="s">
        <v>445</v>
      </c>
      <c r="C39" s="195">
        <f>IF(AND(C35="",C37=""),2,IF(AND(C35&lt;&gt;"",C37&lt;&gt;""),0,1))</f>
        <v>0</v>
      </c>
      <c r="D39" s="195">
        <f t="shared" ref="D39:N39" si="5">IF(AND(D35="",D37=""),2,IF(AND(D35&lt;&gt;"",D37&lt;&gt;""),0,1))</f>
        <v>0</v>
      </c>
      <c r="E39" s="195">
        <f t="shared" si="5"/>
        <v>0</v>
      </c>
      <c r="F39" s="195">
        <f t="shared" si="5"/>
        <v>0</v>
      </c>
      <c r="G39" s="195">
        <f t="shared" si="5"/>
        <v>0</v>
      </c>
      <c r="H39" s="195">
        <f t="shared" si="5"/>
        <v>0</v>
      </c>
      <c r="I39" s="195">
        <f t="shared" si="5"/>
        <v>0</v>
      </c>
      <c r="J39" s="195">
        <f t="shared" si="5"/>
        <v>0</v>
      </c>
      <c r="K39" s="195">
        <f t="shared" si="5"/>
        <v>0</v>
      </c>
      <c r="L39" s="195">
        <f t="shared" si="5"/>
        <v>0</v>
      </c>
      <c r="M39" s="195">
        <f t="shared" si="5"/>
        <v>0</v>
      </c>
      <c r="N39" s="195">
        <f t="shared" si="5"/>
        <v>0</v>
      </c>
      <c r="O39" s="195" t="str">
        <f>IF(R39&gt;1,"入力確認",IF(Q39+S39=12,"入力済","未入力"))</f>
        <v>入力済</v>
      </c>
      <c r="P39" s="197"/>
      <c r="Q39" s="194">
        <f>COUNTIF($C39:$N39,0)</f>
        <v>12</v>
      </c>
      <c r="R39" s="194">
        <f>COUNTIF($C39:$N39,1)</f>
        <v>0</v>
      </c>
      <c r="S39" s="194">
        <f>COUNTIF($C39:$N39,2)</f>
        <v>0</v>
      </c>
    </row>
    <row r="40" spans="2:20" ht="18.75" hidden="1" customHeight="1" x14ac:dyDescent="0.45">
      <c r="B40" s="196" t="s">
        <v>446</v>
      </c>
      <c r="C40" s="195">
        <f>IF(AND(C38=2,C39=2),2,IF(C38&lt;&gt;C39,1,IF(AND(C38=0,C39=0),0,4)))</f>
        <v>0</v>
      </c>
      <c r="D40" s="195">
        <f t="shared" ref="D40:N40" si="6">IF(AND(D38=2,D39=2),2,IF(D38&lt;&gt;D39,1,IF(AND(D38=0,D39=0),0,4)))</f>
        <v>0</v>
      </c>
      <c r="E40" s="195">
        <f t="shared" si="6"/>
        <v>0</v>
      </c>
      <c r="F40" s="195">
        <f t="shared" si="6"/>
        <v>0</v>
      </c>
      <c r="G40" s="195">
        <f t="shared" si="6"/>
        <v>0</v>
      </c>
      <c r="H40" s="195">
        <f t="shared" si="6"/>
        <v>0</v>
      </c>
      <c r="I40" s="195">
        <f t="shared" si="6"/>
        <v>0</v>
      </c>
      <c r="J40" s="195">
        <f t="shared" si="6"/>
        <v>0</v>
      </c>
      <c r="K40" s="195">
        <f t="shared" si="6"/>
        <v>0</v>
      </c>
      <c r="L40" s="195">
        <f t="shared" si="6"/>
        <v>0</v>
      </c>
      <c r="M40" s="195">
        <f t="shared" si="6"/>
        <v>0</v>
      </c>
      <c r="N40" s="195">
        <f t="shared" si="6"/>
        <v>0</v>
      </c>
      <c r="O40" s="195" t="str">
        <f>IF(R40&gt;1,"入力確認",IF(Q40+S40=12,"入力済","未入力"))</f>
        <v>入力済</v>
      </c>
      <c r="P40" s="197">
        <f>IF(O40="未入力",1,IF(O40="入力済",0,2))</f>
        <v>0</v>
      </c>
      <c r="Q40" s="194">
        <f>COUNTIF($C40:$N40,0)</f>
        <v>12</v>
      </c>
      <c r="R40" s="194">
        <f>COUNTIF($C40:$N40,1)</f>
        <v>0</v>
      </c>
      <c r="S40" s="194">
        <f>COUNTIF($C40:$N40,2)</f>
        <v>0</v>
      </c>
    </row>
    <row r="41" spans="2:20" x14ac:dyDescent="0.45">
      <c r="B41" s="66" t="s">
        <v>521</v>
      </c>
      <c r="E41" s="76"/>
      <c r="F41" s="76"/>
      <c r="G41" s="76"/>
      <c r="H41" s="76"/>
      <c r="O41" s="77"/>
    </row>
    <row r="42" spans="2:20" x14ac:dyDescent="0.45">
      <c r="E42" s="76"/>
      <c r="F42" s="76"/>
      <c r="G42" s="76"/>
      <c r="H42" s="76"/>
      <c r="O42" s="77"/>
    </row>
    <row r="43" spans="2:20" ht="20.25" customHeight="1" thickBot="1" x14ac:dyDescent="0.5">
      <c r="B43" s="64" t="s">
        <v>516</v>
      </c>
      <c r="E43" s="476" t="s">
        <v>259</v>
      </c>
      <c r="F43" s="476"/>
      <c r="G43" s="67"/>
      <c r="H43" s="459" t="s">
        <v>523</v>
      </c>
      <c r="I43" s="459"/>
      <c r="J43" s="470"/>
      <c r="K43" s="470"/>
      <c r="L43" s="470"/>
    </row>
    <row r="44" spans="2:20" ht="19.5" customHeight="1" x14ac:dyDescent="0.45">
      <c r="B44" s="241" t="s">
        <v>535</v>
      </c>
      <c r="C44" s="343" t="s">
        <v>32</v>
      </c>
      <c r="D44" s="69" t="s">
        <v>31</v>
      </c>
      <c r="E44" s="340" t="s">
        <v>30</v>
      </c>
      <c r="F44" s="340" t="s">
        <v>29</v>
      </c>
      <c r="G44" s="69" t="s">
        <v>28</v>
      </c>
      <c r="H44" s="69" t="s">
        <v>27</v>
      </c>
      <c r="I44" s="69" t="s">
        <v>26</v>
      </c>
      <c r="J44" s="340" t="s">
        <v>25</v>
      </c>
      <c r="K44" s="340" t="s">
        <v>24</v>
      </c>
      <c r="L44" s="345" t="s">
        <v>23</v>
      </c>
      <c r="M44" s="69" t="s">
        <v>22</v>
      </c>
      <c r="N44" s="73" t="s">
        <v>21</v>
      </c>
      <c r="O44" s="163"/>
      <c r="P44" s="74"/>
    </row>
    <row r="45" spans="2:20" ht="38.25" customHeight="1" x14ac:dyDescent="0.45">
      <c r="B45" s="71" t="s">
        <v>414</v>
      </c>
      <c r="C45" s="87"/>
      <c r="D45" s="87"/>
      <c r="E45" s="87"/>
      <c r="F45" s="87"/>
      <c r="G45" s="87"/>
      <c r="H45" s="87"/>
      <c r="I45" s="87"/>
      <c r="J45" s="87"/>
      <c r="K45" s="87"/>
      <c r="L45" s="87"/>
      <c r="M45" s="87"/>
      <c r="N45" s="88"/>
      <c r="O45" s="157" t="s">
        <v>416</v>
      </c>
      <c r="P45" s="162" t="s">
        <v>415</v>
      </c>
    </row>
    <row r="46" spans="2:20" ht="19.5" customHeight="1" x14ac:dyDescent="0.45">
      <c r="B46" s="70" t="s">
        <v>18</v>
      </c>
      <c r="C46" s="454"/>
      <c r="D46" s="454"/>
      <c r="E46" s="454"/>
      <c r="F46" s="454"/>
      <c r="G46" s="454"/>
      <c r="H46" s="454"/>
      <c r="I46" s="454"/>
      <c r="J46" s="454"/>
      <c r="K46" s="454"/>
      <c r="L46" s="454"/>
      <c r="M46" s="454"/>
      <c r="N46" s="454"/>
      <c r="O46" s="466" t="str">
        <f>IF(ISERROR(12*SUM(C46:N47)/COUNT(C46:N47)),"",12*SUM(C46:N47)/COUNT(C46:N47))</f>
        <v/>
      </c>
      <c r="P46" s="473" t="str">
        <f>IF(P49=0,"",IF(P51=1,"未入力欄を確認",IF(P49=1,"年度を選択",IF(P49=2,"エネルギー種別を選択",IF($E43="電気",計算!$J$17,IF($E43="都市ガス",計算!$J$18,IF($E43="温水・冷水",計算!$J$19,IF($E43="産業用蒸気",計算!$J$20,IF($E43="産業用以外の蒸気",計算!$J$21,IF($E43="灯油",計算!$J$22,IF($E43="軽油",計算!$J$23,IF($E43="A重油",計算!$J$24,IF($E43="B・Ｃ重油",計算!$J$25,"")))))))))))))</f>
        <v/>
      </c>
    </row>
    <row r="47" spans="2:20" ht="19.5" customHeight="1" thickBot="1" x14ac:dyDescent="0.5">
      <c r="B47" s="71" t="str">
        <f>IF(E43="電気","［kWh］",IF(E43="都市ガス","［m3］",IF(OR(E43="温水・冷水",E43="産業用蒸気",E43="産業用以外の蒸気"),"［MJ］","［L］")))</f>
        <v>［L］</v>
      </c>
      <c r="C47" s="455"/>
      <c r="D47" s="455"/>
      <c r="E47" s="455"/>
      <c r="F47" s="455"/>
      <c r="G47" s="455"/>
      <c r="H47" s="455"/>
      <c r="I47" s="455"/>
      <c r="J47" s="463"/>
      <c r="K47" s="463"/>
      <c r="L47" s="463"/>
      <c r="M47" s="463"/>
      <c r="N47" s="463"/>
      <c r="O47" s="467"/>
      <c r="P47" s="469"/>
    </row>
    <row r="48" spans="2:20" ht="38.25" customHeight="1" thickTop="1" thickBot="1" x14ac:dyDescent="0.5">
      <c r="B48" s="72" t="s">
        <v>413</v>
      </c>
      <c r="C48" s="164"/>
      <c r="D48" s="164"/>
      <c r="E48" s="164"/>
      <c r="F48" s="164"/>
      <c r="G48" s="164"/>
      <c r="H48" s="164"/>
      <c r="I48" s="164"/>
      <c r="J48" s="165"/>
      <c r="K48" s="165"/>
      <c r="L48" s="165"/>
      <c r="M48" s="165"/>
      <c r="N48" s="165"/>
      <c r="O48" s="75" t="str">
        <f>IF(ISERROR(12*SUM(C48:N48)/COUNT(C48:N48)),"",12*SUM(C48:N48)/COUNT(C48:N48))</f>
        <v/>
      </c>
      <c r="P48" s="168">
        <f>IF(AND(O46="",O48="",P51=0),0,IF(OR(B44="",B44="年度を選択"),1,IF(OR(E43="",E43="エネルギー種別を選択"),2,4)))</f>
        <v>0</v>
      </c>
      <c r="Q48" s="194"/>
    </row>
    <row r="49" spans="2:20" ht="18.75" hidden="1" customHeight="1" x14ac:dyDescent="0.45">
      <c r="B49" s="196" t="s">
        <v>444</v>
      </c>
      <c r="C49" s="195">
        <f>IF(C45="",2,IF(C45&lt;&gt;"",0,1))</f>
        <v>2</v>
      </c>
      <c r="D49" s="195">
        <f t="shared" ref="D49:L49" si="7">IF(D45="",2,IF(D45&lt;&gt;"",0,1))</f>
        <v>2</v>
      </c>
      <c r="E49" s="195">
        <f t="shared" si="7"/>
        <v>2</v>
      </c>
      <c r="F49" s="195">
        <f t="shared" si="7"/>
        <v>2</v>
      </c>
      <c r="G49" s="195">
        <f t="shared" si="7"/>
        <v>2</v>
      </c>
      <c r="H49" s="195">
        <f t="shared" si="7"/>
        <v>2</v>
      </c>
      <c r="I49" s="195">
        <f t="shared" si="7"/>
        <v>2</v>
      </c>
      <c r="J49" s="195">
        <f t="shared" si="7"/>
        <v>2</v>
      </c>
      <c r="K49" s="195">
        <f t="shared" si="7"/>
        <v>2</v>
      </c>
      <c r="L49" s="195">
        <f t="shared" si="7"/>
        <v>2</v>
      </c>
      <c r="M49" s="195">
        <f>IF(M45="",2,IF(M45&lt;&gt;"",0,1))</f>
        <v>2</v>
      </c>
      <c r="N49" s="195">
        <f t="shared" ref="N49" si="8">IF(N45="",2,IF(N45&lt;&gt;"",0,1))</f>
        <v>2</v>
      </c>
      <c r="O49" s="195" t="str">
        <f>IF(R49&gt;1,"入力確認",IF(Q49=Q50,"入力済","未入力"))</f>
        <v>入力済</v>
      </c>
      <c r="P49" s="197">
        <f>P48</f>
        <v>0</v>
      </c>
      <c r="Q49" s="194">
        <f>COUNTIF($C49:$N49,0)</f>
        <v>0</v>
      </c>
      <c r="R49" s="194">
        <f>COUNTIF($C49:$N49,1)</f>
        <v>0</v>
      </c>
      <c r="S49" s="194">
        <f>COUNTIF($C49:$N49,2)</f>
        <v>12</v>
      </c>
      <c r="T49" s="194"/>
    </row>
    <row r="50" spans="2:20" ht="18.75" hidden="1" customHeight="1" x14ac:dyDescent="0.45">
      <c r="B50" s="196" t="s">
        <v>445</v>
      </c>
      <c r="C50" s="195">
        <f>IF(AND(C46="",C48=""),2,IF(AND(C46&lt;&gt;"",C48&lt;&gt;""),0,1))</f>
        <v>2</v>
      </c>
      <c r="D50" s="195">
        <f t="shared" ref="D50:N50" si="9">IF(AND(D46="",D48=""),2,IF(AND(D46&lt;&gt;"",D48&lt;&gt;""),0,1))</f>
        <v>2</v>
      </c>
      <c r="E50" s="195">
        <f t="shared" si="9"/>
        <v>2</v>
      </c>
      <c r="F50" s="195">
        <f t="shared" si="9"/>
        <v>2</v>
      </c>
      <c r="G50" s="195">
        <f t="shared" si="9"/>
        <v>2</v>
      </c>
      <c r="H50" s="195">
        <f t="shared" si="9"/>
        <v>2</v>
      </c>
      <c r="I50" s="195">
        <f t="shared" si="9"/>
        <v>2</v>
      </c>
      <c r="J50" s="195">
        <f t="shared" si="9"/>
        <v>2</v>
      </c>
      <c r="K50" s="195">
        <f t="shared" si="9"/>
        <v>2</v>
      </c>
      <c r="L50" s="195">
        <f t="shared" si="9"/>
        <v>2</v>
      </c>
      <c r="M50" s="195">
        <f t="shared" si="9"/>
        <v>2</v>
      </c>
      <c r="N50" s="195">
        <f t="shared" si="9"/>
        <v>2</v>
      </c>
      <c r="O50" s="195" t="str">
        <f>IF(R50&gt;1,"入力確認",IF(Q50+S50=12,"入力済","未入力"))</f>
        <v>入力済</v>
      </c>
      <c r="P50" s="197"/>
      <c r="Q50" s="194">
        <f>COUNTIF($C50:$N50,0)</f>
        <v>0</v>
      </c>
      <c r="R50" s="194">
        <f>COUNTIF($C50:$N50,1)</f>
        <v>0</v>
      </c>
      <c r="S50" s="194">
        <f>COUNTIF($C50:$N50,2)</f>
        <v>12</v>
      </c>
    </row>
    <row r="51" spans="2:20" ht="18.75" hidden="1" customHeight="1" x14ac:dyDescent="0.45">
      <c r="B51" s="196" t="s">
        <v>446</v>
      </c>
      <c r="C51" s="195">
        <f>IF(AND(C49=2,C50=2),2,IF(C49&lt;&gt;C50,1,IF(AND(C49=0,C50=0),0,4)))</f>
        <v>2</v>
      </c>
      <c r="D51" s="195">
        <f t="shared" ref="D51:N51" si="10">IF(AND(D49=2,D50=2),2,IF(D49&lt;&gt;D50,1,IF(AND(D49=0,D50=0),0,4)))</f>
        <v>2</v>
      </c>
      <c r="E51" s="195">
        <f t="shared" si="10"/>
        <v>2</v>
      </c>
      <c r="F51" s="195">
        <f t="shared" si="10"/>
        <v>2</v>
      </c>
      <c r="G51" s="195">
        <f t="shared" si="10"/>
        <v>2</v>
      </c>
      <c r="H51" s="195">
        <f t="shared" si="10"/>
        <v>2</v>
      </c>
      <c r="I51" s="195">
        <f t="shared" si="10"/>
        <v>2</v>
      </c>
      <c r="J51" s="195">
        <f t="shared" si="10"/>
        <v>2</v>
      </c>
      <c r="K51" s="195">
        <f t="shared" si="10"/>
        <v>2</v>
      </c>
      <c r="L51" s="195">
        <f t="shared" si="10"/>
        <v>2</v>
      </c>
      <c r="M51" s="195">
        <f t="shared" si="10"/>
        <v>2</v>
      </c>
      <c r="N51" s="195">
        <f t="shared" si="10"/>
        <v>2</v>
      </c>
      <c r="O51" s="195" t="str">
        <f>IF(R51&gt;1,"入力確認",IF(Q51+S51=12,"入力済","未入力"))</f>
        <v>入力済</v>
      </c>
      <c r="P51" s="197">
        <f>IF(O51="未入力",1,IF(O51="入力済",0,2))</f>
        <v>0</v>
      </c>
      <c r="Q51" s="194">
        <f>COUNTIF($C51:$N51,0)</f>
        <v>0</v>
      </c>
      <c r="R51" s="194">
        <f>COUNTIF($C51:$N51,1)</f>
        <v>0</v>
      </c>
      <c r="S51" s="194">
        <f>COUNTIF($C51:$N51,2)</f>
        <v>12</v>
      </c>
    </row>
    <row r="52" spans="2:20" x14ac:dyDescent="0.45">
      <c r="E52" s="76"/>
      <c r="F52" s="76"/>
      <c r="G52" s="76"/>
      <c r="H52" s="76"/>
      <c r="O52" s="77"/>
    </row>
    <row r="53" spans="2:20" x14ac:dyDescent="0.45">
      <c r="E53" s="76"/>
      <c r="F53" s="76"/>
      <c r="G53" s="76"/>
      <c r="H53" s="76"/>
      <c r="O53" s="77"/>
    </row>
    <row r="54" spans="2:20" ht="20.25" customHeight="1" thickBot="1" x14ac:dyDescent="0.5">
      <c r="B54" s="64" t="s">
        <v>517</v>
      </c>
      <c r="E54" s="476" t="s">
        <v>259</v>
      </c>
      <c r="F54" s="476"/>
      <c r="G54" s="67"/>
      <c r="H54" s="459" t="s">
        <v>523</v>
      </c>
      <c r="I54" s="459"/>
      <c r="J54" s="470"/>
      <c r="K54" s="470"/>
      <c r="L54" s="470"/>
    </row>
    <row r="55" spans="2:20" ht="19.5" customHeight="1" x14ac:dyDescent="0.45">
      <c r="B55" s="241" t="s">
        <v>535</v>
      </c>
      <c r="C55" s="343" t="s">
        <v>32</v>
      </c>
      <c r="D55" s="69" t="s">
        <v>31</v>
      </c>
      <c r="E55" s="340" t="s">
        <v>30</v>
      </c>
      <c r="F55" s="340" t="s">
        <v>29</v>
      </c>
      <c r="G55" s="69" t="s">
        <v>28</v>
      </c>
      <c r="H55" s="69" t="s">
        <v>27</v>
      </c>
      <c r="I55" s="69" t="s">
        <v>26</v>
      </c>
      <c r="J55" s="69" t="s">
        <v>25</v>
      </c>
      <c r="K55" s="69" t="s">
        <v>24</v>
      </c>
      <c r="L55" s="68" t="s">
        <v>23</v>
      </c>
      <c r="M55" s="69" t="s">
        <v>22</v>
      </c>
      <c r="N55" s="73" t="s">
        <v>21</v>
      </c>
      <c r="O55" s="163"/>
      <c r="P55" s="74"/>
    </row>
    <row r="56" spans="2:20" ht="38.25" customHeight="1" x14ac:dyDescent="0.45">
      <c r="B56" s="71" t="s">
        <v>414</v>
      </c>
      <c r="C56" s="87"/>
      <c r="D56" s="87"/>
      <c r="E56" s="87"/>
      <c r="F56" s="87"/>
      <c r="G56" s="87"/>
      <c r="H56" s="87"/>
      <c r="I56" s="87"/>
      <c r="J56" s="87"/>
      <c r="K56" s="87"/>
      <c r="L56" s="227"/>
      <c r="M56" s="87"/>
      <c r="N56" s="88"/>
      <c r="O56" s="157" t="s">
        <v>416</v>
      </c>
      <c r="P56" s="162" t="s">
        <v>415</v>
      </c>
    </row>
    <row r="57" spans="2:20" ht="19.5" customHeight="1" x14ac:dyDescent="0.45">
      <c r="B57" s="70" t="s">
        <v>18</v>
      </c>
      <c r="C57" s="454"/>
      <c r="D57" s="454"/>
      <c r="E57" s="454"/>
      <c r="F57" s="454"/>
      <c r="G57" s="454"/>
      <c r="H57" s="454"/>
      <c r="I57" s="454"/>
      <c r="J57" s="454"/>
      <c r="K57" s="454"/>
      <c r="L57" s="454"/>
      <c r="M57" s="454"/>
      <c r="N57" s="474"/>
      <c r="O57" s="466" t="str">
        <f>IF(ISERROR(12*SUM(C57:N58)/COUNT(C57:N58)),"",12*SUM(C57:N58)/COUNT(C57:N58))</f>
        <v/>
      </c>
      <c r="P57" s="473" t="str">
        <f>IF(P60=0,"",IF(P62=1,"未入力欄を確認",IF(P60=1,"年度を選択",IF(P60=2,"エネルギー種別を選択",IF($E54="電気",計算!$J$28,IF($E54="都市ガス",計算!$J$29,IF($E54="温水・冷水",計算!$J$30,IF($E54="産業用蒸気",計算!$J$31,IF($E54="産業用以外の蒸気",計算!$J$32,IF($E54="灯油",計算!$J$33,IF($E54="軽油",計算!$J$34,IF($E54="A重油",計算!$J$35,IF($E54="B・Ｃ重油",計算!$J$36,"")))))))))))))</f>
        <v/>
      </c>
    </row>
    <row r="58" spans="2:20" ht="19.5" customHeight="1" thickBot="1" x14ac:dyDescent="0.5">
      <c r="B58" s="71" t="str">
        <f>IF(E54="電気","［kWh］",IF(E54="都市ガス","［m3］",IF(OR(E54="温水・冷水",E54="産業用蒸気",E54="産業用以外の蒸気"),"［MJ］","［L］")))</f>
        <v>［L］</v>
      </c>
      <c r="C58" s="455"/>
      <c r="D58" s="455"/>
      <c r="E58" s="455"/>
      <c r="F58" s="455"/>
      <c r="G58" s="455"/>
      <c r="H58" s="455"/>
      <c r="I58" s="455"/>
      <c r="J58" s="463"/>
      <c r="K58" s="463"/>
      <c r="L58" s="463"/>
      <c r="M58" s="463"/>
      <c r="N58" s="475"/>
      <c r="O58" s="467"/>
      <c r="P58" s="469"/>
    </row>
    <row r="59" spans="2:20" ht="38.25" customHeight="1" thickTop="1" thickBot="1" x14ac:dyDescent="0.5">
      <c r="B59" s="72" t="s">
        <v>413</v>
      </c>
      <c r="C59" s="164"/>
      <c r="D59" s="164"/>
      <c r="E59" s="164"/>
      <c r="F59" s="164"/>
      <c r="G59" s="164"/>
      <c r="H59" s="164"/>
      <c r="I59" s="164"/>
      <c r="J59" s="165"/>
      <c r="K59" s="165"/>
      <c r="L59" s="165"/>
      <c r="M59" s="165"/>
      <c r="N59" s="166"/>
      <c r="O59" s="75" t="str">
        <f>IF(ISERROR(12*SUM(C59:N59)/COUNT(C59:N59)),"",12*SUM(C59:N59)/COUNT(C59:N59))</f>
        <v/>
      </c>
      <c r="P59" s="112">
        <f>IF(AND(O57="",O59="",P62=0),0,IF(OR(B55="",B55="年度を選択"),1,IF(OR(E54="",E54="エネルギー種別を選択"),2,4)))</f>
        <v>0</v>
      </c>
      <c r="Q59" s="194"/>
    </row>
    <row r="60" spans="2:20" ht="18.75" hidden="1" customHeight="1" x14ac:dyDescent="0.45">
      <c r="B60" s="196" t="s">
        <v>444</v>
      </c>
      <c r="C60" s="195">
        <f>IF(C56="",2,IF(C56&lt;&gt;"",0,1))</f>
        <v>2</v>
      </c>
      <c r="D60" s="195">
        <f t="shared" ref="D60:L60" si="11">IF(D56="",2,IF(D56&lt;&gt;"",0,1))</f>
        <v>2</v>
      </c>
      <c r="E60" s="195">
        <f t="shared" si="11"/>
        <v>2</v>
      </c>
      <c r="F60" s="195">
        <f t="shared" si="11"/>
        <v>2</v>
      </c>
      <c r="G60" s="195">
        <f t="shared" si="11"/>
        <v>2</v>
      </c>
      <c r="H60" s="195">
        <f t="shared" si="11"/>
        <v>2</v>
      </c>
      <c r="I60" s="195">
        <f t="shared" si="11"/>
        <v>2</v>
      </c>
      <c r="J60" s="195">
        <f t="shared" si="11"/>
        <v>2</v>
      </c>
      <c r="K60" s="195">
        <f t="shared" si="11"/>
        <v>2</v>
      </c>
      <c r="L60" s="195">
        <f t="shared" si="11"/>
        <v>2</v>
      </c>
      <c r="M60" s="195">
        <f>IF(M56="",2,IF(M56&lt;&gt;"",0,1))</f>
        <v>2</v>
      </c>
      <c r="N60" s="195">
        <f t="shared" ref="N60" si="12">IF(N56="",2,IF(N56&lt;&gt;"",0,1))</f>
        <v>2</v>
      </c>
      <c r="O60" s="195" t="str">
        <f>IF(R60&gt;1,"入力確認",IF(Q60=Q61,"入力済","未入力"))</f>
        <v>入力済</v>
      </c>
      <c r="P60" s="197">
        <f>P59</f>
        <v>0</v>
      </c>
      <c r="Q60" s="194">
        <f>COUNTIF($C60:$N60,0)</f>
        <v>0</v>
      </c>
      <c r="R60" s="194">
        <f>COUNTIF($C60:$N60,1)</f>
        <v>0</v>
      </c>
      <c r="S60" s="194">
        <f>COUNTIF($C60:$N60,2)</f>
        <v>12</v>
      </c>
      <c r="T60" s="194"/>
    </row>
    <row r="61" spans="2:20" ht="18.75" hidden="1" customHeight="1" x14ac:dyDescent="0.45">
      <c r="B61" s="196" t="s">
        <v>445</v>
      </c>
      <c r="C61" s="195">
        <f>IF(AND(C57="",C59=""),2,IF(AND(C57&lt;&gt;"",C59&lt;&gt;""),0,1))</f>
        <v>2</v>
      </c>
      <c r="D61" s="195">
        <f t="shared" ref="D61:N61" si="13">IF(AND(D57="",D59=""),2,IF(AND(D57&lt;&gt;"",D59&lt;&gt;""),0,1))</f>
        <v>2</v>
      </c>
      <c r="E61" s="195">
        <f t="shared" si="13"/>
        <v>2</v>
      </c>
      <c r="F61" s="195">
        <f t="shared" si="13"/>
        <v>2</v>
      </c>
      <c r="G61" s="195">
        <f t="shared" si="13"/>
        <v>2</v>
      </c>
      <c r="H61" s="195">
        <f t="shared" si="13"/>
        <v>2</v>
      </c>
      <c r="I61" s="195">
        <f t="shared" si="13"/>
        <v>2</v>
      </c>
      <c r="J61" s="195">
        <f t="shared" si="13"/>
        <v>2</v>
      </c>
      <c r="K61" s="195">
        <f t="shared" si="13"/>
        <v>2</v>
      </c>
      <c r="L61" s="195">
        <f t="shared" si="13"/>
        <v>2</v>
      </c>
      <c r="M61" s="195">
        <f t="shared" si="13"/>
        <v>2</v>
      </c>
      <c r="N61" s="195">
        <f t="shared" si="13"/>
        <v>2</v>
      </c>
      <c r="O61" s="195" t="str">
        <f>IF(R61&gt;1,"入力確認",IF(Q61+S61=12,"入力済","未入力"))</f>
        <v>入力済</v>
      </c>
      <c r="P61" s="197"/>
      <c r="Q61" s="194">
        <f>COUNTIF($C61:$N61,0)</f>
        <v>0</v>
      </c>
      <c r="R61" s="194">
        <f>COUNTIF($C61:$N61,1)</f>
        <v>0</v>
      </c>
      <c r="S61" s="194">
        <f>COUNTIF($C61:$N61,2)</f>
        <v>12</v>
      </c>
    </row>
    <row r="62" spans="2:20" ht="18.75" hidden="1" customHeight="1" x14ac:dyDescent="0.45">
      <c r="B62" s="196" t="s">
        <v>446</v>
      </c>
      <c r="C62" s="195">
        <f>IF(AND(C60=2,C61=2),2,IF(C60&lt;&gt;C61,1,IF(AND(C60=0,C61=0),0,4)))</f>
        <v>2</v>
      </c>
      <c r="D62" s="195">
        <f t="shared" ref="D62:N62" si="14">IF(AND(D60=2,D61=2),2,IF(D60&lt;&gt;D61,1,IF(AND(D60=0,D61=0),0,4)))</f>
        <v>2</v>
      </c>
      <c r="E62" s="195">
        <f t="shared" si="14"/>
        <v>2</v>
      </c>
      <c r="F62" s="195">
        <f t="shared" si="14"/>
        <v>2</v>
      </c>
      <c r="G62" s="195">
        <f t="shared" si="14"/>
        <v>2</v>
      </c>
      <c r="H62" s="195">
        <f t="shared" si="14"/>
        <v>2</v>
      </c>
      <c r="I62" s="195">
        <f t="shared" si="14"/>
        <v>2</v>
      </c>
      <c r="J62" s="195">
        <f t="shared" si="14"/>
        <v>2</v>
      </c>
      <c r="K62" s="195">
        <f t="shared" si="14"/>
        <v>2</v>
      </c>
      <c r="L62" s="195">
        <f t="shared" si="14"/>
        <v>2</v>
      </c>
      <c r="M62" s="195">
        <f t="shared" si="14"/>
        <v>2</v>
      </c>
      <c r="N62" s="195">
        <f t="shared" si="14"/>
        <v>2</v>
      </c>
      <c r="O62" s="195" t="str">
        <f>IF(R62&gt;1,"入力確認",IF(Q62+S62=12,"入力済","未入力"))</f>
        <v>入力済</v>
      </c>
      <c r="P62" s="197">
        <f>IF(O62="未入力",1,IF(O62="入力済",0,2))</f>
        <v>0</v>
      </c>
      <c r="Q62" s="194">
        <f>COUNTIF($C62:$N62,0)</f>
        <v>0</v>
      </c>
      <c r="R62" s="194">
        <f>COUNTIF($C62:$N62,1)</f>
        <v>0</v>
      </c>
      <c r="S62" s="194">
        <f>COUNTIF($C62:$N62,2)</f>
        <v>12</v>
      </c>
    </row>
    <row r="63" spans="2:20" x14ac:dyDescent="0.45">
      <c r="E63" s="76"/>
      <c r="F63" s="76"/>
      <c r="G63" s="76"/>
      <c r="H63" s="76"/>
      <c r="O63" s="77"/>
    </row>
    <row r="64" spans="2:20" x14ac:dyDescent="0.45">
      <c r="E64" s="76"/>
      <c r="F64" s="76"/>
      <c r="G64" s="76"/>
      <c r="H64" s="76"/>
      <c r="O64" s="77"/>
    </row>
    <row r="65" spans="2:20" ht="20.25" customHeight="1" thickBot="1" x14ac:dyDescent="0.5">
      <c r="B65" s="64" t="s">
        <v>518</v>
      </c>
      <c r="E65" s="476" t="s">
        <v>259</v>
      </c>
      <c r="F65" s="476"/>
      <c r="G65" s="67"/>
      <c r="H65" s="459" t="s">
        <v>523</v>
      </c>
      <c r="I65" s="459"/>
      <c r="J65" s="470"/>
      <c r="K65" s="470"/>
      <c r="L65" s="470"/>
    </row>
    <row r="66" spans="2:20" ht="19.5" customHeight="1" x14ac:dyDescent="0.45">
      <c r="B66" s="4" t="s">
        <v>535</v>
      </c>
      <c r="C66" s="68" t="s">
        <v>32</v>
      </c>
      <c r="D66" s="69" t="s">
        <v>31</v>
      </c>
      <c r="E66" s="69" t="s">
        <v>30</v>
      </c>
      <c r="F66" s="69" t="s">
        <v>29</v>
      </c>
      <c r="G66" s="69" t="s">
        <v>28</v>
      </c>
      <c r="H66" s="69" t="s">
        <v>27</v>
      </c>
      <c r="I66" s="69" t="s">
        <v>26</v>
      </c>
      <c r="J66" s="69" t="s">
        <v>25</v>
      </c>
      <c r="K66" s="69" t="s">
        <v>24</v>
      </c>
      <c r="L66" s="68" t="s">
        <v>23</v>
      </c>
      <c r="M66" s="69" t="s">
        <v>22</v>
      </c>
      <c r="N66" s="73" t="s">
        <v>21</v>
      </c>
      <c r="O66" s="163"/>
      <c r="P66" s="74"/>
    </row>
    <row r="67" spans="2:20" ht="38.25" customHeight="1" x14ac:dyDescent="0.45">
      <c r="B67" s="71" t="s">
        <v>414</v>
      </c>
      <c r="C67" s="87"/>
      <c r="D67" s="87"/>
      <c r="E67" s="87"/>
      <c r="F67" s="87"/>
      <c r="G67" s="87"/>
      <c r="H67" s="87"/>
      <c r="I67" s="87"/>
      <c r="J67" s="87"/>
      <c r="K67" s="87"/>
      <c r="L67" s="87"/>
      <c r="M67" s="87"/>
      <c r="N67" s="88"/>
      <c r="O67" s="157" t="s">
        <v>416</v>
      </c>
      <c r="P67" s="162" t="s">
        <v>415</v>
      </c>
    </row>
    <row r="68" spans="2:20" ht="19.5" customHeight="1" x14ac:dyDescent="0.45">
      <c r="B68" s="70" t="s">
        <v>18</v>
      </c>
      <c r="C68" s="454"/>
      <c r="D68" s="454"/>
      <c r="E68" s="454"/>
      <c r="F68" s="454"/>
      <c r="G68" s="454"/>
      <c r="H68" s="454"/>
      <c r="I68" s="454"/>
      <c r="J68" s="454"/>
      <c r="K68" s="454"/>
      <c r="L68" s="454"/>
      <c r="M68" s="454"/>
      <c r="N68" s="454"/>
      <c r="O68" s="466" t="str">
        <f>IF(ISERROR(12*SUM(C68:N69)/COUNT(C68:N69)),"",12*SUM(C68:N69)/COUNT(C68:N69))</f>
        <v/>
      </c>
      <c r="P68" s="473" t="str">
        <f>IF(P71=0,"",IF(P73=1,"未入力欄を確認",IF(P71=1,"年度を選択",IF(P71=2,"エネルギー種別を選択",IF($E65="電気",計算!$J$39,IF($E65="都市ガス",計算!$J$40,IF($E65="温水・冷水",計算!$J$41,IF($E65="産業用蒸気",計算!$J$42,IF($E65="産業用以外の蒸気",計算!$J$43,IF($E65="灯油",計算!$J$44,IF($E65="軽油",計算!$J$45,IF($E65="A重油",計算!$J$46,IF($E65="B・Ｃ重油",計算!$J$47,"")))))))))))))</f>
        <v/>
      </c>
    </row>
    <row r="69" spans="2:20" ht="19.5" customHeight="1" thickBot="1" x14ac:dyDescent="0.5">
      <c r="B69" s="71" t="str">
        <f>IF(E65="電気","［kWh］",IF(E65="都市ガス","［m3］",IF(OR(E65="温水・冷水",E65="産業用蒸気",E65="産業用以外の蒸気"),"［MJ］","［L］")))</f>
        <v>［L］</v>
      </c>
      <c r="C69" s="455"/>
      <c r="D69" s="455"/>
      <c r="E69" s="455"/>
      <c r="F69" s="455"/>
      <c r="G69" s="455"/>
      <c r="H69" s="455"/>
      <c r="I69" s="455"/>
      <c r="J69" s="463"/>
      <c r="K69" s="463"/>
      <c r="L69" s="463"/>
      <c r="M69" s="463"/>
      <c r="N69" s="463"/>
      <c r="O69" s="467"/>
      <c r="P69" s="469"/>
    </row>
    <row r="70" spans="2:20" ht="38.25" customHeight="1" thickTop="1" thickBot="1" x14ac:dyDescent="0.5">
      <c r="B70" s="72" t="s">
        <v>413</v>
      </c>
      <c r="C70" s="164"/>
      <c r="D70" s="164"/>
      <c r="E70" s="164"/>
      <c r="F70" s="164"/>
      <c r="G70" s="164"/>
      <c r="H70" s="164"/>
      <c r="I70" s="164"/>
      <c r="J70" s="165"/>
      <c r="K70" s="165"/>
      <c r="L70" s="165"/>
      <c r="M70" s="165"/>
      <c r="N70" s="165"/>
      <c r="O70" s="75" t="str">
        <f>IF(ISERROR(12*SUM(C70:N70)/COUNT(C70:N70)),"",12*SUM(C70:N70)/COUNT(C70:N70))</f>
        <v/>
      </c>
      <c r="P70" s="112">
        <f>IF(AND(O68="",O70="",P73=0),0,IF(OR(B66="",B66="年度を選択"),1,IF(OR(E65="",E65="エネルギー種別を選択"),2,4)))</f>
        <v>0</v>
      </c>
      <c r="Q70" s="194"/>
    </row>
    <row r="71" spans="2:20" ht="18.75" hidden="1" customHeight="1" x14ac:dyDescent="0.45">
      <c r="B71" s="196" t="s">
        <v>444</v>
      </c>
      <c r="C71" s="195">
        <f>IF(C67="",2,IF(C67&lt;&gt;"",0,1))</f>
        <v>2</v>
      </c>
      <c r="D71" s="195">
        <f t="shared" ref="D71:L71" si="15">IF(D67="",2,IF(D67&lt;&gt;"",0,1))</f>
        <v>2</v>
      </c>
      <c r="E71" s="195">
        <f t="shared" si="15"/>
        <v>2</v>
      </c>
      <c r="F71" s="195">
        <f t="shared" si="15"/>
        <v>2</v>
      </c>
      <c r="G71" s="195">
        <f t="shared" si="15"/>
        <v>2</v>
      </c>
      <c r="H71" s="195">
        <f t="shared" si="15"/>
        <v>2</v>
      </c>
      <c r="I71" s="195">
        <f t="shared" si="15"/>
        <v>2</v>
      </c>
      <c r="J71" s="195">
        <f t="shared" si="15"/>
        <v>2</v>
      </c>
      <c r="K71" s="195">
        <f t="shared" si="15"/>
        <v>2</v>
      </c>
      <c r="L71" s="195">
        <f t="shared" si="15"/>
        <v>2</v>
      </c>
      <c r="M71" s="195">
        <f>IF(M67="",2,IF(M67&lt;&gt;"",0,1))</f>
        <v>2</v>
      </c>
      <c r="N71" s="195">
        <f t="shared" ref="N71" si="16">IF(N67="",2,IF(N67&lt;&gt;"",0,1))</f>
        <v>2</v>
      </c>
      <c r="O71" s="195" t="str">
        <f>IF(R71&gt;1,"入力確認",IF(Q71=Q72,"入力済","未入力"))</f>
        <v>入力済</v>
      </c>
      <c r="P71" s="197">
        <f>P70</f>
        <v>0</v>
      </c>
      <c r="Q71" s="194">
        <f>COUNTIF($C71:$N71,0)</f>
        <v>0</v>
      </c>
      <c r="R71" s="194">
        <f>COUNTIF($C71:$N71,1)</f>
        <v>0</v>
      </c>
      <c r="S71" s="194">
        <f>COUNTIF($C71:$N71,2)</f>
        <v>12</v>
      </c>
      <c r="T71" s="194"/>
    </row>
    <row r="72" spans="2:20" ht="18.75" hidden="1" customHeight="1" x14ac:dyDescent="0.45">
      <c r="B72" s="196" t="s">
        <v>445</v>
      </c>
      <c r="C72" s="195">
        <f>IF(AND(C68="",C70=""),2,IF(AND(C68&lt;&gt;"",C70&lt;&gt;""),0,1))</f>
        <v>2</v>
      </c>
      <c r="D72" s="195">
        <f t="shared" ref="D72:N72" si="17">IF(AND(D68="",D70=""),2,IF(AND(D68&lt;&gt;"",D70&lt;&gt;""),0,1))</f>
        <v>2</v>
      </c>
      <c r="E72" s="195">
        <f t="shared" si="17"/>
        <v>2</v>
      </c>
      <c r="F72" s="195">
        <f t="shared" si="17"/>
        <v>2</v>
      </c>
      <c r="G72" s="195">
        <f t="shared" si="17"/>
        <v>2</v>
      </c>
      <c r="H72" s="195">
        <f t="shared" si="17"/>
        <v>2</v>
      </c>
      <c r="I72" s="195">
        <f t="shared" si="17"/>
        <v>2</v>
      </c>
      <c r="J72" s="195">
        <f t="shared" si="17"/>
        <v>2</v>
      </c>
      <c r="K72" s="195">
        <f t="shared" si="17"/>
        <v>2</v>
      </c>
      <c r="L72" s="195">
        <f t="shared" si="17"/>
        <v>2</v>
      </c>
      <c r="M72" s="195">
        <f t="shared" si="17"/>
        <v>2</v>
      </c>
      <c r="N72" s="195">
        <f t="shared" si="17"/>
        <v>2</v>
      </c>
      <c r="O72" s="195" t="str">
        <f>IF(R72&gt;1,"入力確認",IF(Q72+S72=12,"入力済","未入力"))</f>
        <v>入力済</v>
      </c>
      <c r="P72" s="197"/>
      <c r="Q72" s="194">
        <f>COUNTIF($C72:$N72,0)</f>
        <v>0</v>
      </c>
      <c r="R72" s="194">
        <f>COUNTIF($C72:$N72,1)</f>
        <v>0</v>
      </c>
      <c r="S72" s="194">
        <f>COUNTIF($C72:$N72,2)</f>
        <v>12</v>
      </c>
    </row>
    <row r="73" spans="2:20" ht="18.75" hidden="1" customHeight="1" x14ac:dyDescent="0.45">
      <c r="B73" s="196" t="s">
        <v>446</v>
      </c>
      <c r="C73" s="195">
        <f>IF(AND(C71=2,C72=2),2,IF(C71&lt;&gt;C72,1,IF(AND(C71=0,C72=0),0,4)))</f>
        <v>2</v>
      </c>
      <c r="D73" s="195">
        <f t="shared" ref="D73:N73" si="18">IF(AND(D71=2,D72=2),2,IF(D71&lt;&gt;D72,1,IF(AND(D71=0,D72=0),0,4)))</f>
        <v>2</v>
      </c>
      <c r="E73" s="195">
        <f t="shared" si="18"/>
        <v>2</v>
      </c>
      <c r="F73" s="195">
        <f t="shared" si="18"/>
        <v>2</v>
      </c>
      <c r="G73" s="195">
        <f t="shared" si="18"/>
        <v>2</v>
      </c>
      <c r="H73" s="195">
        <f t="shared" si="18"/>
        <v>2</v>
      </c>
      <c r="I73" s="195">
        <f t="shared" si="18"/>
        <v>2</v>
      </c>
      <c r="J73" s="195">
        <f t="shared" si="18"/>
        <v>2</v>
      </c>
      <c r="K73" s="195">
        <f t="shared" si="18"/>
        <v>2</v>
      </c>
      <c r="L73" s="195">
        <f t="shared" si="18"/>
        <v>2</v>
      </c>
      <c r="M73" s="195">
        <f t="shared" si="18"/>
        <v>2</v>
      </c>
      <c r="N73" s="195">
        <f t="shared" si="18"/>
        <v>2</v>
      </c>
      <c r="O73" s="195" t="str">
        <f>IF(R73&gt;1,"入力確認",IF(Q73+S73=12,"入力済","未入力"))</f>
        <v>入力済</v>
      </c>
      <c r="P73" s="197">
        <f>IF(O73="未入力",1,IF(O73="入力済",0,2))</f>
        <v>0</v>
      </c>
      <c r="Q73" s="194">
        <f>COUNTIF($C73:$N73,0)</f>
        <v>0</v>
      </c>
      <c r="R73" s="194">
        <f>COUNTIF($C73:$N73,1)</f>
        <v>0</v>
      </c>
      <c r="S73" s="194">
        <f>COUNTIF($C73:$N73,2)</f>
        <v>12</v>
      </c>
    </row>
    <row r="74" spans="2:20" x14ac:dyDescent="0.45">
      <c r="E74" s="76"/>
      <c r="F74" s="76"/>
      <c r="G74" s="76"/>
      <c r="H74" s="76"/>
      <c r="O74" s="77"/>
    </row>
    <row r="75" spans="2:20" x14ac:dyDescent="0.45">
      <c r="E75" s="76"/>
      <c r="F75" s="76"/>
      <c r="G75" s="76"/>
      <c r="H75" s="76"/>
      <c r="O75" s="77"/>
    </row>
    <row r="76" spans="2:20" ht="20.25" customHeight="1" thickBot="1" x14ac:dyDescent="0.5">
      <c r="B76" s="64" t="s">
        <v>519</v>
      </c>
      <c r="E76" s="476" t="s">
        <v>259</v>
      </c>
      <c r="F76" s="476"/>
      <c r="G76" s="67"/>
      <c r="H76" s="459" t="s">
        <v>523</v>
      </c>
      <c r="I76" s="459"/>
      <c r="J76" s="470"/>
      <c r="K76" s="470"/>
      <c r="L76" s="470"/>
    </row>
    <row r="77" spans="2:20" ht="19.5" customHeight="1" x14ac:dyDescent="0.45">
      <c r="B77" s="4" t="s">
        <v>535</v>
      </c>
      <c r="C77" s="68" t="s">
        <v>32</v>
      </c>
      <c r="D77" s="69" t="s">
        <v>31</v>
      </c>
      <c r="E77" s="69" t="s">
        <v>30</v>
      </c>
      <c r="F77" s="69" t="s">
        <v>29</v>
      </c>
      <c r="G77" s="69" t="s">
        <v>28</v>
      </c>
      <c r="H77" s="69" t="s">
        <v>27</v>
      </c>
      <c r="I77" s="69" t="s">
        <v>26</v>
      </c>
      <c r="J77" s="69" t="s">
        <v>25</v>
      </c>
      <c r="K77" s="69" t="s">
        <v>24</v>
      </c>
      <c r="L77" s="68" t="s">
        <v>23</v>
      </c>
      <c r="M77" s="69" t="s">
        <v>22</v>
      </c>
      <c r="N77" s="73" t="s">
        <v>21</v>
      </c>
      <c r="O77" s="163"/>
      <c r="P77" s="74"/>
    </row>
    <row r="78" spans="2:20" ht="38.25" customHeight="1" x14ac:dyDescent="0.45">
      <c r="B78" s="71" t="s">
        <v>414</v>
      </c>
      <c r="C78" s="87"/>
      <c r="D78" s="87"/>
      <c r="E78" s="87"/>
      <c r="F78" s="87"/>
      <c r="G78" s="87"/>
      <c r="H78" s="87"/>
      <c r="I78" s="87"/>
      <c r="J78" s="87"/>
      <c r="K78" s="87"/>
      <c r="L78" s="87"/>
      <c r="M78" s="87"/>
      <c r="N78" s="88"/>
      <c r="O78" s="157" t="s">
        <v>416</v>
      </c>
      <c r="P78" s="162" t="s">
        <v>415</v>
      </c>
    </row>
    <row r="79" spans="2:20" ht="19.5" customHeight="1" x14ac:dyDescent="0.45">
      <c r="B79" s="70" t="s">
        <v>18</v>
      </c>
      <c r="C79" s="454"/>
      <c r="D79" s="454"/>
      <c r="E79" s="454"/>
      <c r="F79" s="454"/>
      <c r="G79" s="454"/>
      <c r="H79" s="454"/>
      <c r="I79" s="454"/>
      <c r="J79" s="454"/>
      <c r="K79" s="454"/>
      <c r="L79" s="454"/>
      <c r="M79" s="454"/>
      <c r="N79" s="454"/>
      <c r="O79" s="466" t="str">
        <f>IF(ISERROR(12*SUM(C79:N80)/COUNT(C79:N80)),"",12*SUM(C79:N80)/COUNT(C79:N80))</f>
        <v/>
      </c>
      <c r="P79" s="473" t="str">
        <f>IF(P82=0,"",IF(P84=1,"未入力欄を確認",IF(P82=1,"年度を選択",IF(P82=2,"エネルギー種別を選択",IF($E76="電気",計算!$J$50,IF($E76="都市ガス",計算!$J$51,IF($E76="温水・冷水",計算!$J$52,IF($E76="産業用蒸気",計算!$J$53,IF($E76="産業用以外の蒸気",計算!$J$54,IF($E76="灯油",計算!$J$55,IF($E76="軽油",計算!$J$56,IF($E76="A重油",計算!$J$57,IF($E76="B・Ｃ重油",計算!J58,"")))))))))))))</f>
        <v/>
      </c>
    </row>
    <row r="80" spans="2:20" ht="19.5" customHeight="1" thickBot="1" x14ac:dyDescent="0.5">
      <c r="B80" s="71" t="str">
        <f>IF(E76="電気","［kWh］",IF(E76="都市ガス","［m3］",IF(OR(E76="温水・冷水",E76="産業用蒸気",E76="産業用以外の蒸気"),"［MJ］","［L］")))</f>
        <v>［L］</v>
      </c>
      <c r="C80" s="455"/>
      <c r="D80" s="455"/>
      <c r="E80" s="455"/>
      <c r="F80" s="455"/>
      <c r="G80" s="455"/>
      <c r="H80" s="455"/>
      <c r="I80" s="455"/>
      <c r="J80" s="463"/>
      <c r="K80" s="463"/>
      <c r="L80" s="463"/>
      <c r="M80" s="463"/>
      <c r="N80" s="463"/>
      <c r="O80" s="467"/>
      <c r="P80" s="469"/>
    </row>
    <row r="81" spans="2:20" ht="38.25" customHeight="1" thickTop="1" thickBot="1" x14ac:dyDescent="0.5">
      <c r="B81" s="72" t="s">
        <v>413</v>
      </c>
      <c r="C81" s="164"/>
      <c r="D81" s="164"/>
      <c r="E81" s="164"/>
      <c r="F81" s="164"/>
      <c r="G81" s="164"/>
      <c r="H81" s="164"/>
      <c r="I81" s="164"/>
      <c r="J81" s="165"/>
      <c r="K81" s="165"/>
      <c r="L81" s="165"/>
      <c r="M81" s="165"/>
      <c r="N81" s="165"/>
      <c r="O81" s="75" t="str">
        <f>IF(ISERROR(12*SUM(C81:N81)/COUNT(C81:N81)),"",12*SUM(C81:N81)/COUNT(C81:N81))</f>
        <v/>
      </c>
      <c r="P81" s="112">
        <f>IF(AND(O79="",O81="",P84=0),0,IF(OR(B77="",B77="年度を選択"),1,IF(OR(E76="",E76="エネルギー種別を選択"),2,4)))</f>
        <v>0</v>
      </c>
      <c r="Q81" s="194"/>
    </row>
    <row r="82" spans="2:20" ht="18.75" hidden="1" customHeight="1" x14ac:dyDescent="0.45">
      <c r="B82" s="196" t="s">
        <v>444</v>
      </c>
      <c r="C82" s="195">
        <f>IF(C78="",2,IF(C78&lt;&gt;"",0,1))</f>
        <v>2</v>
      </c>
      <c r="D82" s="195">
        <f t="shared" ref="D82:L82" si="19">IF(D78="",2,IF(D78&lt;&gt;"",0,1))</f>
        <v>2</v>
      </c>
      <c r="E82" s="195">
        <f t="shared" si="19"/>
        <v>2</v>
      </c>
      <c r="F82" s="195">
        <f t="shared" si="19"/>
        <v>2</v>
      </c>
      <c r="G82" s="195">
        <f t="shared" si="19"/>
        <v>2</v>
      </c>
      <c r="H82" s="195">
        <f t="shared" si="19"/>
        <v>2</v>
      </c>
      <c r="I82" s="195">
        <f t="shared" si="19"/>
        <v>2</v>
      </c>
      <c r="J82" s="195">
        <f t="shared" si="19"/>
        <v>2</v>
      </c>
      <c r="K82" s="195">
        <f t="shared" si="19"/>
        <v>2</v>
      </c>
      <c r="L82" s="195">
        <f t="shared" si="19"/>
        <v>2</v>
      </c>
      <c r="M82" s="195">
        <f>IF(M78="",2,IF(M78&lt;&gt;"",0,1))</f>
        <v>2</v>
      </c>
      <c r="N82" s="195">
        <f t="shared" ref="N82" si="20">IF(N78="",2,IF(N78&lt;&gt;"",0,1))</f>
        <v>2</v>
      </c>
      <c r="O82" s="195" t="str">
        <f>IF(R82&gt;1,"入力確認",IF(Q82=Q83,"入力済","未入力"))</f>
        <v>入力済</v>
      </c>
      <c r="P82" s="197">
        <f>P81</f>
        <v>0</v>
      </c>
      <c r="Q82" s="194">
        <f>COUNTIF($C82:$N82,0)</f>
        <v>0</v>
      </c>
      <c r="R82" s="194">
        <f>COUNTIF($C82:$N82,1)</f>
        <v>0</v>
      </c>
      <c r="S82" s="194">
        <f>COUNTIF($C82:$N82,2)</f>
        <v>12</v>
      </c>
      <c r="T82" s="194"/>
    </row>
    <row r="83" spans="2:20" ht="18.75" hidden="1" customHeight="1" x14ac:dyDescent="0.45">
      <c r="B83" s="196" t="s">
        <v>445</v>
      </c>
      <c r="C83" s="195">
        <f>IF(AND(C79="",C81=""),2,IF(AND(C79&lt;&gt;"",C81&lt;&gt;""),0,1))</f>
        <v>2</v>
      </c>
      <c r="D83" s="195">
        <f t="shared" ref="D83:N83" si="21">IF(AND(D79="",D81=""),2,IF(AND(D79&lt;&gt;"",D81&lt;&gt;""),0,1))</f>
        <v>2</v>
      </c>
      <c r="E83" s="195">
        <f t="shared" si="21"/>
        <v>2</v>
      </c>
      <c r="F83" s="195">
        <f t="shared" si="21"/>
        <v>2</v>
      </c>
      <c r="G83" s="195">
        <f t="shared" si="21"/>
        <v>2</v>
      </c>
      <c r="H83" s="195">
        <f t="shared" si="21"/>
        <v>2</v>
      </c>
      <c r="I83" s="195">
        <f t="shared" si="21"/>
        <v>2</v>
      </c>
      <c r="J83" s="195">
        <f t="shared" si="21"/>
        <v>2</v>
      </c>
      <c r="K83" s="195">
        <f t="shared" si="21"/>
        <v>2</v>
      </c>
      <c r="L83" s="195">
        <f t="shared" si="21"/>
        <v>2</v>
      </c>
      <c r="M83" s="195">
        <f t="shared" si="21"/>
        <v>2</v>
      </c>
      <c r="N83" s="195">
        <f t="shared" si="21"/>
        <v>2</v>
      </c>
      <c r="O83" s="195" t="str">
        <f>IF(R83&gt;1,"入力確認",IF(Q83+S83=12,"入力済","未入力"))</f>
        <v>入力済</v>
      </c>
      <c r="P83" s="197"/>
      <c r="Q83" s="194">
        <f>COUNTIF($C83:$N83,0)</f>
        <v>0</v>
      </c>
      <c r="R83" s="194">
        <f>COUNTIF($C83:$N83,1)</f>
        <v>0</v>
      </c>
      <c r="S83" s="194">
        <f>COUNTIF($C83:$N83,2)</f>
        <v>12</v>
      </c>
    </row>
    <row r="84" spans="2:20" ht="18.75" hidden="1" customHeight="1" x14ac:dyDescent="0.45">
      <c r="B84" s="196" t="s">
        <v>446</v>
      </c>
      <c r="C84" s="195">
        <f>IF(AND(C82=2,C83=2),2,IF(C82&lt;&gt;C83,1,IF(AND(C82=0,C83=0),0,4)))</f>
        <v>2</v>
      </c>
      <c r="D84" s="195">
        <f t="shared" ref="D84:N84" si="22">IF(AND(D82=2,D83=2),2,IF(D82&lt;&gt;D83,1,IF(AND(D82=0,D83=0),0,4)))</f>
        <v>2</v>
      </c>
      <c r="E84" s="195">
        <f t="shared" si="22"/>
        <v>2</v>
      </c>
      <c r="F84" s="195">
        <f t="shared" si="22"/>
        <v>2</v>
      </c>
      <c r="G84" s="195">
        <f t="shared" si="22"/>
        <v>2</v>
      </c>
      <c r="H84" s="195">
        <f t="shared" si="22"/>
        <v>2</v>
      </c>
      <c r="I84" s="195">
        <f t="shared" si="22"/>
        <v>2</v>
      </c>
      <c r="J84" s="195">
        <f t="shared" si="22"/>
        <v>2</v>
      </c>
      <c r="K84" s="195">
        <f t="shared" si="22"/>
        <v>2</v>
      </c>
      <c r="L84" s="195">
        <f t="shared" si="22"/>
        <v>2</v>
      </c>
      <c r="M84" s="195">
        <f t="shared" si="22"/>
        <v>2</v>
      </c>
      <c r="N84" s="195">
        <f t="shared" si="22"/>
        <v>2</v>
      </c>
      <c r="O84" s="195" t="str">
        <f>IF(R84&gt;1,"入力確認",IF(Q84+S84=12,"入力済","未入力"))</f>
        <v>入力済</v>
      </c>
      <c r="P84" s="197">
        <f>IF(O84="未入力",1,IF(O84="入力済",0,2))</f>
        <v>0</v>
      </c>
      <c r="Q84" s="194">
        <f>COUNTIF($C84:$N84,0)</f>
        <v>0</v>
      </c>
      <c r="R84" s="194">
        <f>COUNTIF($C84:$N84,1)</f>
        <v>0</v>
      </c>
      <c r="S84" s="194">
        <f>COUNTIF($C84:$N84,2)</f>
        <v>12</v>
      </c>
    </row>
  </sheetData>
  <sheetProtection password="DFA8" sheet="1" objects="1" scenarios="1" selectLockedCells="1" selectUnlockedCells="1"/>
  <mergeCells count="102">
    <mergeCell ref="E18:F18"/>
    <mergeCell ref="G18:N18"/>
    <mergeCell ref="H20:I20"/>
    <mergeCell ref="J20:L20"/>
    <mergeCell ref="C23:C24"/>
    <mergeCell ref="D23:D24"/>
    <mergeCell ref="E23:E24"/>
    <mergeCell ref="F23:F24"/>
    <mergeCell ref="G23:G24"/>
    <mergeCell ref="H23:H24"/>
    <mergeCell ref="O23:O24"/>
    <mergeCell ref="P23:P24"/>
    <mergeCell ref="H32:I32"/>
    <mergeCell ref="J32:L32"/>
    <mergeCell ref="C35:C36"/>
    <mergeCell ref="D35:D36"/>
    <mergeCell ref="E35:E36"/>
    <mergeCell ref="F35:F36"/>
    <mergeCell ref="G35:G36"/>
    <mergeCell ref="H35:H36"/>
    <mergeCell ref="I23:I24"/>
    <mergeCell ref="J23:J24"/>
    <mergeCell ref="K23:K24"/>
    <mergeCell ref="L23:L24"/>
    <mergeCell ref="M23:M24"/>
    <mergeCell ref="N23:N24"/>
    <mergeCell ref="O35:O36"/>
    <mergeCell ref="P35:P36"/>
    <mergeCell ref="M35:M36"/>
    <mergeCell ref="N35:N36"/>
    <mergeCell ref="E43:F43"/>
    <mergeCell ref="H43:I43"/>
    <mergeCell ref="J43:L43"/>
    <mergeCell ref="C46:C47"/>
    <mergeCell ref="D46:D47"/>
    <mergeCell ref="E46:E47"/>
    <mergeCell ref="F46:F47"/>
    <mergeCell ref="G46:G47"/>
    <mergeCell ref="I35:I36"/>
    <mergeCell ref="J35:J36"/>
    <mergeCell ref="K35:K36"/>
    <mergeCell ref="L35:L36"/>
    <mergeCell ref="N46:N47"/>
    <mergeCell ref="O46:O47"/>
    <mergeCell ref="P46:P47"/>
    <mergeCell ref="E54:F54"/>
    <mergeCell ref="H54:I54"/>
    <mergeCell ref="J54:L54"/>
    <mergeCell ref="H46:H47"/>
    <mergeCell ref="I46:I47"/>
    <mergeCell ref="J46:J47"/>
    <mergeCell ref="K46:K47"/>
    <mergeCell ref="L46:L47"/>
    <mergeCell ref="M46:M47"/>
    <mergeCell ref="O57:O58"/>
    <mergeCell ref="P57:P58"/>
    <mergeCell ref="E65:F65"/>
    <mergeCell ref="H65:I65"/>
    <mergeCell ref="J65:L65"/>
    <mergeCell ref="C68:C69"/>
    <mergeCell ref="D68:D69"/>
    <mergeCell ref="E68:E69"/>
    <mergeCell ref="F68:F69"/>
    <mergeCell ref="G68:G69"/>
    <mergeCell ref="I57:I58"/>
    <mergeCell ref="J57:J58"/>
    <mergeCell ref="K57:K58"/>
    <mergeCell ref="L57:L58"/>
    <mergeCell ref="M57:M58"/>
    <mergeCell ref="N57:N58"/>
    <mergeCell ref="C57:C58"/>
    <mergeCell ref="D57:D58"/>
    <mergeCell ref="E57:E58"/>
    <mergeCell ref="F57:F58"/>
    <mergeCell ref="G57:G58"/>
    <mergeCell ref="H57:H58"/>
    <mergeCell ref="N68:N69"/>
    <mergeCell ref="O68:O69"/>
    <mergeCell ref="P68:P69"/>
    <mergeCell ref="E76:F76"/>
    <mergeCell ref="H76:I76"/>
    <mergeCell ref="J76:L76"/>
    <mergeCell ref="H68:H69"/>
    <mergeCell ref="I68:I69"/>
    <mergeCell ref="J68:J69"/>
    <mergeCell ref="K68:K69"/>
    <mergeCell ref="L68:L69"/>
    <mergeCell ref="M68:M69"/>
    <mergeCell ref="O79:O80"/>
    <mergeCell ref="P79:P80"/>
    <mergeCell ref="I79:I80"/>
    <mergeCell ref="J79:J80"/>
    <mergeCell ref="K79:K80"/>
    <mergeCell ref="L79:L80"/>
    <mergeCell ref="M79:M80"/>
    <mergeCell ref="N79:N80"/>
    <mergeCell ref="C79:C80"/>
    <mergeCell ref="D79:D80"/>
    <mergeCell ref="E79:E80"/>
    <mergeCell ref="F79:F80"/>
    <mergeCell ref="G79:G80"/>
    <mergeCell ref="H79:H80"/>
  </mergeCells>
  <phoneticPr fontId="2"/>
  <conditionalFormatting sqref="B21 P23">
    <cfRule type="expression" dxfId="29" priority="17">
      <formula>$P$26=1</formula>
    </cfRule>
  </conditionalFormatting>
  <conditionalFormatting sqref="G18">
    <cfRule type="expression" dxfId="28" priority="24">
      <formula>OR($G$18="エネルギー種別・単位を選択してください。",$G$18="エネルギーの使用年度を選択してください。",$G$18="未入力欄が有ります。確認してください。",$G$18="中小規模事業所の要件を満たしていないため、申請できません。")</formula>
    </cfRule>
  </conditionalFormatting>
  <conditionalFormatting sqref="C21:N21">
    <cfRule type="expression" dxfId="27" priority="23">
      <formula>C28=1</formula>
    </cfRule>
  </conditionalFormatting>
  <conditionalFormatting sqref="C33:N33">
    <cfRule type="expression" dxfId="26" priority="22">
      <formula>C40=1</formula>
    </cfRule>
  </conditionalFormatting>
  <conditionalFormatting sqref="B33 P35">
    <cfRule type="expression" dxfId="25" priority="15">
      <formula>$P$38=1</formula>
    </cfRule>
  </conditionalFormatting>
  <conditionalFormatting sqref="E32 P35">
    <cfRule type="expression" dxfId="24" priority="14">
      <formula>$P$38=2</formula>
    </cfRule>
  </conditionalFormatting>
  <conditionalFormatting sqref="F32 P35">
    <cfRule type="expression" dxfId="23" priority="13">
      <formula>$P$38=3</formula>
    </cfRule>
  </conditionalFormatting>
  <conditionalFormatting sqref="C44:N44">
    <cfRule type="expression" dxfId="22" priority="21">
      <formula>C51=1</formula>
    </cfRule>
  </conditionalFormatting>
  <conditionalFormatting sqref="C55:N55">
    <cfRule type="expression" dxfId="21" priority="20">
      <formula>C62=1</formula>
    </cfRule>
  </conditionalFormatting>
  <conditionalFormatting sqref="C66:N66">
    <cfRule type="expression" dxfId="20" priority="19">
      <formula>C73=1</formula>
    </cfRule>
  </conditionalFormatting>
  <conditionalFormatting sqref="C77:N77">
    <cfRule type="expression" dxfId="19" priority="18">
      <formula>C84=1</formula>
    </cfRule>
  </conditionalFormatting>
  <conditionalFormatting sqref="B44 P46">
    <cfRule type="expression" dxfId="18" priority="12">
      <formula>$P$49=1</formula>
    </cfRule>
  </conditionalFormatting>
  <conditionalFormatting sqref="B55 P57">
    <cfRule type="expression" dxfId="17" priority="10">
      <formula>$P$60=1</formula>
    </cfRule>
  </conditionalFormatting>
  <conditionalFormatting sqref="B66 P68">
    <cfRule type="expression" dxfId="16" priority="8">
      <formula>$P$71=1</formula>
    </cfRule>
  </conditionalFormatting>
  <conditionalFormatting sqref="E43 P46">
    <cfRule type="expression" dxfId="15" priority="11">
      <formula>$P$49=2</formula>
    </cfRule>
  </conditionalFormatting>
  <conditionalFormatting sqref="E54 P57">
    <cfRule type="expression" dxfId="14" priority="9">
      <formula>$P$60=2</formula>
    </cfRule>
  </conditionalFormatting>
  <conditionalFormatting sqref="E65 P68">
    <cfRule type="expression" dxfId="13" priority="7">
      <formula>$P$71=2</formula>
    </cfRule>
  </conditionalFormatting>
  <conditionalFormatting sqref="P23">
    <cfRule type="expression" dxfId="12" priority="16">
      <formula>$P$28=1</formula>
    </cfRule>
  </conditionalFormatting>
  <conditionalFormatting sqref="B77 P79">
    <cfRule type="expression" dxfId="11" priority="6">
      <formula>$P$82=1</formula>
    </cfRule>
  </conditionalFormatting>
  <conditionalFormatting sqref="E76 P79">
    <cfRule type="expression" dxfId="10" priority="5">
      <formula>$P$82=2</formula>
    </cfRule>
  </conditionalFormatting>
  <conditionalFormatting sqref="G18:N18">
    <cfRule type="expression" dxfId="9" priority="4">
      <formula>$G$18="事業所のエネルギー使用について入力してください。"</formula>
    </cfRule>
  </conditionalFormatting>
  <conditionalFormatting sqref="J32 J54 J65 J76">
    <cfRule type="expression" dxfId="8" priority="3">
      <formula>J32=""</formula>
    </cfRule>
  </conditionalFormatting>
  <conditionalFormatting sqref="J43">
    <cfRule type="expression" dxfId="7" priority="2">
      <formula>J43=""</formula>
    </cfRule>
  </conditionalFormatting>
  <conditionalFormatting sqref="J20">
    <cfRule type="expression" dxfId="6" priority="1">
      <formula>J20=""</formula>
    </cfRule>
  </conditionalFormatting>
  <dataValidations disablePrompts="1" count="4">
    <dataValidation type="list" allowBlank="1" showInputMessage="1" showErrorMessage="1" sqref="F32">
      <formula1>INDIRECT($E$32)</formula1>
    </dataValidation>
    <dataValidation allowBlank="1" sqref="C12:C13"/>
    <dataValidation type="list" allowBlank="1" showInputMessage="1" sqref="B77 B21 B33 B44 B55 B66">
      <formula1>"年度を選択,2021年度,2022年度"</formula1>
    </dataValidation>
    <dataValidation allowBlank="1" showInputMessage="1" sqref="B22 B56 B67 B34 B45 B78"/>
  </dataValidations>
  <printOptions horizontalCentered="1"/>
  <pageMargins left="0.6692913385826772" right="0.31496062992125984" top="0.56000000000000005" bottom="0.37" header="0.24" footer="0.15748031496062992"/>
  <pageSetup paperSize="9" scale="61" fitToHeight="0" orientation="landscape" r:id="rId1"/>
  <headerFooter>
    <oddHeader>&amp;C&amp;20換気量・省エネ計算シート</oddHeader>
    <oddFooter>&amp;C&amp;P</oddFooter>
  </headerFooter>
  <rowBreaks count="1" manualBreakCount="1">
    <brk id="63" max="16"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計算!$Q$3:$Q$12</xm:f>
          </x14:formula1>
          <xm:sqref>E43:F43 E76:F76 E65:F65 E54:F54</xm:sqref>
        </x14:dataValidation>
        <x14:dataValidation type="list" allowBlank="1" showInputMessage="1" showErrorMessage="1">
          <x14:formula1>
            <xm:f>計算!$N$3:$N$5</xm:f>
          </x14:formula1>
          <xm:sqref>E32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pageSetUpPr fitToPage="1"/>
  </sheetPr>
  <dimension ref="B2:L41"/>
  <sheetViews>
    <sheetView zoomScale="80" zoomScaleNormal="80" zoomScaleSheetLayoutView="90" workbookViewId="0">
      <selection activeCell="D44" sqref="D44"/>
    </sheetView>
  </sheetViews>
  <sheetFormatPr defaultColWidth="8.796875" defaultRowHeight="18.75" x14ac:dyDescent="0.45"/>
  <cols>
    <col min="1" max="1" width="2.296875" style="64" customWidth="1"/>
    <col min="2" max="3" width="5.8984375" style="64" customWidth="1"/>
    <col min="4" max="4" width="4.796875" style="64" customWidth="1"/>
    <col min="5" max="5" width="12.59765625" style="64" customWidth="1"/>
    <col min="6" max="10" width="9.19921875" style="64" customWidth="1"/>
    <col min="11" max="11" width="2.296875" style="64" customWidth="1"/>
    <col min="12" max="12" width="10.3984375" style="64" customWidth="1"/>
    <col min="13" max="15" width="8.5" style="64" customWidth="1"/>
    <col min="16" max="16" width="9.5" style="64" customWidth="1"/>
    <col min="17" max="17" width="8.5" style="64" customWidth="1"/>
    <col min="18" max="18" width="8.796875" style="64"/>
    <col min="19" max="19" width="17.19921875" style="64" customWidth="1"/>
    <col min="20" max="20" width="8.19921875" style="64" customWidth="1"/>
    <col min="21" max="21" width="10.5" style="64" customWidth="1"/>
    <col min="22" max="22" width="10.296875" style="64" bestFit="1" customWidth="1"/>
    <col min="23" max="24" width="8.796875" style="64"/>
    <col min="25" max="25" width="9.59765625" style="64" bestFit="1" customWidth="1"/>
    <col min="26" max="26" width="8.5" style="64" customWidth="1"/>
    <col min="27" max="27" width="9.296875" style="64" customWidth="1"/>
    <col min="28" max="28" width="9.296875" style="64" bestFit="1" customWidth="1"/>
    <col min="29" max="16384" width="8.796875" style="64"/>
  </cols>
  <sheetData>
    <row r="2" spans="2:12" s="23" customFormat="1" ht="19.5" x14ac:dyDescent="0.45">
      <c r="B2" s="53" t="s">
        <v>166</v>
      </c>
      <c r="C2" s="53"/>
    </row>
    <row r="3" spans="2:12" ht="19.5" x14ac:dyDescent="0.45">
      <c r="B3" s="161" t="s">
        <v>465</v>
      </c>
      <c r="K3" s="23"/>
    </row>
    <row r="4" spans="2:12" s="23" customFormat="1" ht="19.5" x14ac:dyDescent="0.45">
      <c r="B4" s="161" t="s">
        <v>468</v>
      </c>
      <c r="C4" s="53"/>
    </row>
    <row r="5" spans="2:12" ht="19.5" x14ac:dyDescent="0.45">
      <c r="B5" s="161" t="s">
        <v>466</v>
      </c>
      <c r="C5" s="63"/>
      <c r="L5" s="23"/>
    </row>
    <row r="6" spans="2:12" ht="19.5" x14ac:dyDescent="0.45">
      <c r="B6" s="161" t="s">
        <v>467</v>
      </c>
      <c r="C6" s="63"/>
      <c r="L6" s="23"/>
    </row>
    <row r="7" spans="2:12" ht="19.5" x14ac:dyDescent="0.45">
      <c r="B7" s="63"/>
      <c r="C7" s="63"/>
      <c r="L7" s="23"/>
    </row>
    <row r="8" spans="2:12" s="23" customFormat="1" ht="19.5" x14ac:dyDescent="0.45">
      <c r="B8" s="499" t="s">
        <v>167</v>
      </c>
      <c r="C8" s="500"/>
      <c r="D8" s="25"/>
      <c r="E8" s="51" t="s">
        <v>633</v>
      </c>
    </row>
    <row r="9" spans="2:12" s="23" customFormat="1" ht="19.5" x14ac:dyDescent="0.45">
      <c r="D9" s="26"/>
      <c r="E9" s="56" t="s">
        <v>635</v>
      </c>
      <c r="K9" s="42"/>
    </row>
    <row r="10" spans="2:12" s="23" customFormat="1" ht="19.5" x14ac:dyDescent="0.45">
      <c r="D10" s="27"/>
      <c r="E10" s="52" t="s">
        <v>634</v>
      </c>
    </row>
    <row r="11" spans="2:12" s="23" customFormat="1" ht="19.5" x14ac:dyDescent="0.45">
      <c r="E11" s="52"/>
    </row>
    <row r="12" spans="2:12" s="23" customFormat="1" ht="19.5" x14ac:dyDescent="0.45">
      <c r="B12" s="23" t="str">
        <f>'1.換気～比較表（適合）'!B19</f>
        <v>R4_Ver8.2</v>
      </c>
      <c r="E12" s="52"/>
    </row>
    <row r="13" spans="2:12" s="23" customFormat="1" ht="19.5" customHeight="1" x14ac:dyDescent="0.45">
      <c r="B13" s="24"/>
      <c r="C13" s="24"/>
      <c r="D13" s="24"/>
      <c r="K13" s="125"/>
    </row>
    <row r="14" spans="2:12" ht="43.5" customHeight="1" x14ac:dyDescent="0.45">
      <c r="B14" s="65" t="s">
        <v>242</v>
      </c>
      <c r="C14" s="65"/>
      <c r="G14" s="452" t="s">
        <v>196</v>
      </c>
      <c r="H14" s="452"/>
      <c r="I14" s="489" t="str">
        <f>IF(OR(I16="",I16="サーバーの設置を確認"),"確認事項を選択",IF(I16="はい",IF(I29=1,"未入力",IF(F34&lt;1500,"該当","非該当")),IF(OR(F24&lt;=0,F24=""),"未入力",IF(F24&lt;1500,"該当","非該当"))))</f>
        <v>該当</v>
      </c>
      <c r="J14" s="489"/>
      <c r="L14" s="23"/>
    </row>
    <row r="15" spans="2:12" ht="19.5" customHeight="1" x14ac:dyDescent="0.45"/>
    <row r="16" spans="2:12" ht="34.5" customHeight="1" x14ac:dyDescent="0.45">
      <c r="C16" s="496" t="s">
        <v>260</v>
      </c>
      <c r="D16" s="496"/>
      <c r="E16" s="496"/>
      <c r="F16" s="496"/>
      <c r="G16" s="496"/>
      <c r="H16" s="497"/>
      <c r="I16" s="490" t="s">
        <v>626</v>
      </c>
      <c r="J16" s="491"/>
    </row>
    <row r="17" spans="3:11" ht="33" customHeight="1" x14ac:dyDescent="0.45">
      <c r="D17" s="114"/>
      <c r="E17" s="498" t="s">
        <v>471</v>
      </c>
      <c r="F17" s="498"/>
      <c r="G17" s="498"/>
      <c r="H17" s="498"/>
      <c r="I17" s="113"/>
      <c r="J17" s="113"/>
      <c r="K17" s="113"/>
    </row>
    <row r="18" spans="3:11" ht="19.5" customHeight="1" x14ac:dyDescent="0.45">
      <c r="C18" s="107"/>
      <c r="D18" s="23"/>
      <c r="E18" s="99"/>
    </row>
    <row r="19" spans="3:11" x14ac:dyDescent="0.45">
      <c r="C19" s="64" t="s">
        <v>469</v>
      </c>
    </row>
    <row r="20" spans="3:11" ht="40.5" customHeight="1" x14ac:dyDescent="0.45">
      <c r="C20" s="492" t="s">
        <v>223</v>
      </c>
      <c r="D20" s="492"/>
      <c r="E20" s="492"/>
      <c r="F20" s="502" t="s">
        <v>227</v>
      </c>
      <c r="G20" s="502"/>
      <c r="H20" s="106"/>
    </row>
    <row r="21" spans="3:11" ht="40.5" customHeight="1" x14ac:dyDescent="0.45">
      <c r="C21" s="492" t="s">
        <v>224</v>
      </c>
      <c r="D21" s="492"/>
      <c r="E21" s="492"/>
      <c r="F21" s="495">
        <v>2560</v>
      </c>
      <c r="G21" s="495"/>
      <c r="H21" s="106" t="s">
        <v>225</v>
      </c>
    </row>
    <row r="22" spans="3:11" ht="40.5" customHeight="1" x14ac:dyDescent="0.45">
      <c r="C22" s="494" t="s">
        <v>239</v>
      </c>
      <c r="D22" s="492"/>
      <c r="E22" s="492"/>
      <c r="F22" s="495">
        <f>10*300</f>
        <v>3000</v>
      </c>
      <c r="G22" s="495"/>
      <c r="H22" s="106" t="s">
        <v>235</v>
      </c>
    </row>
    <row r="23" spans="3:11" ht="40.5" customHeight="1" x14ac:dyDescent="0.45">
      <c r="C23" s="492" t="s">
        <v>243</v>
      </c>
      <c r="D23" s="492"/>
      <c r="E23" s="492"/>
      <c r="F23" s="493">
        <f>IF(F21="","",IF(ISERROR(F21*F22*VLOOKUP($F$20,計算!$AB$4:$AC$8,2,FALSE)/1000),"事業所等の区分を選択",(F21*F22*VLOOKUP($F$20,計算!$AB$4:$AC$8,2,FALSE)/1000)))</f>
        <v>6912</v>
      </c>
      <c r="G23" s="493"/>
      <c r="H23" s="106" t="s">
        <v>236</v>
      </c>
    </row>
    <row r="24" spans="3:11" ht="40.5" customHeight="1" x14ac:dyDescent="0.45">
      <c r="C24" s="492" t="s">
        <v>231</v>
      </c>
      <c r="D24" s="492"/>
      <c r="E24" s="492"/>
      <c r="F24" s="493">
        <f>IF(I16="はい","",IF(ISERROR(F23*計算!$C$7),"",F23*計算!$C$7))</f>
        <v>178.3296</v>
      </c>
      <c r="G24" s="493"/>
      <c r="H24" s="106" t="s">
        <v>237</v>
      </c>
    </row>
    <row r="27" spans="3:11" x14ac:dyDescent="0.45">
      <c r="C27" s="64" t="s">
        <v>470</v>
      </c>
    </row>
    <row r="28" spans="3:11" ht="40.5" customHeight="1" x14ac:dyDescent="0.45">
      <c r="C28" s="492" t="s">
        <v>223</v>
      </c>
      <c r="D28" s="492"/>
      <c r="E28" s="492"/>
      <c r="F28" s="501" t="s">
        <v>261</v>
      </c>
      <c r="G28" s="501"/>
      <c r="H28" s="106"/>
    </row>
    <row r="29" spans="3:11" ht="40.5" customHeight="1" x14ac:dyDescent="0.45">
      <c r="C29" s="492" t="s">
        <v>233</v>
      </c>
      <c r="D29" s="492"/>
      <c r="E29" s="492"/>
      <c r="F29" s="495"/>
      <c r="G29" s="495"/>
      <c r="H29" s="106" t="s">
        <v>225</v>
      </c>
      <c r="I29" s="115">
        <f>IF(OR(F29="",F30="",F31="",F32="",F29&lt;=0,F30&lt;=0,F31&lt;=0,F32&lt;=0),1,0)</f>
        <v>1</v>
      </c>
    </row>
    <row r="30" spans="3:11" ht="40.5" customHeight="1" x14ac:dyDescent="0.45">
      <c r="C30" s="494" t="s">
        <v>238</v>
      </c>
      <c r="D30" s="492"/>
      <c r="E30" s="492"/>
      <c r="F30" s="495"/>
      <c r="G30" s="495"/>
      <c r="H30" s="106" t="s">
        <v>235</v>
      </c>
    </row>
    <row r="31" spans="3:11" ht="40.5" customHeight="1" x14ac:dyDescent="0.45">
      <c r="C31" s="494" t="s">
        <v>234</v>
      </c>
      <c r="D31" s="492"/>
      <c r="E31" s="492"/>
      <c r="F31" s="495"/>
      <c r="G31" s="495"/>
      <c r="H31" s="106" t="s">
        <v>225</v>
      </c>
    </row>
    <row r="32" spans="3:11" ht="40.5" customHeight="1" x14ac:dyDescent="0.45">
      <c r="C32" s="494" t="s">
        <v>240</v>
      </c>
      <c r="D32" s="492"/>
      <c r="E32" s="492"/>
      <c r="F32" s="495"/>
      <c r="G32" s="495"/>
      <c r="H32" s="106" t="s">
        <v>235</v>
      </c>
    </row>
    <row r="33" spans="3:8" ht="40.5" customHeight="1" x14ac:dyDescent="0.45">
      <c r="C33" s="492" t="s">
        <v>243</v>
      </c>
      <c r="D33" s="492"/>
      <c r="E33" s="492"/>
      <c r="F33" s="493" t="str">
        <f>IF(F29="","",IF(ISERROR(((F29-F31)*F30*VLOOKUP(F28,計算!$AB$4:$AC$8,2,FALSE)+(F31*F32*1.4))/1000),"",((F29-F31)*F30*VLOOKUP(F28,計算!$AB$4:$AC$8,2,FALSE)+(F31*F32*1.4))/1000))</f>
        <v/>
      </c>
      <c r="G33" s="493"/>
      <c r="H33" s="106" t="s">
        <v>236</v>
      </c>
    </row>
    <row r="34" spans="3:8" ht="40.5" customHeight="1" x14ac:dyDescent="0.45">
      <c r="C34" s="492" t="s">
        <v>231</v>
      </c>
      <c r="D34" s="492"/>
      <c r="E34" s="492"/>
      <c r="F34" s="493" t="str">
        <f>IF(I16="いいえ","",IF(ISERROR(F33*計算!$C$7),"",F33*計算!$C$7))</f>
        <v/>
      </c>
      <c r="G34" s="493"/>
      <c r="H34" s="106" t="s">
        <v>237</v>
      </c>
    </row>
    <row r="36" spans="3:8" x14ac:dyDescent="0.45">
      <c r="C36" s="66" t="s">
        <v>232</v>
      </c>
    </row>
    <row r="37" spans="3:8" x14ac:dyDescent="0.45">
      <c r="C37" s="100" t="s">
        <v>215</v>
      </c>
      <c r="D37" s="64" t="s">
        <v>219</v>
      </c>
    </row>
    <row r="38" spans="3:8" ht="20.25" x14ac:dyDescent="0.45">
      <c r="C38" s="100" t="s">
        <v>216</v>
      </c>
      <c r="D38" s="64" t="s">
        <v>220</v>
      </c>
    </row>
    <row r="39" spans="3:8" ht="20.25" x14ac:dyDescent="0.45">
      <c r="C39" s="100" t="s">
        <v>217</v>
      </c>
      <c r="D39" s="64" t="s">
        <v>221</v>
      </c>
    </row>
    <row r="40" spans="3:8" x14ac:dyDescent="0.45">
      <c r="C40" s="100" t="s">
        <v>218</v>
      </c>
      <c r="D40" s="64" t="s">
        <v>222</v>
      </c>
    </row>
    <row r="41" spans="3:8" x14ac:dyDescent="0.45">
      <c r="C41" s="100" t="s">
        <v>638</v>
      </c>
      <c r="D41" s="64" t="s">
        <v>639</v>
      </c>
    </row>
  </sheetData>
  <sheetProtection password="DFA8" sheet="1" objects="1" scenarios="1" selectLockedCells="1" selectUnlockedCells="1"/>
  <mergeCells count="30">
    <mergeCell ref="B8:C8"/>
    <mergeCell ref="C28:E28"/>
    <mergeCell ref="F28:G28"/>
    <mergeCell ref="C29:E29"/>
    <mergeCell ref="F29:G29"/>
    <mergeCell ref="G14:H14"/>
    <mergeCell ref="C21:E21"/>
    <mergeCell ref="C20:E20"/>
    <mergeCell ref="C22:E22"/>
    <mergeCell ref="C23:E23"/>
    <mergeCell ref="F20:G20"/>
    <mergeCell ref="F21:G21"/>
    <mergeCell ref="F22:G22"/>
    <mergeCell ref="F23:G23"/>
    <mergeCell ref="C24:E24"/>
    <mergeCell ref="F24:G24"/>
    <mergeCell ref="I14:J14"/>
    <mergeCell ref="I16:J16"/>
    <mergeCell ref="C33:E33"/>
    <mergeCell ref="F33:G33"/>
    <mergeCell ref="C34:E34"/>
    <mergeCell ref="F34:G34"/>
    <mergeCell ref="C31:E31"/>
    <mergeCell ref="F31:G31"/>
    <mergeCell ref="C32:E32"/>
    <mergeCell ref="F32:G32"/>
    <mergeCell ref="C30:E30"/>
    <mergeCell ref="F30:G30"/>
    <mergeCell ref="C16:H16"/>
    <mergeCell ref="E17:H17"/>
  </mergeCells>
  <phoneticPr fontId="2"/>
  <conditionalFormatting sqref="I14:J14">
    <cfRule type="expression" dxfId="5" priority="3">
      <formula>I14="未入力"</formula>
    </cfRule>
  </conditionalFormatting>
  <conditionalFormatting sqref="F20:G24">
    <cfRule type="expression" dxfId="4" priority="2">
      <formula>$I$16="はい"</formula>
    </cfRule>
  </conditionalFormatting>
  <conditionalFormatting sqref="F28:G34">
    <cfRule type="expression" dxfId="3" priority="1">
      <formula>$I$16="いいえ"</formula>
    </cfRule>
  </conditionalFormatting>
  <dataValidations xWindow="525" yWindow="361" count="3">
    <dataValidation allowBlank="1" sqref="D8:D9"/>
    <dataValidation allowBlank="1" showInputMessage="1" showErrorMessage="1" prompt="事務所内にサーバーを設置している区画がある場合" sqref="F28:G28"/>
    <dataValidation type="list" allowBlank="1" showInputMessage="1" showErrorMessage="1" sqref="I16:J16">
      <formula1>"サーバーの設置を確認,はい,いいえ"</formula1>
    </dataValidation>
  </dataValidations>
  <pageMargins left="0.6692913385826772" right="0.31496062992125984" top="0.82677165354330717" bottom="0.15748031496062992" header="0.39370078740157483" footer="0.15748031496062992"/>
  <pageSetup paperSize="9" scale="87" fitToHeight="0" orientation="portrait" r:id="rId1"/>
  <headerFooter>
    <oddHeader>&amp;C&amp;20換気量・省エネ計算シート</oddHeader>
  </headerFooter>
  <drawing r:id="rId2"/>
  <legacyDrawing r:id="rId3"/>
  <extLst>
    <ext xmlns:x14="http://schemas.microsoft.com/office/spreadsheetml/2009/9/main" uri="{CCE6A557-97BC-4b89-ADB6-D9C93CAAB3DF}">
      <x14:dataValidations xmlns:xm="http://schemas.microsoft.com/office/excel/2006/main" xWindow="525" yWindow="361" count="1">
        <x14:dataValidation type="list" allowBlank="1" showInputMessage="1" showErrorMessage="1" prompt="事務所等の区分を選択してください。">
          <x14:formula1>
            <xm:f>計算!$AB$3:$AB$8</xm:f>
          </x14:formula1>
          <xm:sqref>F20:G20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2:L41"/>
  <sheetViews>
    <sheetView zoomScale="80" zoomScaleNormal="80" zoomScaleSheetLayoutView="90" workbookViewId="0">
      <selection activeCell="N14" sqref="N14"/>
    </sheetView>
  </sheetViews>
  <sheetFormatPr defaultColWidth="8.796875" defaultRowHeight="18.75" x14ac:dyDescent="0.45"/>
  <cols>
    <col min="1" max="1" width="2.296875" style="64" customWidth="1"/>
    <col min="2" max="3" width="5.8984375" style="64" customWidth="1"/>
    <col min="4" max="4" width="4.796875" style="64" customWidth="1"/>
    <col min="5" max="5" width="12.59765625" style="64" customWidth="1"/>
    <col min="6" max="10" width="9.19921875" style="64" customWidth="1"/>
    <col min="11" max="11" width="2.296875" style="64" customWidth="1"/>
    <col min="12" max="12" width="10.3984375" style="64" customWidth="1"/>
    <col min="13" max="15" width="8.5" style="64" customWidth="1"/>
    <col min="16" max="16" width="9.5" style="64" customWidth="1"/>
    <col min="17" max="17" width="8.5" style="64" customWidth="1"/>
    <col min="18" max="18" width="8.796875" style="64"/>
    <col min="19" max="19" width="17.19921875" style="64" customWidth="1"/>
    <col min="20" max="20" width="8.19921875" style="64" customWidth="1"/>
    <col min="21" max="21" width="10.5" style="64" customWidth="1"/>
    <col min="22" max="22" width="10.296875" style="64" bestFit="1" customWidth="1"/>
    <col min="23" max="24" width="8.796875" style="64"/>
    <col min="25" max="25" width="9.59765625" style="64" bestFit="1" customWidth="1"/>
    <col min="26" max="26" width="8.5" style="64" customWidth="1"/>
    <col min="27" max="27" width="9.296875" style="64" customWidth="1"/>
    <col min="28" max="28" width="9.296875" style="64" bestFit="1" customWidth="1"/>
    <col min="29" max="16384" width="8.796875" style="64"/>
  </cols>
  <sheetData>
    <row r="2" spans="2:12" s="23" customFormat="1" ht="19.5" x14ac:dyDescent="0.45">
      <c r="B2" s="53" t="s">
        <v>166</v>
      </c>
      <c r="C2" s="53"/>
    </row>
    <row r="3" spans="2:12" ht="19.5" x14ac:dyDescent="0.45">
      <c r="B3" s="161" t="s">
        <v>465</v>
      </c>
      <c r="K3" s="23"/>
    </row>
    <row r="4" spans="2:12" s="23" customFormat="1" ht="19.5" x14ac:dyDescent="0.45">
      <c r="B4" s="161" t="s">
        <v>468</v>
      </c>
      <c r="C4" s="53"/>
    </row>
    <row r="5" spans="2:12" ht="19.5" x14ac:dyDescent="0.45">
      <c r="B5" s="161" t="s">
        <v>466</v>
      </c>
      <c r="C5" s="63"/>
      <c r="L5" s="23"/>
    </row>
    <row r="6" spans="2:12" ht="19.5" x14ac:dyDescent="0.45">
      <c r="B6" s="161" t="s">
        <v>467</v>
      </c>
      <c r="C6" s="63"/>
      <c r="L6" s="23"/>
    </row>
    <row r="7" spans="2:12" ht="19.5" x14ac:dyDescent="0.45">
      <c r="B7" s="63"/>
      <c r="C7" s="63"/>
      <c r="L7" s="23"/>
    </row>
    <row r="8" spans="2:12" s="23" customFormat="1" ht="19.5" x14ac:dyDescent="0.45">
      <c r="B8" s="499" t="s">
        <v>167</v>
      </c>
      <c r="C8" s="500"/>
      <c r="D8" s="25"/>
      <c r="E8" s="51" t="s">
        <v>633</v>
      </c>
    </row>
    <row r="9" spans="2:12" s="23" customFormat="1" ht="19.5" x14ac:dyDescent="0.45">
      <c r="D9" s="26"/>
      <c r="E9" s="56" t="s">
        <v>635</v>
      </c>
      <c r="K9" s="42"/>
    </row>
    <row r="10" spans="2:12" s="23" customFormat="1" ht="19.5" x14ac:dyDescent="0.45">
      <c r="D10" s="27"/>
      <c r="E10" s="52" t="s">
        <v>634</v>
      </c>
    </row>
    <row r="11" spans="2:12" s="23" customFormat="1" ht="19.5" x14ac:dyDescent="0.45">
      <c r="E11" s="52"/>
    </row>
    <row r="12" spans="2:12" s="23" customFormat="1" ht="19.5" x14ac:dyDescent="0.45">
      <c r="B12" s="23" t="str">
        <f>'1.換気～比較表（適合）'!B19</f>
        <v>R4_Ver8.2</v>
      </c>
      <c r="E12" s="52"/>
    </row>
    <row r="13" spans="2:12" s="23" customFormat="1" ht="19.5" customHeight="1" x14ac:dyDescent="0.45">
      <c r="B13" s="24"/>
      <c r="C13" s="24"/>
      <c r="D13" s="24"/>
      <c r="K13" s="125"/>
    </row>
    <row r="14" spans="2:12" ht="43.5" customHeight="1" x14ac:dyDescent="0.45">
      <c r="B14" s="65" t="s">
        <v>242</v>
      </c>
      <c r="C14" s="65"/>
      <c r="G14" s="452" t="s">
        <v>196</v>
      </c>
      <c r="H14" s="452"/>
      <c r="I14" s="489" t="str">
        <f>IF(OR(I16="",I16="サーバーの設置を確認"),"確認事項を選択",IF(I16="はい",IF(I29=1,"未入力",IF(F34&lt;1500,"該当","非該当")),IF(OR(F24&lt;=0,F24=""),"未入力",IF(F24&lt;1500,"該当","非該当"))))</f>
        <v>該当</v>
      </c>
      <c r="J14" s="489"/>
      <c r="L14" s="23"/>
    </row>
    <row r="15" spans="2:12" ht="19.5" customHeight="1" x14ac:dyDescent="0.45"/>
    <row r="16" spans="2:12" ht="34.5" customHeight="1" x14ac:dyDescent="0.45">
      <c r="C16" s="496" t="s">
        <v>260</v>
      </c>
      <c r="D16" s="496"/>
      <c r="E16" s="496"/>
      <c r="F16" s="496"/>
      <c r="G16" s="496"/>
      <c r="H16" s="497"/>
      <c r="I16" s="490" t="s">
        <v>534</v>
      </c>
      <c r="J16" s="491"/>
    </row>
    <row r="17" spans="3:11" ht="33" customHeight="1" x14ac:dyDescent="0.45">
      <c r="D17" s="114"/>
      <c r="E17" s="498" t="s">
        <v>471</v>
      </c>
      <c r="F17" s="498"/>
      <c r="G17" s="498"/>
      <c r="H17" s="498"/>
      <c r="I17" s="240"/>
      <c r="J17" s="240"/>
      <c r="K17" s="240"/>
    </row>
    <row r="18" spans="3:11" ht="19.5" customHeight="1" x14ac:dyDescent="0.45">
      <c r="C18" s="107"/>
      <c r="D18" s="23"/>
      <c r="E18" s="99"/>
    </row>
    <row r="19" spans="3:11" x14ac:dyDescent="0.45">
      <c r="C19" s="64" t="s">
        <v>469</v>
      </c>
    </row>
    <row r="20" spans="3:11" ht="40.5" customHeight="1" x14ac:dyDescent="0.45">
      <c r="C20" s="492" t="s">
        <v>223</v>
      </c>
      <c r="D20" s="492"/>
      <c r="E20" s="492"/>
      <c r="F20" s="502" t="s">
        <v>227</v>
      </c>
      <c r="G20" s="502"/>
      <c r="H20" s="106"/>
    </row>
    <row r="21" spans="3:11" ht="40.5" customHeight="1" x14ac:dyDescent="0.45">
      <c r="C21" s="492" t="s">
        <v>224</v>
      </c>
      <c r="D21" s="492"/>
      <c r="E21" s="492"/>
      <c r="F21" s="495">
        <v>2560</v>
      </c>
      <c r="G21" s="495"/>
      <c r="H21" s="106" t="s">
        <v>225</v>
      </c>
    </row>
    <row r="22" spans="3:11" ht="40.5" customHeight="1" x14ac:dyDescent="0.45">
      <c r="C22" s="494" t="s">
        <v>239</v>
      </c>
      <c r="D22" s="492"/>
      <c r="E22" s="492"/>
      <c r="F22" s="495">
        <f>10*300</f>
        <v>3000</v>
      </c>
      <c r="G22" s="495"/>
      <c r="H22" s="106" t="s">
        <v>235</v>
      </c>
    </row>
    <row r="23" spans="3:11" ht="40.5" customHeight="1" x14ac:dyDescent="0.45">
      <c r="C23" s="492" t="s">
        <v>243</v>
      </c>
      <c r="D23" s="492"/>
      <c r="E23" s="492"/>
      <c r="F23" s="493">
        <f>IF(F21="","",IF(ISERROR(F21*F22*VLOOKUP($F$20,計算!$AB$4:$AC$8,2,FALSE)/1000),"事業所等の区分を選択",(F21*F22*VLOOKUP($F$20,計算!$AB$4:$AC$8,2,FALSE)/1000)))</f>
        <v>6912</v>
      </c>
      <c r="G23" s="493"/>
      <c r="H23" s="106" t="s">
        <v>236</v>
      </c>
    </row>
    <row r="24" spans="3:11" ht="40.5" customHeight="1" x14ac:dyDescent="0.45">
      <c r="C24" s="492" t="s">
        <v>231</v>
      </c>
      <c r="D24" s="492"/>
      <c r="E24" s="492"/>
      <c r="F24" s="493" t="str">
        <f>IF(I16="はい","",IF(ISERROR(F23*計算!$C$7),"",F23*計算!$C$7))</f>
        <v/>
      </c>
      <c r="G24" s="493"/>
      <c r="H24" s="106" t="s">
        <v>237</v>
      </c>
    </row>
    <row r="27" spans="3:11" x14ac:dyDescent="0.45">
      <c r="C27" s="64" t="s">
        <v>470</v>
      </c>
    </row>
    <row r="28" spans="3:11" ht="40.5" customHeight="1" x14ac:dyDescent="0.45">
      <c r="C28" s="492" t="s">
        <v>223</v>
      </c>
      <c r="D28" s="492"/>
      <c r="E28" s="492"/>
      <c r="F28" s="501" t="s">
        <v>261</v>
      </c>
      <c r="G28" s="501"/>
      <c r="H28" s="106"/>
    </row>
    <row r="29" spans="3:11" ht="40.5" customHeight="1" x14ac:dyDescent="0.45">
      <c r="C29" s="492" t="s">
        <v>233</v>
      </c>
      <c r="D29" s="492"/>
      <c r="E29" s="492"/>
      <c r="F29" s="495">
        <v>2600</v>
      </c>
      <c r="G29" s="495"/>
      <c r="H29" s="106" t="s">
        <v>225</v>
      </c>
      <c r="I29" s="115">
        <f>IF(OR(F29="",F30="",F31="",F32="",F29&lt;=0,F30&lt;=0,F31&lt;=0,F32&lt;=0),1,0)</f>
        <v>0</v>
      </c>
    </row>
    <row r="30" spans="3:11" ht="40.5" customHeight="1" x14ac:dyDescent="0.45">
      <c r="C30" s="494" t="s">
        <v>238</v>
      </c>
      <c r="D30" s="492"/>
      <c r="E30" s="492"/>
      <c r="F30" s="495">
        <v>3000</v>
      </c>
      <c r="G30" s="495"/>
      <c r="H30" s="106" t="s">
        <v>235</v>
      </c>
    </row>
    <row r="31" spans="3:11" ht="40.5" customHeight="1" x14ac:dyDescent="0.45">
      <c r="C31" s="494" t="s">
        <v>234</v>
      </c>
      <c r="D31" s="492"/>
      <c r="E31" s="492"/>
      <c r="F31" s="495">
        <v>120</v>
      </c>
      <c r="G31" s="495"/>
      <c r="H31" s="106" t="s">
        <v>225</v>
      </c>
    </row>
    <row r="32" spans="3:11" ht="40.5" customHeight="1" x14ac:dyDescent="0.45">
      <c r="C32" s="494" t="s">
        <v>240</v>
      </c>
      <c r="D32" s="492"/>
      <c r="E32" s="492"/>
      <c r="F32" s="495">
        <v>3000</v>
      </c>
      <c r="G32" s="495"/>
      <c r="H32" s="106" t="s">
        <v>235</v>
      </c>
    </row>
    <row r="33" spans="3:8" ht="40.5" customHeight="1" x14ac:dyDescent="0.45">
      <c r="C33" s="492" t="s">
        <v>243</v>
      </c>
      <c r="D33" s="492"/>
      <c r="E33" s="492"/>
      <c r="F33" s="493">
        <f>IF(F29="","",IF(ISERROR(((F29-F31)*F30*VLOOKUP(F28,計算!$AB$4:$AC$8,2,FALSE)+(F31*F32*1.4))/1000),"",((F29-F31)*F30*VLOOKUP(F28,計算!$AB$4:$AC$8,2,FALSE)+(F31*F32*1.4))/1000))</f>
        <v>7200</v>
      </c>
      <c r="G33" s="493"/>
      <c r="H33" s="106" t="s">
        <v>236</v>
      </c>
    </row>
    <row r="34" spans="3:8" ht="40.5" customHeight="1" x14ac:dyDescent="0.45">
      <c r="C34" s="492" t="s">
        <v>231</v>
      </c>
      <c r="D34" s="492"/>
      <c r="E34" s="492"/>
      <c r="F34" s="493">
        <f>IF(I16="いいえ","",IF(ISERROR(F33*計算!$C$7),"",F33*計算!$C$7))</f>
        <v>185.76</v>
      </c>
      <c r="G34" s="493"/>
      <c r="H34" s="106" t="s">
        <v>237</v>
      </c>
    </row>
    <row r="36" spans="3:8" x14ac:dyDescent="0.45">
      <c r="C36" s="66" t="s">
        <v>232</v>
      </c>
    </row>
    <row r="37" spans="3:8" x14ac:dyDescent="0.45">
      <c r="C37" s="100" t="s">
        <v>215</v>
      </c>
      <c r="D37" s="64" t="s">
        <v>219</v>
      </c>
    </row>
    <row r="38" spans="3:8" ht="20.25" x14ac:dyDescent="0.45">
      <c r="C38" s="100" t="s">
        <v>216</v>
      </c>
      <c r="D38" s="64" t="s">
        <v>220</v>
      </c>
    </row>
    <row r="39" spans="3:8" ht="20.25" x14ac:dyDescent="0.45">
      <c r="C39" s="100" t="s">
        <v>217</v>
      </c>
      <c r="D39" s="64" t="s">
        <v>221</v>
      </c>
    </row>
    <row r="40" spans="3:8" x14ac:dyDescent="0.45">
      <c r="C40" s="100" t="s">
        <v>218</v>
      </c>
      <c r="D40" s="64" t="s">
        <v>222</v>
      </c>
    </row>
    <row r="41" spans="3:8" x14ac:dyDescent="0.45">
      <c r="C41" s="100" t="s">
        <v>638</v>
      </c>
      <c r="D41" s="64" t="s">
        <v>639</v>
      </c>
    </row>
  </sheetData>
  <sheetProtection password="DFA8" sheet="1" objects="1" scenarios="1" selectLockedCells="1" selectUnlockedCells="1"/>
  <mergeCells count="30">
    <mergeCell ref="E17:H17"/>
    <mergeCell ref="B8:C8"/>
    <mergeCell ref="G14:H14"/>
    <mergeCell ref="I14:J14"/>
    <mergeCell ref="C16:H16"/>
    <mergeCell ref="I16:J16"/>
    <mergeCell ref="C20:E20"/>
    <mergeCell ref="F20:G20"/>
    <mergeCell ref="C21:E21"/>
    <mergeCell ref="F21:G21"/>
    <mergeCell ref="C22:E22"/>
    <mergeCell ref="F22:G22"/>
    <mergeCell ref="C23:E23"/>
    <mergeCell ref="F23:G23"/>
    <mergeCell ref="C24:E24"/>
    <mergeCell ref="F24:G24"/>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2"/>
  <conditionalFormatting sqref="I14:J14">
    <cfRule type="expression" dxfId="2" priority="3">
      <formula>I14="未入力"</formula>
    </cfRule>
  </conditionalFormatting>
  <conditionalFormatting sqref="F20:G24">
    <cfRule type="expression" dxfId="1" priority="2">
      <formula>$I$16="はい"</formula>
    </cfRule>
  </conditionalFormatting>
  <conditionalFormatting sqref="F28:G34">
    <cfRule type="expression" dxfId="0" priority="1">
      <formula>$I$16="いいえ"</formula>
    </cfRule>
  </conditionalFormatting>
  <dataValidations count="3">
    <dataValidation type="list" allowBlank="1" showInputMessage="1" showErrorMessage="1" sqref="I16:J16">
      <formula1>"サーバーの設置を確認,はい,いいえ"</formula1>
    </dataValidation>
    <dataValidation allowBlank="1" showInputMessage="1" showErrorMessage="1" prompt="事務所内にサーバーを設置している区画がある場合" sqref="F28:G28"/>
    <dataValidation allowBlank="1" sqref="D8:D9"/>
  </dataValidations>
  <pageMargins left="0.6692913385826772" right="0.31496062992125984" top="0.82677165354330717" bottom="0.15748031496062992" header="0.39370078740157483" footer="0.15748031496062992"/>
  <pageSetup paperSize="9" scale="87" fitToHeight="0" orientation="portrait" r:id="rId1"/>
  <headerFooter>
    <oddHeader>&amp;C&amp;20換気量・省エネ計算シート</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事務所等の区分を選択してください。">
          <x14:formula1>
            <xm:f>計算!$AB$3:$AB$8</xm:f>
          </x14:formula1>
          <xm:sqref>F20:G20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計算</vt:lpstr>
      <vt:lpstr>※注意事項</vt:lpstr>
      <vt:lpstr>1.換気～比較表（適合）</vt:lpstr>
      <vt:lpstr>1.換気～比較表 (入力不足)</vt:lpstr>
      <vt:lpstr>1.換気～比較表 (不適合)</vt:lpstr>
      <vt:lpstr>2-3.設備仕様入力（適合）</vt:lpstr>
      <vt:lpstr>2-3.設備仕様入力（入力不足）</vt:lpstr>
      <vt:lpstr>2-3.設備仕様入力（不適合）</vt:lpstr>
      <vt:lpstr>4.エネルギー使用量（適合例）</vt:lpstr>
      <vt:lpstr>4.エネルギー使用量（入力不足）</vt:lpstr>
      <vt:lpstr>4.エネルギー使用量（不適合）</vt:lpstr>
      <vt:lpstr>5.概算使用量（適合１）</vt:lpstr>
      <vt:lpstr>5.概算使用量（適合２）</vt:lpstr>
      <vt:lpstr>LPG</vt:lpstr>
      <vt:lpstr>'1.換気～比較表 (入力不足)'!Print_Area</vt:lpstr>
      <vt:lpstr>'1.換気～比較表 (不適合)'!Print_Area</vt:lpstr>
      <vt:lpstr>'1.換気～比較表（適合）'!Print_Area</vt:lpstr>
      <vt:lpstr>'2-3.設備仕様入力（適合）'!Print_Area</vt:lpstr>
      <vt:lpstr>'2-3.設備仕様入力（入力不足）'!Print_Area</vt:lpstr>
      <vt:lpstr>'2-3.設備仕様入力（不適合）'!Print_Area</vt:lpstr>
      <vt:lpstr>'4.エネルギー使用量（適合例）'!Print_Area</vt:lpstr>
      <vt:lpstr>'4.エネルギー使用量（入力不足）'!Print_Area</vt:lpstr>
      <vt:lpstr>'4.エネルギー使用量（不適合）'!Print_Area</vt:lpstr>
      <vt:lpstr>'5.概算使用量（適合１）'!Print_Area</vt:lpstr>
      <vt:lpstr>'5.概算使用量（適合２）'!Print_Area</vt:lpstr>
      <vt:lpstr>'1.換気～比較表 (入力不足)'!Print_Titles</vt:lpstr>
      <vt:lpstr>'1.換気～比較表 (不適合)'!Print_Titles</vt:lpstr>
      <vt:lpstr>'1.換気～比較表（適合）'!Print_Titles</vt:lpstr>
      <vt:lpstr>'4.エネルギー使用量（適合例）'!Print_Titles</vt:lpstr>
      <vt:lpstr>'4.エネルギー使用量（入力不足）'!Print_Titles</vt:lpstr>
      <vt:lpstr>'4.エネルギー使用量（不適合）'!Print_Titles</vt:lpstr>
      <vt:lpstr>'5.概算使用量（適合１）'!Print_Titles</vt:lpstr>
      <vt:lpstr>'5.概算使用量（適合２）'!Print_Titles</vt:lpstr>
      <vt:lpstr>都市ガス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PC20A06JR003</dc:creator>
  <cp:lastModifiedBy>CN</cp:lastModifiedBy>
  <cp:lastPrinted>2022-08-31T06:25:36Z</cp:lastPrinted>
  <dcterms:created xsi:type="dcterms:W3CDTF">2021-06-30T04:19:28Z</dcterms:created>
  <dcterms:modified xsi:type="dcterms:W3CDTF">2022-09-20T07:24:28Z</dcterms:modified>
</cp:coreProperties>
</file>