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東京都地球温暖化防止活動推進センター\事業支援チーム\Ｒ４\5_省エネ型換気・空調設備導入支援事業\4_要綱・様式・チェックシート\5_様式\5_計算シート\◆令和４年度_計算シート\"/>
    </mc:Choice>
  </mc:AlternateContent>
  <workbookProtection workbookPassword="DFA8" lockStructure="1"/>
  <bookViews>
    <workbookView xWindow="0" yWindow="58800" windowWidth="20490" windowHeight="8805" tabRatio="712" firstSheet="1" activeTab="1"/>
  </bookViews>
  <sheets>
    <sheet name="計算" sheetId="5" state="hidden" r:id="rId1"/>
    <sheet name="1.換気～比較表" sheetId="10" r:id="rId2"/>
    <sheet name="2-3.設備仕様入力" sheetId="2" r:id="rId3"/>
    <sheet name="4.エネルギー使用量" sheetId="4" r:id="rId4"/>
    <sheet name="5.概算使用量" sheetId="17" r:id="rId5"/>
  </sheets>
  <definedNames>
    <definedName name="LPG">計算!$O$10:$O$12</definedName>
    <definedName name="_xlnm.Print_Area" localSheetId="1">'1.換気～比較表'!$A$20:$BL$35</definedName>
    <definedName name="_xlnm.Print_Area" localSheetId="2">'2-3.設備仕様入力'!$A$26:$Y$207</definedName>
    <definedName name="_xlnm.Print_Area" localSheetId="3">'4.エネルギー使用量'!$A$18:$Q$86</definedName>
    <definedName name="_xlnm.Print_Area" localSheetId="4">'5.概算使用量'!$A$13:$K$41</definedName>
    <definedName name="_xlnm.Print_Titles" localSheetId="1">'1.換気～比較表'!$B:$D</definedName>
    <definedName name="_xlnm.Print_Titles" localSheetId="3">'4.エネルギー使用量'!$18:$20</definedName>
    <definedName name="_xlnm.Print_Titles" localSheetId="4">'5.概算使用量'!$14:$15</definedName>
    <definedName name="都市ガス">計算!$O$7:$O$8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 i="2" l="1"/>
  <c r="AE5" i="5" l="1"/>
  <c r="AE38" i="2" l="1"/>
  <c r="AB38" i="2"/>
  <c r="AD36" i="2"/>
  <c r="AC36" i="2"/>
  <c r="AC52" i="2"/>
  <c r="AD52" i="2"/>
  <c r="AB52" i="2"/>
  <c r="AB36" i="2"/>
  <c r="AC65" i="2"/>
  <c r="AC38" i="2"/>
  <c r="E160" i="2" l="1"/>
  <c r="F160" i="2"/>
  <c r="G160" i="2"/>
  <c r="H160" i="2"/>
  <c r="I160" i="2"/>
  <c r="J160" i="2"/>
  <c r="K160" i="2"/>
  <c r="L160" i="2"/>
  <c r="M160" i="2"/>
  <c r="N160" i="2"/>
  <c r="O160" i="2"/>
  <c r="P160" i="2"/>
  <c r="Q160" i="2"/>
  <c r="R160" i="2"/>
  <c r="S160" i="2"/>
  <c r="T160" i="2"/>
  <c r="U160" i="2"/>
  <c r="V160" i="2"/>
  <c r="W160" i="2"/>
  <c r="E155" i="2"/>
  <c r="F155" i="2"/>
  <c r="G155" i="2"/>
  <c r="H155" i="2"/>
  <c r="I155" i="2"/>
  <c r="J155" i="2"/>
  <c r="K155" i="2"/>
  <c r="L155" i="2"/>
  <c r="M155" i="2"/>
  <c r="N155" i="2"/>
  <c r="O155" i="2"/>
  <c r="P155" i="2"/>
  <c r="Q155" i="2"/>
  <c r="R155" i="2"/>
  <c r="S155" i="2"/>
  <c r="T155" i="2"/>
  <c r="U155" i="2"/>
  <c r="V155" i="2"/>
  <c r="W155" i="2"/>
  <c r="D155" i="2"/>
  <c r="D134" i="2"/>
  <c r="D160" i="2"/>
  <c r="E134" i="2"/>
  <c r="F134" i="2"/>
  <c r="G134" i="2"/>
  <c r="H134" i="2"/>
  <c r="I134" i="2"/>
  <c r="J134" i="2"/>
  <c r="K134" i="2"/>
  <c r="L134" i="2"/>
  <c r="M134" i="2"/>
  <c r="N134" i="2"/>
  <c r="O134" i="2"/>
  <c r="P134" i="2"/>
  <c r="Q134" i="2"/>
  <c r="R134" i="2"/>
  <c r="S134" i="2"/>
  <c r="T134" i="2"/>
  <c r="U134" i="2"/>
  <c r="V134" i="2"/>
  <c r="W134" i="2"/>
  <c r="E139" i="2"/>
  <c r="F139" i="2"/>
  <c r="G139" i="2"/>
  <c r="H139" i="2"/>
  <c r="I139" i="2"/>
  <c r="J139" i="2"/>
  <c r="K139" i="2"/>
  <c r="L139" i="2"/>
  <c r="M139" i="2"/>
  <c r="N139" i="2"/>
  <c r="O139" i="2"/>
  <c r="P139" i="2"/>
  <c r="Q139" i="2"/>
  <c r="R139" i="2"/>
  <c r="S139" i="2"/>
  <c r="T139" i="2"/>
  <c r="U139" i="2"/>
  <c r="V139" i="2"/>
  <c r="W139" i="2"/>
  <c r="D139" i="2"/>
  <c r="D138" i="2"/>
  <c r="AE65" i="2" l="1"/>
  <c r="D36" i="2" l="1"/>
  <c r="E36" i="2"/>
  <c r="Y36" i="2" s="1"/>
  <c r="F36" i="2"/>
  <c r="AA36" i="2" s="1"/>
  <c r="G36" i="2"/>
  <c r="H36" i="2"/>
  <c r="I36" i="2"/>
  <c r="J36" i="2"/>
  <c r="K36" i="2"/>
  <c r="L36" i="2"/>
  <c r="M36" i="2"/>
  <c r="N36" i="2"/>
  <c r="O36" i="2"/>
  <c r="P36" i="2"/>
  <c r="Q36" i="2"/>
  <c r="R36" i="2"/>
  <c r="S36" i="2"/>
  <c r="T36" i="2"/>
  <c r="U36" i="2"/>
  <c r="V36" i="2"/>
  <c r="W36" i="2"/>
  <c r="E54" i="2"/>
  <c r="F54" i="2"/>
  <c r="G54" i="2"/>
  <c r="H54" i="2"/>
  <c r="I54" i="2"/>
  <c r="J54" i="2"/>
  <c r="K54" i="2"/>
  <c r="L54" i="2"/>
  <c r="M54" i="2"/>
  <c r="N54" i="2"/>
  <c r="O54" i="2"/>
  <c r="P54" i="2"/>
  <c r="Q54" i="2"/>
  <c r="R54" i="2"/>
  <c r="S54" i="2"/>
  <c r="T54" i="2"/>
  <c r="U54" i="2"/>
  <c r="V54" i="2"/>
  <c r="W54" i="2"/>
  <c r="D54" i="2"/>
  <c r="G55" i="2"/>
  <c r="X34" i="2" l="1"/>
  <c r="B81" i="4"/>
  <c r="B70" i="4"/>
  <c r="B59" i="4"/>
  <c r="B48" i="4"/>
  <c r="E59" i="2" l="1"/>
  <c r="F59" i="2"/>
  <c r="G59" i="2"/>
  <c r="H59" i="2"/>
  <c r="I59" i="2"/>
  <c r="J59" i="2"/>
  <c r="K59" i="2"/>
  <c r="L59" i="2"/>
  <c r="M59" i="2"/>
  <c r="N59" i="2"/>
  <c r="O59" i="2"/>
  <c r="P59" i="2"/>
  <c r="Q59" i="2"/>
  <c r="R59" i="2"/>
  <c r="S59" i="2"/>
  <c r="T59" i="2"/>
  <c r="U59" i="2"/>
  <c r="V59" i="2"/>
  <c r="W59" i="2"/>
  <c r="D59" i="2"/>
  <c r="E60" i="2"/>
  <c r="F60" i="2"/>
  <c r="G60" i="2"/>
  <c r="H60" i="2"/>
  <c r="I60" i="2"/>
  <c r="J60" i="2"/>
  <c r="K60" i="2"/>
  <c r="L60" i="2"/>
  <c r="M60" i="2"/>
  <c r="N60" i="2"/>
  <c r="O60" i="2"/>
  <c r="P60" i="2"/>
  <c r="Q60" i="2"/>
  <c r="R60" i="2"/>
  <c r="S60" i="2"/>
  <c r="T60" i="2"/>
  <c r="U60" i="2"/>
  <c r="V60" i="2"/>
  <c r="W60" i="2"/>
  <c r="E61" i="2"/>
  <c r="F61" i="2"/>
  <c r="G61" i="2"/>
  <c r="H61" i="2"/>
  <c r="I61" i="2"/>
  <c r="J61" i="2"/>
  <c r="K61" i="2"/>
  <c r="L61" i="2"/>
  <c r="M61" i="2"/>
  <c r="N61" i="2"/>
  <c r="O61" i="2"/>
  <c r="P61" i="2"/>
  <c r="Q61" i="2"/>
  <c r="R61" i="2"/>
  <c r="S61" i="2"/>
  <c r="T61" i="2"/>
  <c r="U61" i="2"/>
  <c r="V61" i="2"/>
  <c r="W61" i="2"/>
  <c r="E62" i="2"/>
  <c r="F62" i="2"/>
  <c r="G62" i="2"/>
  <c r="H62" i="2"/>
  <c r="I62" i="2"/>
  <c r="J62" i="2"/>
  <c r="K62" i="2"/>
  <c r="L62" i="2"/>
  <c r="M62" i="2"/>
  <c r="N62" i="2"/>
  <c r="O62" i="2"/>
  <c r="P62" i="2"/>
  <c r="Q62" i="2"/>
  <c r="R62" i="2"/>
  <c r="S62" i="2"/>
  <c r="T62" i="2"/>
  <c r="U62" i="2"/>
  <c r="V62" i="2"/>
  <c r="W62" i="2"/>
  <c r="E63" i="2"/>
  <c r="F63" i="2"/>
  <c r="G63" i="2"/>
  <c r="H63" i="2"/>
  <c r="I63" i="2"/>
  <c r="J63" i="2"/>
  <c r="K63" i="2"/>
  <c r="L63" i="2"/>
  <c r="M63" i="2"/>
  <c r="N63" i="2"/>
  <c r="O63" i="2"/>
  <c r="P63" i="2"/>
  <c r="Q63" i="2"/>
  <c r="R63" i="2"/>
  <c r="S63" i="2"/>
  <c r="T63" i="2"/>
  <c r="U63" i="2"/>
  <c r="V63" i="2"/>
  <c r="W63" i="2"/>
  <c r="D63" i="2"/>
  <c r="D62" i="2"/>
  <c r="D61" i="2"/>
  <c r="D60" i="2"/>
  <c r="AA62" i="2" l="1"/>
  <c r="D55" i="2"/>
  <c r="E55" i="2"/>
  <c r="F55" i="2"/>
  <c r="H55" i="2"/>
  <c r="I55" i="2"/>
  <c r="J55" i="2"/>
  <c r="K55" i="2"/>
  <c r="L55" i="2"/>
  <c r="M55" i="2"/>
  <c r="N55" i="2"/>
  <c r="O55" i="2"/>
  <c r="P55" i="2"/>
  <c r="Q55" i="2"/>
  <c r="R55" i="2"/>
  <c r="S55" i="2"/>
  <c r="T55" i="2"/>
  <c r="U55" i="2"/>
  <c r="V55" i="2"/>
  <c r="W55" i="2"/>
  <c r="O26" i="4" l="1"/>
  <c r="O24" i="4"/>
  <c r="K50" i="5" l="1"/>
  <c r="K39" i="5"/>
  <c r="K28" i="5"/>
  <c r="K17" i="5"/>
  <c r="K3" i="5"/>
  <c r="J3" i="5"/>
  <c r="AD65" i="2"/>
  <c r="AD38" i="2"/>
  <c r="Y46" i="2" l="1"/>
  <c r="X46" i="2"/>
  <c r="Y33" i="2"/>
  <c r="X33" i="2"/>
  <c r="Y34" i="2"/>
  <c r="T64" i="2"/>
  <c r="D57" i="2" l="1"/>
  <c r="D58" i="2" s="1"/>
  <c r="V64" i="2"/>
  <c r="D64" i="2"/>
  <c r="W64" i="2" l="1"/>
  <c r="E64" i="2"/>
  <c r="F64" i="2"/>
  <c r="G64" i="2"/>
  <c r="H64" i="2"/>
  <c r="I64" i="2"/>
  <c r="J64" i="2"/>
  <c r="K64" i="2"/>
  <c r="L64" i="2"/>
  <c r="M64" i="2"/>
  <c r="N64" i="2"/>
  <c r="O64" i="2"/>
  <c r="P64" i="2"/>
  <c r="Q64" i="2"/>
  <c r="R64" i="2"/>
  <c r="S64" i="2"/>
  <c r="U64" i="2"/>
  <c r="E52" i="2"/>
  <c r="Y52" i="2" s="1"/>
  <c r="F52" i="2"/>
  <c r="G52" i="2"/>
  <c r="X52" i="2" s="1"/>
  <c r="H52" i="2"/>
  <c r="I52" i="2"/>
  <c r="J52" i="2"/>
  <c r="K52" i="2"/>
  <c r="L52" i="2"/>
  <c r="M52" i="2"/>
  <c r="N52" i="2"/>
  <c r="O52" i="2"/>
  <c r="P52" i="2"/>
  <c r="Q52" i="2"/>
  <c r="R52" i="2"/>
  <c r="S52" i="2"/>
  <c r="T52" i="2"/>
  <c r="U52" i="2"/>
  <c r="V52" i="2"/>
  <c r="W52" i="2"/>
  <c r="E53" i="2"/>
  <c r="Y53" i="2" s="1"/>
  <c r="F53" i="2"/>
  <c r="G53" i="2"/>
  <c r="X53" i="2" s="1"/>
  <c r="H53" i="2"/>
  <c r="I53" i="2"/>
  <c r="J53" i="2"/>
  <c r="K53" i="2"/>
  <c r="L53" i="2"/>
  <c r="M53" i="2"/>
  <c r="N53" i="2"/>
  <c r="O53" i="2"/>
  <c r="P53" i="2"/>
  <c r="Q53" i="2"/>
  <c r="R53" i="2"/>
  <c r="S53" i="2"/>
  <c r="T53" i="2"/>
  <c r="U53" i="2"/>
  <c r="V53" i="2"/>
  <c r="W53" i="2"/>
  <c r="D53" i="2"/>
  <c r="AA53" i="2" s="1"/>
  <c r="D52" i="2"/>
  <c r="X48" i="2" l="1"/>
  <c r="Y48" i="2"/>
  <c r="AA52" i="2"/>
  <c r="E38" i="2"/>
  <c r="F38" i="2"/>
  <c r="G38" i="2"/>
  <c r="H38" i="2"/>
  <c r="I38" i="2"/>
  <c r="J38" i="2"/>
  <c r="K38" i="2"/>
  <c r="L38" i="2"/>
  <c r="M38" i="2"/>
  <c r="N38" i="2"/>
  <c r="O38" i="2"/>
  <c r="P38" i="2"/>
  <c r="Q38" i="2"/>
  <c r="R38" i="2"/>
  <c r="S38" i="2"/>
  <c r="T38" i="2"/>
  <c r="U38" i="2"/>
  <c r="V38" i="2"/>
  <c r="W38" i="2"/>
  <c r="D38" i="2"/>
  <c r="E37" i="2"/>
  <c r="Y37" i="2" s="1"/>
  <c r="F37" i="2"/>
  <c r="G37" i="2"/>
  <c r="H37" i="2"/>
  <c r="I37" i="2"/>
  <c r="J37" i="2"/>
  <c r="K37" i="2"/>
  <c r="L37" i="2"/>
  <c r="M37" i="2"/>
  <c r="N37" i="2"/>
  <c r="O37" i="2"/>
  <c r="P37" i="2"/>
  <c r="Q37" i="2"/>
  <c r="R37" i="2"/>
  <c r="S37" i="2"/>
  <c r="T37" i="2"/>
  <c r="U37" i="2"/>
  <c r="V37" i="2"/>
  <c r="W37" i="2"/>
  <c r="D37" i="2"/>
  <c r="X37" i="2" l="1"/>
  <c r="AA37" i="2"/>
  <c r="Y35" i="2" s="1"/>
  <c r="U65" i="2"/>
  <c r="Y47" i="2"/>
  <c r="X47" i="2"/>
  <c r="Y38" i="2"/>
  <c r="M40" i="10"/>
  <c r="N40" i="10"/>
  <c r="O40" i="10"/>
  <c r="Q40" i="10"/>
  <c r="R40" i="10"/>
  <c r="U40" i="10"/>
  <c r="V40" i="10"/>
  <c r="Y40" i="10"/>
  <c r="Z40" i="10"/>
  <c r="AC40" i="10"/>
  <c r="AD40" i="10"/>
  <c r="AG40" i="10"/>
  <c r="AH40" i="10"/>
  <c r="AK40" i="10"/>
  <c r="AL40" i="10"/>
  <c r="AO40" i="10"/>
  <c r="AP40" i="10"/>
  <c r="AS40" i="10"/>
  <c r="AT40" i="10"/>
  <c r="AW40" i="10"/>
  <c r="AX40" i="10"/>
  <c r="BA40" i="10"/>
  <c r="BB40" i="10"/>
  <c r="BC40" i="10"/>
  <c r="BE40" i="10"/>
  <c r="BF40" i="10"/>
  <c r="BI40" i="10"/>
  <c r="BJ40" i="10"/>
  <c r="F37" i="10"/>
  <c r="F40" i="10" s="1"/>
  <c r="G37" i="10"/>
  <c r="G40" i="10" s="1"/>
  <c r="H37" i="10"/>
  <c r="H40" i="10" s="1"/>
  <c r="I37" i="10"/>
  <c r="I40" i="10" s="1"/>
  <c r="J37" i="10"/>
  <c r="J40" i="10" s="1"/>
  <c r="K37" i="10"/>
  <c r="K40" i="10" s="1"/>
  <c r="L37" i="10"/>
  <c r="L40" i="10" s="1"/>
  <c r="M37" i="10"/>
  <c r="N37" i="10"/>
  <c r="O37" i="10"/>
  <c r="P37" i="10"/>
  <c r="P40" i="10" s="1"/>
  <c r="Q37" i="10"/>
  <c r="R37" i="10"/>
  <c r="S37" i="10"/>
  <c r="S40" i="10" s="1"/>
  <c r="T37" i="10"/>
  <c r="T40" i="10" s="1"/>
  <c r="U37" i="10"/>
  <c r="V37" i="10"/>
  <c r="W37" i="10"/>
  <c r="W40" i="10" s="1"/>
  <c r="X37" i="10"/>
  <c r="X40" i="10" s="1"/>
  <c r="Y37" i="10"/>
  <c r="Z37" i="10"/>
  <c r="AA37" i="10"/>
  <c r="AA40" i="10" s="1"/>
  <c r="AB37" i="10"/>
  <c r="AB40" i="10" s="1"/>
  <c r="AC37" i="10"/>
  <c r="AD37" i="10"/>
  <c r="AE37" i="10"/>
  <c r="AE40" i="10" s="1"/>
  <c r="AF37" i="10"/>
  <c r="AF40" i="10" s="1"/>
  <c r="AG37" i="10"/>
  <c r="AH37" i="10"/>
  <c r="AI37" i="10"/>
  <c r="AI40" i="10" s="1"/>
  <c r="AJ37" i="10"/>
  <c r="AJ40" i="10" s="1"/>
  <c r="AK37" i="10"/>
  <c r="AL37" i="10"/>
  <c r="AM37" i="10"/>
  <c r="AM40" i="10" s="1"/>
  <c r="AN37" i="10"/>
  <c r="AN40" i="10" s="1"/>
  <c r="AO37" i="10"/>
  <c r="AP37" i="10"/>
  <c r="AQ37" i="10"/>
  <c r="AQ40" i="10" s="1"/>
  <c r="AR37" i="10"/>
  <c r="AR40" i="10" s="1"/>
  <c r="AS37" i="10"/>
  <c r="AT37" i="10"/>
  <c r="AU37" i="10"/>
  <c r="AU40" i="10" s="1"/>
  <c r="AV37" i="10"/>
  <c r="AV40" i="10" s="1"/>
  <c r="AW37" i="10"/>
  <c r="AX37" i="10"/>
  <c r="AY37" i="10"/>
  <c r="AY40" i="10" s="1"/>
  <c r="AZ37" i="10"/>
  <c r="AZ40" i="10" s="1"/>
  <c r="BA37" i="10"/>
  <c r="BB37" i="10"/>
  <c r="BC37" i="10"/>
  <c r="BD37" i="10"/>
  <c r="BD40" i="10" s="1"/>
  <c r="BE37" i="10"/>
  <c r="BF37" i="10"/>
  <c r="BG37" i="10"/>
  <c r="BG40" i="10" s="1"/>
  <c r="BH37" i="10"/>
  <c r="BH40" i="10" s="1"/>
  <c r="BI37" i="10"/>
  <c r="BJ37" i="10"/>
  <c r="BK37" i="10"/>
  <c r="BK40" i="10" s="1"/>
  <c r="BL37" i="10"/>
  <c r="BL40" i="10" s="1"/>
  <c r="E37" i="10"/>
  <c r="E40" i="10" s="1"/>
  <c r="X35" i="2" l="1"/>
  <c r="R65" i="2"/>
  <c r="Z65" i="2" s="1"/>
  <c r="G42" i="10"/>
  <c r="F42" i="10"/>
  <c r="G32" i="10"/>
  <c r="H42" i="10"/>
  <c r="I32" i="10"/>
  <c r="J32" i="10"/>
  <c r="L32" i="10"/>
  <c r="N32" i="10"/>
  <c r="O32" i="10"/>
  <c r="Q32" i="10"/>
  <c r="R32" i="10"/>
  <c r="S32" i="10"/>
  <c r="T32" i="10"/>
  <c r="U32" i="10"/>
  <c r="V32" i="10"/>
  <c r="W32" i="10"/>
  <c r="X32" i="10"/>
  <c r="Y32" i="10"/>
  <c r="Z32" i="10"/>
  <c r="AA32" i="10"/>
  <c r="AB32" i="10"/>
  <c r="AC32" i="10"/>
  <c r="AD32" i="10"/>
  <c r="AE32" i="10"/>
  <c r="AF32" i="10"/>
  <c r="AG32" i="10"/>
  <c r="AH32" i="10"/>
  <c r="AI32" i="10"/>
  <c r="AJ32" i="10"/>
  <c r="AK32" i="10"/>
  <c r="AL32" i="10"/>
  <c r="AM32" i="10"/>
  <c r="AN32" i="10"/>
  <c r="AO32" i="10"/>
  <c r="AP32" i="10"/>
  <c r="AQ32" i="10"/>
  <c r="AR32" i="10"/>
  <c r="AS32" i="10"/>
  <c r="AT32" i="10"/>
  <c r="AU32" i="10"/>
  <c r="AV32" i="10"/>
  <c r="AW32" i="10"/>
  <c r="AX32" i="10"/>
  <c r="AY32" i="10"/>
  <c r="AZ32" i="10"/>
  <c r="BA32" i="10"/>
  <c r="BB32" i="10"/>
  <c r="BC32" i="10"/>
  <c r="BD32" i="10"/>
  <c r="BE32" i="10"/>
  <c r="BF32" i="10"/>
  <c r="BG32" i="10"/>
  <c r="BH32" i="10"/>
  <c r="BI32" i="10"/>
  <c r="BJ32" i="10"/>
  <c r="BL32" i="10"/>
  <c r="I33" i="10"/>
  <c r="J33" i="10"/>
  <c r="L33" i="10"/>
  <c r="N33" i="10"/>
  <c r="O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BL33" i="10"/>
  <c r="I34" i="10"/>
  <c r="I38" i="10" s="1"/>
  <c r="J34" i="10"/>
  <c r="J38" i="10" s="1"/>
  <c r="L34" i="10"/>
  <c r="L38" i="10" s="1"/>
  <c r="N34" i="10"/>
  <c r="N38" i="10" s="1"/>
  <c r="O34" i="10"/>
  <c r="O38" i="10" s="1"/>
  <c r="Q34" i="10"/>
  <c r="Q38" i="10" s="1"/>
  <c r="R34" i="10"/>
  <c r="R38" i="10" s="1"/>
  <c r="S34" i="10"/>
  <c r="S38" i="10" s="1"/>
  <c r="T34" i="10"/>
  <c r="T38" i="10" s="1"/>
  <c r="U34" i="10"/>
  <c r="U38" i="10" s="1"/>
  <c r="V34" i="10"/>
  <c r="V38" i="10" s="1"/>
  <c r="W34" i="10"/>
  <c r="W38" i="10" s="1"/>
  <c r="X34" i="10"/>
  <c r="X38" i="10" s="1"/>
  <c r="Y34" i="10"/>
  <c r="Y38" i="10" s="1"/>
  <c r="Z34" i="10"/>
  <c r="Z38" i="10" s="1"/>
  <c r="AA34" i="10"/>
  <c r="AA38" i="10" s="1"/>
  <c r="AB34" i="10"/>
  <c r="AB38" i="10" s="1"/>
  <c r="AC34" i="10"/>
  <c r="AC38" i="10" s="1"/>
  <c r="AD34" i="10"/>
  <c r="AD38" i="10" s="1"/>
  <c r="AE34" i="10"/>
  <c r="AE38" i="10" s="1"/>
  <c r="AF34" i="10"/>
  <c r="AF38" i="10" s="1"/>
  <c r="AG34" i="10"/>
  <c r="AG38" i="10" s="1"/>
  <c r="AH34" i="10"/>
  <c r="AH38" i="10" s="1"/>
  <c r="AI34" i="10"/>
  <c r="AI38" i="10" s="1"/>
  <c r="AJ34" i="10"/>
  <c r="AJ38" i="10" s="1"/>
  <c r="AK34" i="10"/>
  <c r="AK38" i="10" s="1"/>
  <c r="AL34" i="10"/>
  <c r="AL38" i="10" s="1"/>
  <c r="AM34" i="10"/>
  <c r="AM38" i="10" s="1"/>
  <c r="AN34" i="10"/>
  <c r="AN38" i="10" s="1"/>
  <c r="AO34" i="10"/>
  <c r="AO38" i="10" s="1"/>
  <c r="AP34" i="10"/>
  <c r="AP38" i="10" s="1"/>
  <c r="AQ34" i="10"/>
  <c r="AQ38" i="10" s="1"/>
  <c r="AR34" i="10"/>
  <c r="AR38" i="10" s="1"/>
  <c r="AS34" i="10"/>
  <c r="AS38" i="10" s="1"/>
  <c r="AT34" i="10"/>
  <c r="AT38" i="10" s="1"/>
  <c r="AU34" i="10"/>
  <c r="AU38" i="10" s="1"/>
  <c r="AV34" i="10"/>
  <c r="AV38" i="10" s="1"/>
  <c r="AW34" i="10"/>
  <c r="AW38" i="10" s="1"/>
  <c r="AX34" i="10"/>
  <c r="AX38" i="10" s="1"/>
  <c r="AY34" i="10"/>
  <c r="AY38" i="10" s="1"/>
  <c r="AZ34" i="10"/>
  <c r="AZ38" i="10" s="1"/>
  <c r="BA34" i="10"/>
  <c r="BA38" i="10" s="1"/>
  <c r="BB34" i="10"/>
  <c r="BB38" i="10" s="1"/>
  <c r="BC34" i="10"/>
  <c r="BC38" i="10" s="1"/>
  <c r="BD34" i="10"/>
  <c r="BD38" i="10" s="1"/>
  <c r="BE34" i="10"/>
  <c r="BE38" i="10" s="1"/>
  <c r="BF34" i="10"/>
  <c r="BF38" i="10" s="1"/>
  <c r="BG34" i="10"/>
  <c r="BG38" i="10" s="1"/>
  <c r="BH34" i="10"/>
  <c r="BH38" i="10" s="1"/>
  <c r="BI34" i="10"/>
  <c r="BI38" i="10" s="1"/>
  <c r="BJ34" i="10"/>
  <c r="BJ38" i="10" s="1"/>
  <c r="BL34" i="10"/>
  <c r="BL38" i="10" s="1"/>
  <c r="I35" i="10"/>
  <c r="I39" i="10" s="1"/>
  <c r="J35" i="10"/>
  <c r="J39" i="10" s="1"/>
  <c r="L35" i="10"/>
  <c r="L39" i="10" s="1"/>
  <c r="N35" i="10"/>
  <c r="N39" i="10" s="1"/>
  <c r="O35" i="10"/>
  <c r="O39" i="10" s="1"/>
  <c r="Q35" i="10"/>
  <c r="Q39" i="10" s="1"/>
  <c r="R35" i="10"/>
  <c r="R39" i="10" s="1"/>
  <c r="S35" i="10"/>
  <c r="S39" i="10" s="1"/>
  <c r="T35" i="10"/>
  <c r="T39" i="10" s="1"/>
  <c r="U35" i="10"/>
  <c r="U39" i="10" s="1"/>
  <c r="V35" i="10"/>
  <c r="V39" i="10" s="1"/>
  <c r="W35" i="10"/>
  <c r="W39" i="10" s="1"/>
  <c r="X35" i="10"/>
  <c r="X39" i="10" s="1"/>
  <c r="Y35" i="10"/>
  <c r="Y39" i="10" s="1"/>
  <c r="Z35" i="10"/>
  <c r="Z39" i="10" s="1"/>
  <c r="AA35" i="10"/>
  <c r="AA39" i="10" s="1"/>
  <c r="AB35" i="10"/>
  <c r="AB39" i="10" s="1"/>
  <c r="AC35" i="10"/>
  <c r="AC39" i="10" s="1"/>
  <c r="AD35" i="10"/>
  <c r="AD39" i="10" s="1"/>
  <c r="AE35" i="10"/>
  <c r="AE39" i="10" s="1"/>
  <c r="AF35" i="10"/>
  <c r="AF39" i="10" s="1"/>
  <c r="AG35" i="10"/>
  <c r="AG39" i="10" s="1"/>
  <c r="AH35" i="10"/>
  <c r="AH39" i="10" s="1"/>
  <c r="AI35" i="10"/>
  <c r="AI39" i="10" s="1"/>
  <c r="AJ35" i="10"/>
  <c r="AJ39" i="10" s="1"/>
  <c r="AK35" i="10"/>
  <c r="AK39" i="10" s="1"/>
  <c r="AL35" i="10"/>
  <c r="AL39" i="10" s="1"/>
  <c r="AM35" i="10"/>
  <c r="AM39" i="10" s="1"/>
  <c r="AN35" i="10"/>
  <c r="AN39" i="10" s="1"/>
  <c r="AO35" i="10"/>
  <c r="AO39" i="10" s="1"/>
  <c r="AP35" i="10"/>
  <c r="AP39" i="10" s="1"/>
  <c r="AQ35" i="10"/>
  <c r="AQ39" i="10" s="1"/>
  <c r="AR35" i="10"/>
  <c r="AR39" i="10" s="1"/>
  <c r="AS35" i="10"/>
  <c r="AS39" i="10" s="1"/>
  <c r="AT35" i="10"/>
  <c r="AT39" i="10" s="1"/>
  <c r="AU35" i="10"/>
  <c r="AU39" i="10" s="1"/>
  <c r="AV35" i="10"/>
  <c r="AV39" i="10" s="1"/>
  <c r="AW35" i="10"/>
  <c r="AW39" i="10" s="1"/>
  <c r="AX35" i="10"/>
  <c r="AX39" i="10" s="1"/>
  <c r="AY35" i="10"/>
  <c r="AY39" i="10" s="1"/>
  <c r="AZ35" i="10"/>
  <c r="AZ39" i="10" s="1"/>
  <c r="BA35" i="10"/>
  <c r="BA39" i="10" s="1"/>
  <c r="BB35" i="10"/>
  <c r="BB39" i="10" s="1"/>
  <c r="BC35" i="10"/>
  <c r="BC39" i="10" s="1"/>
  <c r="BD35" i="10"/>
  <c r="BD39" i="10" s="1"/>
  <c r="BE35" i="10"/>
  <c r="BE39" i="10" s="1"/>
  <c r="BF35" i="10"/>
  <c r="BF39" i="10" s="1"/>
  <c r="BG35" i="10"/>
  <c r="BG39" i="10" s="1"/>
  <c r="BH35" i="10"/>
  <c r="BH39" i="10" s="1"/>
  <c r="BI35" i="10"/>
  <c r="BI39" i="10" s="1"/>
  <c r="BJ35" i="10"/>
  <c r="BJ39" i="10" s="1"/>
  <c r="BL35" i="10"/>
  <c r="BL39" i="10" s="1"/>
  <c r="J36" i="10"/>
  <c r="E36" i="10"/>
  <c r="K33" i="10"/>
  <c r="AA65" i="2" l="1"/>
  <c r="X65" i="2" s="1"/>
  <c r="BG41" i="10"/>
  <c r="AY41" i="10"/>
  <c r="AQ41" i="10"/>
  <c r="AI41" i="10"/>
  <c r="AA41" i="10"/>
  <c r="S41" i="10"/>
  <c r="AP41" i="10"/>
  <c r="BD41" i="10"/>
  <c r="AV41" i="10"/>
  <c r="AN41" i="10"/>
  <c r="AF41" i="10"/>
  <c r="X41" i="10"/>
  <c r="BE41" i="10"/>
  <c r="AX41" i="10"/>
  <c r="AM41" i="10"/>
  <c r="AE41" i="10"/>
  <c r="W41" i="10"/>
  <c r="O41" i="10"/>
  <c r="AW41" i="10"/>
  <c r="R41" i="10"/>
  <c r="BB41" i="10"/>
  <c r="AT41" i="10"/>
  <c r="AL41" i="10"/>
  <c r="AD41" i="10"/>
  <c r="V41" i="10"/>
  <c r="N41" i="10"/>
  <c r="AO41" i="10"/>
  <c r="BF41" i="10"/>
  <c r="AH41" i="10"/>
  <c r="BC41" i="10"/>
  <c r="BJ41" i="10"/>
  <c r="BI41" i="10"/>
  <c r="BA41" i="10"/>
  <c r="AS41" i="10"/>
  <c r="AK41" i="10"/>
  <c r="AC41" i="10"/>
  <c r="U41" i="10"/>
  <c r="AG41" i="10"/>
  <c r="I41" i="10"/>
  <c r="BL41" i="10"/>
  <c r="AU41" i="10"/>
  <c r="BH41" i="10"/>
  <c r="AZ41" i="10"/>
  <c r="AR41" i="10"/>
  <c r="AJ41" i="10"/>
  <c r="AB41" i="10"/>
  <c r="T41" i="10"/>
  <c r="L41" i="10"/>
  <c r="Y41" i="10"/>
  <c r="Z41" i="10"/>
  <c r="J41" i="10"/>
  <c r="Q41" i="10"/>
  <c r="G34" i="10"/>
  <c r="G38" i="10" s="1"/>
  <c r="G33" i="10"/>
  <c r="G35" i="10" s="1"/>
  <c r="G39" i="10" s="1"/>
  <c r="K32" i="10"/>
  <c r="K35" i="10"/>
  <c r="K39" i="10" s="1"/>
  <c r="K34" i="10"/>
  <c r="K38" i="10" s="1"/>
  <c r="B12" i="17"/>
  <c r="B17" i="4"/>
  <c r="B25" i="2"/>
  <c r="AD55" i="2"/>
  <c r="AC64" i="2"/>
  <c r="Q57" i="2"/>
  <c r="Q58" i="2" s="1"/>
  <c r="K41" i="10" l="1"/>
  <c r="G41" i="10"/>
  <c r="AB55" i="2"/>
  <c r="AC55" i="2"/>
  <c r="Y55" i="2"/>
  <c r="X55" i="2" s="1"/>
  <c r="Z55" i="2"/>
  <c r="AA55" i="2"/>
  <c r="O47" i="4" l="1"/>
  <c r="J18" i="5" l="1"/>
  <c r="J17" i="5"/>
  <c r="J19" i="5"/>
  <c r="K19" i="5"/>
  <c r="J20" i="5"/>
  <c r="J21" i="5"/>
  <c r="N84" i="4"/>
  <c r="M84" i="4"/>
  <c r="L84" i="4"/>
  <c r="K84" i="4"/>
  <c r="J84" i="4"/>
  <c r="I84" i="4"/>
  <c r="H84" i="4"/>
  <c r="G84" i="4"/>
  <c r="F84" i="4"/>
  <c r="E84" i="4"/>
  <c r="D84" i="4"/>
  <c r="C84" i="4"/>
  <c r="N83" i="4"/>
  <c r="M83" i="4"/>
  <c r="L83" i="4"/>
  <c r="K83" i="4"/>
  <c r="J83" i="4"/>
  <c r="I83" i="4"/>
  <c r="H83" i="4"/>
  <c r="G83" i="4"/>
  <c r="F83" i="4"/>
  <c r="E83" i="4"/>
  <c r="D83" i="4"/>
  <c r="C83" i="4"/>
  <c r="N73" i="4"/>
  <c r="M73" i="4"/>
  <c r="L73" i="4"/>
  <c r="K73" i="4"/>
  <c r="J73" i="4"/>
  <c r="I73" i="4"/>
  <c r="H73" i="4"/>
  <c r="G73" i="4"/>
  <c r="F73" i="4"/>
  <c r="E73" i="4"/>
  <c r="D73" i="4"/>
  <c r="C73" i="4"/>
  <c r="N72" i="4"/>
  <c r="M72" i="4"/>
  <c r="L72" i="4"/>
  <c r="K72" i="4"/>
  <c r="J72" i="4"/>
  <c r="I72" i="4"/>
  <c r="H72" i="4"/>
  <c r="G72" i="4"/>
  <c r="F72" i="4"/>
  <c r="E72" i="4"/>
  <c r="D72" i="4"/>
  <c r="C72" i="4"/>
  <c r="N62" i="4"/>
  <c r="M62" i="4"/>
  <c r="L62" i="4"/>
  <c r="K62" i="4"/>
  <c r="J62" i="4"/>
  <c r="I62" i="4"/>
  <c r="H62" i="4"/>
  <c r="G62" i="4"/>
  <c r="F62" i="4"/>
  <c r="E62" i="4"/>
  <c r="D62" i="4"/>
  <c r="C62" i="4"/>
  <c r="N61" i="4"/>
  <c r="M61" i="4"/>
  <c r="L61" i="4"/>
  <c r="K61" i="4"/>
  <c r="J61" i="4"/>
  <c r="I61" i="4"/>
  <c r="H61" i="4"/>
  <c r="G61" i="4"/>
  <c r="F61" i="4"/>
  <c r="E61" i="4"/>
  <c r="D61" i="4"/>
  <c r="C61" i="4"/>
  <c r="N51" i="4"/>
  <c r="M51" i="4"/>
  <c r="L51" i="4"/>
  <c r="K51" i="4"/>
  <c r="J51" i="4"/>
  <c r="I51" i="4"/>
  <c r="H51" i="4"/>
  <c r="G51" i="4"/>
  <c r="F51" i="4"/>
  <c r="E51" i="4"/>
  <c r="D51" i="4"/>
  <c r="C51" i="4"/>
  <c r="N50" i="4"/>
  <c r="M50" i="4"/>
  <c r="L50" i="4"/>
  <c r="K50" i="4"/>
  <c r="J50" i="4"/>
  <c r="I50" i="4"/>
  <c r="H50" i="4"/>
  <c r="G50" i="4"/>
  <c r="F50" i="4"/>
  <c r="E50" i="4"/>
  <c r="D50" i="4"/>
  <c r="C50" i="4"/>
  <c r="C39" i="4"/>
  <c r="N40" i="4"/>
  <c r="M40" i="4"/>
  <c r="L40" i="4"/>
  <c r="K40" i="4"/>
  <c r="J40" i="4"/>
  <c r="I40" i="4"/>
  <c r="H40" i="4"/>
  <c r="G40" i="4"/>
  <c r="F40" i="4"/>
  <c r="E40" i="4"/>
  <c r="D40" i="4"/>
  <c r="C40" i="4"/>
  <c r="N39" i="4"/>
  <c r="M39" i="4"/>
  <c r="L39" i="4"/>
  <c r="K39" i="4"/>
  <c r="J39" i="4"/>
  <c r="I39" i="4"/>
  <c r="H39" i="4"/>
  <c r="G39" i="4"/>
  <c r="F39" i="4"/>
  <c r="E39" i="4"/>
  <c r="D39" i="4"/>
  <c r="F63" i="4" l="1"/>
  <c r="N63" i="4"/>
  <c r="N74" i="4"/>
  <c r="F85" i="4"/>
  <c r="N85" i="4"/>
  <c r="F74" i="4"/>
  <c r="D74" i="4"/>
  <c r="E74" i="4"/>
  <c r="M74" i="4"/>
  <c r="K85" i="4"/>
  <c r="D85" i="4"/>
  <c r="F52" i="4"/>
  <c r="I63" i="4"/>
  <c r="I52" i="4"/>
  <c r="J41" i="4"/>
  <c r="D41" i="4"/>
  <c r="L85" i="4"/>
  <c r="L74" i="4"/>
  <c r="J85" i="4"/>
  <c r="G63" i="4"/>
  <c r="L41" i="4"/>
  <c r="C52" i="4"/>
  <c r="K52" i="4"/>
  <c r="S62" i="4"/>
  <c r="K74" i="4"/>
  <c r="G85" i="4"/>
  <c r="H52" i="4"/>
  <c r="D52" i="4"/>
  <c r="L52" i="4"/>
  <c r="H63" i="4"/>
  <c r="H74" i="4"/>
  <c r="E63" i="4"/>
  <c r="I74" i="4"/>
  <c r="J52" i="4"/>
  <c r="J63" i="4"/>
  <c r="S51" i="4"/>
  <c r="H85" i="4"/>
  <c r="M63" i="4"/>
  <c r="R84" i="4"/>
  <c r="G52" i="4"/>
  <c r="C63" i="4"/>
  <c r="K63" i="4"/>
  <c r="J74" i="4"/>
  <c r="I85" i="4"/>
  <c r="S73" i="4"/>
  <c r="F41" i="4"/>
  <c r="N41" i="4"/>
  <c r="E52" i="4"/>
  <c r="M52" i="4"/>
  <c r="D63" i="4"/>
  <c r="L63" i="4"/>
  <c r="S72" i="4"/>
  <c r="E85" i="4"/>
  <c r="M85" i="4"/>
  <c r="N52" i="4"/>
  <c r="G74" i="4"/>
  <c r="R83" i="4"/>
  <c r="S84" i="4"/>
  <c r="C85" i="4"/>
  <c r="S83" i="4"/>
  <c r="Q83" i="4"/>
  <c r="Q84" i="4"/>
  <c r="C74" i="4"/>
  <c r="Q72" i="4"/>
  <c r="Q73" i="4"/>
  <c r="R72" i="4"/>
  <c r="R73" i="4"/>
  <c r="Q61" i="4"/>
  <c r="Q62" i="4"/>
  <c r="R61" i="4"/>
  <c r="R62" i="4"/>
  <c r="S61" i="4"/>
  <c r="Q50" i="4"/>
  <c r="Q51" i="4"/>
  <c r="R50" i="4"/>
  <c r="R51" i="4"/>
  <c r="S50" i="4"/>
  <c r="K41" i="4"/>
  <c r="Q39" i="4"/>
  <c r="R40" i="4"/>
  <c r="R39" i="4"/>
  <c r="G41" i="4"/>
  <c r="I41" i="4"/>
  <c r="S39" i="4"/>
  <c r="E41" i="4"/>
  <c r="M41" i="4"/>
  <c r="Q40" i="4"/>
  <c r="S40" i="4"/>
  <c r="C41" i="4"/>
  <c r="H41" i="4"/>
  <c r="C28" i="4"/>
  <c r="M27" i="4"/>
  <c r="D28" i="4"/>
  <c r="E28" i="4"/>
  <c r="F28" i="4"/>
  <c r="G28" i="4"/>
  <c r="H28" i="4"/>
  <c r="I28" i="4"/>
  <c r="J28" i="4"/>
  <c r="K28" i="4"/>
  <c r="L28" i="4"/>
  <c r="M28" i="4"/>
  <c r="N28" i="4"/>
  <c r="D27" i="4"/>
  <c r="E27" i="4"/>
  <c r="F27" i="4"/>
  <c r="G27" i="4"/>
  <c r="H27" i="4"/>
  <c r="I27" i="4"/>
  <c r="J27" i="4"/>
  <c r="K27" i="4"/>
  <c r="L27" i="4"/>
  <c r="N27" i="4"/>
  <c r="C27" i="4"/>
  <c r="O138" i="2"/>
  <c r="O136" i="2"/>
  <c r="O135" i="2"/>
  <c r="D159" i="2"/>
  <c r="E159" i="2"/>
  <c r="F159" i="2"/>
  <c r="G159" i="2"/>
  <c r="H159" i="2"/>
  <c r="I159" i="2"/>
  <c r="J159" i="2"/>
  <c r="K159" i="2"/>
  <c r="L159" i="2"/>
  <c r="M159" i="2"/>
  <c r="N159" i="2"/>
  <c r="P159" i="2"/>
  <c r="Q159" i="2"/>
  <c r="R159" i="2"/>
  <c r="S159" i="2"/>
  <c r="T159" i="2"/>
  <c r="U159" i="2"/>
  <c r="V159" i="2"/>
  <c r="W159" i="2"/>
  <c r="O159" i="2"/>
  <c r="E138" i="2"/>
  <c r="F138" i="2"/>
  <c r="G138" i="2"/>
  <c r="H138" i="2"/>
  <c r="I138" i="2"/>
  <c r="J138" i="2"/>
  <c r="K138" i="2"/>
  <c r="L138" i="2"/>
  <c r="M138" i="2"/>
  <c r="N138" i="2"/>
  <c r="P138" i="2"/>
  <c r="Q138" i="2"/>
  <c r="R138" i="2"/>
  <c r="S138" i="2"/>
  <c r="T138" i="2"/>
  <c r="U138" i="2"/>
  <c r="V138" i="2"/>
  <c r="W138" i="2"/>
  <c r="AE160" i="2"/>
  <c r="B116" i="2"/>
  <c r="Y159" i="2" l="1"/>
  <c r="Z138" i="2"/>
  <c r="I29" i="4"/>
  <c r="O62" i="4"/>
  <c r="O51" i="4"/>
  <c r="F29" i="4"/>
  <c r="L29" i="4"/>
  <c r="D29" i="4"/>
  <c r="G29" i="4"/>
  <c r="O50" i="4"/>
  <c r="O72" i="4"/>
  <c r="S52" i="4"/>
  <c r="S63" i="4"/>
  <c r="O61" i="4"/>
  <c r="H29" i="4"/>
  <c r="M29" i="4"/>
  <c r="O73" i="4"/>
  <c r="C29" i="4"/>
  <c r="K29" i="4"/>
  <c r="Q52" i="4"/>
  <c r="Q63" i="4"/>
  <c r="O84" i="4"/>
  <c r="J29" i="4"/>
  <c r="R52" i="4"/>
  <c r="R63" i="4"/>
  <c r="O83" i="4"/>
  <c r="Q85" i="4"/>
  <c r="S85" i="4"/>
  <c r="R85" i="4"/>
  <c r="R74" i="4"/>
  <c r="Q74" i="4"/>
  <c r="S74" i="4"/>
  <c r="O40" i="4"/>
  <c r="Q27" i="4"/>
  <c r="R27" i="4"/>
  <c r="E29" i="4"/>
  <c r="O39" i="4"/>
  <c r="Q41" i="4"/>
  <c r="R41" i="4"/>
  <c r="S41" i="4"/>
  <c r="N29" i="4"/>
  <c r="Q28" i="4"/>
  <c r="R28" i="4"/>
  <c r="S27" i="4"/>
  <c r="S28" i="4"/>
  <c r="AA159" i="2"/>
  <c r="Z159" i="2"/>
  <c r="X159" i="2" s="1"/>
  <c r="AA138" i="2"/>
  <c r="Y138" i="2"/>
  <c r="O137" i="2"/>
  <c r="O85" i="4" l="1"/>
  <c r="P85" i="4" s="1"/>
  <c r="O52" i="4"/>
  <c r="P52" i="4" s="1"/>
  <c r="O74" i="4"/>
  <c r="P74" i="4" s="1"/>
  <c r="O63" i="4"/>
  <c r="P63" i="4" s="1"/>
  <c r="O27" i="4"/>
  <c r="O41" i="4"/>
  <c r="P41" i="4" s="1"/>
  <c r="S29" i="4"/>
  <c r="R29" i="4"/>
  <c r="Q29" i="4"/>
  <c r="O28" i="4"/>
  <c r="AE139" i="2"/>
  <c r="X138" i="2" s="1"/>
  <c r="O29" i="4" l="1"/>
  <c r="P29" i="4" s="1"/>
  <c r="X36" i="10"/>
  <c r="Y36" i="10"/>
  <c r="Z36" i="10"/>
  <c r="AA36" i="10"/>
  <c r="AB36" i="10"/>
  <c r="AC36" i="10"/>
  <c r="AD36" i="10"/>
  <c r="AE36" i="10"/>
  <c r="AF36" i="10"/>
  <c r="AG36" i="10"/>
  <c r="AH36" i="10"/>
  <c r="AI36" i="10"/>
  <c r="AJ36" i="10"/>
  <c r="AK36" i="10"/>
  <c r="AL36" i="10"/>
  <c r="AM36" i="10"/>
  <c r="AN36" i="10"/>
  <c r="AO36" i="10"/>
  <c r="AP36" i="10"/>
  <c r="AQ36" i="10"/>
  <c r="AR36" i="10"/>
  <c r="AS36" i="10"/>
  <c r="AT36" i="10"/>
  <c r="AU36" i="10"/>
  <c r="AV36" i="10"/>
  <c r="AW36" i="10"/>
  <c r="AX36" i="10"/>
  <c r="AY36" i="10"/>
  <c r="AZ36" i="10"/>
  <c r="BA36" i="10"/>
  <c r="BB36" i="10"/>
  <c r="BC36" i="10"/>
  <c r="BD36" i="10"/>
  <c r="BE36" i="10"/>
  <c r="BF36" i="10"/>
  <c r="BG36" i="10"/>
  <c r="BH36" i="10"/>
  <c r="BI36" i="10"/>
  <c r="BJ36" i="10"/>
  <c r="BK36" i="10"/>
  <c r="BL36" i="10"/>
  <c r="P35" i="10" l="1"/>
  <c r="P39" i="10" s="1"/>
  <c r="P32" i="10"/>
  <c r="P34" i="10"/>
  <c r="P38" i="10" s="1"/>
  <c r="P33" i="10"/>
  <c r="M33" i="10"/>
  <c r="M32" i="10"/>
  <c r="M34" i="10"/>
  <c r="M38" i="10" s="1"/>
  <c r="BK34" i="10"/>
  <c r="BK38" i="10" s="1"/>
  <c r="BK33" i="10"/>
  <c r="BK32" i="10"/>
  <c r="H32" i="10"/>
  <c r="H33" i="10"/>
  <c r="H35" i="10"/>
  <c r="H39" i="10" s="1"/>
  <c r="H34" i="10"/>
  <c r="H38" i="10" s="1"/>
  <c r="E34" i="10"/>
  <c r="E38" i="10" s="1"/>
  <c r="E33" i="10"/>
  <c r="E32" i="10"/>
  <c r="F33" i="10"/>
  <c r="E42" i="10"/>
  <c r="I42" i="10" s="1"/>
  <c r="F32" i="10"/>
  <c r="F34" i="10"/>
  <c r="F38" i="10" s="1"/>
  <c r="E35" i="10" l="1"/>
  <c r="E39" i="10" s="1"/>
  <c r="E41" i="10" s="1"/>
  <c r="I21" i="10" s="1"/>
  <c r="BK35" i="10"/>
  <c r="BK39" i="10" s="1"/>
  <c r="BK41" i="10" s="1"/>
  <c r="P41" i="10"/>
  <c r="M35" i="10"/>
  <c r="M39" i="10" s="1"/>
  <c r="M41" i="10" s="1"/>
  <c r="H41" i="10"/>
  <c r="F35" i="10"/>
  <c r="F39" i="10" s="1"/>
  <c r="F41" i="10" s="1"/>
  <c r="O82" i="4" l="1"/>
  <c r="O80" i="4"/>
  <c r="O71" i="4"/>
  <c r="O69" i="4"/>
  <c r="O60" i="4"/>
  <c r="O58" i="4"/>
  <c r="O49" i="4"/>
  <c r="O38" i="4"/>
  <c r="P26" i="4"/>
  <c r="O36" i="4"/>
  <c r="K36" i="10"/>
  <c r="L36" i="10"/>
  <c r="M36" i="10"/>
  <c r="N36" i="10"/>
  <c r="O36" i="10"/>
  <c r="P36" i="10"/>
  <c r="Q36" i="10"/>
  <c r="R36" i="10"/>
  <c r="S36" i="10"/>
  <c r="T36" i="10"/>
  <c r="U36" i="10"/>
  <c r="V36" i="10"/>
  <c r="W36" i="10"/>
  <c r="J51" i="5" l="1"/>
  <c r="J50" i="5"/>
  <c r="J40" i="5"/>
  <c r="J39" i="5"/>
  <c r="J29" i="5"/>
  <c r="J28" i="5"/>
  <c r="K51" i="5"/>
  <c r="P38" i="4"/>
  <c r="P39" i="4" s="1"/>
  <c r="L7" i="5"/>
  <c r="J10" i="5"/>
  <c r="J7" i="5"/>
  <c r="J9" i="5"/>
  <c r="J6" i="5"/>
  <c r="P82" i="4"/>
  <c r="J52" i="5"/>
  <c r="P71" i="4"/>
  <c r="P60" i="4"/>
  <c r="P49" i="4"/>
  <c r="P50" i="4" s="1"/>
  <c r="P47" i="4" s="1"/>
  <c r="P27" i="4"/>
  <c r="W75" i="5"/>
  <c r="V75" i="5"/>
  <c r="W74" i="5"/>
  <c r="V74" i="5"/>
  <c r="W73" i="5"/>
  <c r="V73" i="5"/>
  <c r="W72" i="5"/>
  <c r="V72" i="5"/>
  <c r="W71" i="5"/>
  <c r="V71" i="5"/>
  <c r="W70" i="5"/>
  <c r="V70" i="5"/>
  <c r="W69" i="5"/>
  <c r="V69" i="5"/>
  <c r="W68" i="5"/>
  <c r="V68" i="5"/>
  <c r="W67" i="5"/>
  <c r="V67" i="5"/>
  <c r="W66" i="5"/>
  <c r="V66" i="5"/>
  <c r="W56" i="5"/>
  <c r="V56" i="5"/>
  <c r="W50" i="5"/>
  <c r="V50" i="5"/>
  <c r="W49" i="5"/>
  <c r="V49" i="5"/>
  <c r="W48" i="5"/>
  <c r="V48" i="5"/>
  <c r="W47" i="5"/>
  <c r="V47" i="5"/>
  <c r="W46" i="5"/>
  <c r="V46" i="5"/>
  <c r="W45" i="5"/>
  <c r="V45" i="5"/>
  <c r="W44" i="5"/>
  <c r="V44" i="5"/>
  <c r="W43" i="5"/>
  <c r="V43" i="5"/>
  <c r="W42" i="5"/>
  <c r="V42" i="5"/>
  <c r="W41" i="5"/>
  <c r="V41" i="5"/>
  <c r="O50" i="5"/>
  <c r="O49" i="5"/>
  <c r="O48" i="5"/>
  <c r="O47" i="5"/>
  <c r="O46" i="5"/>
  <c r="O45" i="5"/>
  <c r="O44" i="5"/>
  <c r="O43" i="5"/>
  <c r="O42" i="5"/>
  <c r="O41" i="5"/>
  <c r="O75" i="5"/>
  <c r="O74" i="5"/>
  <c r="O73" i="5"/>
  <c r="O72" i="5"/>
  <c r="O71" i="5"/>
  <c r="O70" i="5"/>
  <c r="O69" i="5"/>
  <c r="O68" i="5"/>
  <c r="O67" i="5"/>
  <c r="O66" i="5"/>
  <c r="O65" i="5"/>
  <c r="P83" i="4" l="1"/>
  <c r="P80" i="4" s="1"/>
  <c r="P36" i="4"/>
  <c r="P24" i="4"/>
  <c r="P61" i="4"/>
  <c r="P58" i="4" s="1"/>
  <c r="P72" i="4"/>
  <c r="P69" i="4" s="1"/>
  <c r="X47" i="5"/>
  <c r="P66" i="5"/>
  <c r="P65" i="5"/>
  <c r="AC75" i="5"/>
  <c r="AB75" i="5"/>
  <c r="Z75" i="5"/>
  <c r="Y75" i="5"/>
  <c r="T75" i="5"/>
  <c r="S75" i="5"/>
  <c r="Q75" i="5"/>
  <c r="P75" i="5"/>
  <c r="AC50" i="5"/>
  <c r="AB50" i="5"/>
  <c r="Z50" i="5"/>
  <c r="Y50" i="5"/>
  <c r="T50" i="5"/>
  <c r="S50" i="5"/>
  <c r="Q50" i="5"/>
  <c r="P50" i="5"/>
  <c r="AC49" i="5"/>
  <c r="AB49" i="5"/>
  <c r="Z49" i="5"/>
  <c r="Y49" i="5"/>
  <c r="T49" i="5"/>
  <c r="S49" i="5"/>
  <c r="Q49" i="5"/>
  <c r="P49" i="5"/>
  <c r="AC74" i="5"/>
  <c r="AB74" i="5"/>
  <c r="Z74" i="5"/>
  <c r="Y74" i="5"/>
  <c r="T74" i="5"/>
  <c r="S74" i="5"/>
  <c r="Q74" i="5"/>
  <c r="P74" i="5"/>
  <c r="AC73" i="5"/>
  <c r="AB73" i="5"/>
  <c r="Z73" i="5"/>
  <c r="Y73" i="5"/>
  <c r="T73" i="5"/>
  <c r="S73" i="5"/>
  <c r="Q73" i="5"/>
  <c r="P73" i="5"/>
  <c r="AC48" i="5"/>
  <c r="AB48" i="5"/>
  <c r="Z48" i="5"/>
  <c r="Y48" i="5"/>
  <c r="T48" i="5"/>
  <c r="S48" i="5"/>
  <c r="Q48" i="5"/>
  <c r="P48" i="5"/>
  <c r="AC47" i="5"/>
  <c r="AB47" i="5"/>
  <c r="Z47" i="5"/>
  <c r="Y47" i="5"/>
  <c r="T47" i="5"/>
  <c r="S47" i="5"/>
  <c r="Q47" i="5"/>
  <c r="P47" i="5"/>
  <c r="AC72" i="5"/>
  <c r="AB72" i="5"/>
  <c r="Z72" i="5"/>
  <c r="Y72" i="5"/>
  <c r="T72" i="5"/>
  <c r="S72" i="5"/>
  <c r="Q72" i="5"/>
  <c r="P72" i="5"/>
  <c r="AC71" i="5"/>
  <c r="AB71" i="5"/>
  <c r="Z71" i="5"/>
  <c r="Y71" i="5"/>
  <c r="T71" i="5"/>
  <c r="S71" i="5"/>
  <c r="Q71" i="5"/>
  <c r="P71" i="5"/>
  <c r="AC46" i="5"/>
  <c r="AB46" i="5"/>
  <c r="Z46" i="5"/>
  <c r="Y46" i="5"/>
  <c r="T46" i="5"/>
  <c r="S46" i="5"/>
  <c r="Q46" i="5"/>
  <c r="P46" i="5"/>
  <c r="AC45" i="5"/>
  <c r="AB45" i="5"/>
  <c r="Z45" i="5"/>
  <c r="Y45" i="5"/>
  <c r="T45" i="5"/>
  <c r="S45" i="5"/>
  <c r="Q45" i="5"/>
  <c r="P45" i="5"/>
  <c r="AC70" i="5"/>
  <c r="AB70" i="5"/>
  <c r="Z70" i="5"/>
  <c r="Y70" i="5"/>
  <c r="T70" i="5"/>
  <c r="S70" i="5"/>
  <c r="Q70" i="5"/>
  <c r="P70" i="5"/>
  <c r="AC69" i="5"/>
  <c r="AB69" i="5"/>
  <c r="Z69" i="5"/>
  <c r="Y69" i="5"/>
  <c r="T69" i="5"/>
  <c r="S69" i="5"/>
  <c r="Q69" i="5"/>
  <c r="P69" i="5"/>
  <c r="AC44" i="5"/>
  <c r="AB44" i="5"/>
  <c r="Z44" i="5"/>
  <c r="Y44" i="5"/>
  <c r="T44" i="5"/>
  <c r="S44" i="5"/>
  <c r="Q44" i="5"/>
  <c r="P44" i="5"/>
  <c r="AC43" i="5"/>
  <c r="AB43" i="5"/>
  <c r="Z43" i="5"/>
  <c r="Y43" i="5"/>
  <c r="T43" i="5"/>
  <c r="S43" i="5"/>
  <c r="Q43" i="5"/>
  <c r="P43" i="5"/>
  <c r="AC68" i="5"/>
  <c r="AB68" i="5"/>
  <c r="Z68" i="5"/>
  <c r="Y68" i="5"/>
  <c r="T68" i="5"/>
  <c r="S68" i="5"/>
  <c r="Q68" i="5"/>
  <c r="P68" i="5"/>
  <c r="AC67" i="5"/>
  <c r="AB67" i="5"/>
  <c r="Z67" i="5"/>
  <c r="Y67" i="5"/>
  <c r="T67" i="5"/>
  <c r="S67" i="5"/>
  <c r="Q67" i="5"/>
  <c r="P67" i="5"/>
  <c r="AC42" i="5"/>
  <c r="AB42" i="5"/>
  <c r="Z42" i="5"/>
  <c r="Y42" i="5"/>
  <c r="T42" i="5"/>
  <c r="S42" i="5"/>
  <c r="Q42" i="5"/>
  <c r="P42" i="5"/>
  <c r="AC41" i="5"/>
  <c r="AB41" i="5"/>
  <c r="Z41" i="5"/>
  <c r="Y41" i="5"/>
  <c r="T41" i="5"/>
  <c r="S41" i="5"/>
  <c r="Q41" i="5"/>
  <c r="P41" i="5"/>
  <c r="AC66" i="5"/>
  <c r="AB66" i="5"/>
  <c r="Z66" i="5"/>
  <c r="Y66" i="5"/>
  <c r="T66" i="5"/>
  <c r="S66" i="5"/>
  <c r="Q66" i="5"/>
  <c r="X144" i="2"/>
  <c r="W156" i="2"/>
  <c r="N156" i="2"/>
  <c r="O156" i="2"/>
  <c r="P156" i="2"/>
  <c r="Q156" i="2"/>
  <c r="R156" i="2"/>
  <c r="S156" i="2"/>
  <c r="T156" i="2"/>
  <c r="U156" i="2"/>
  <c r="V156" i="2"/>
  <c r="N157" i="2"/>
  <c r="O157" i="2"/>
  <c r="P157" i="2"/>
  <c r="Q157" i="2"/>
  <c r="R157" i="2"/>
  <c r="S157" i="2"/>
  <c r="T157" i="2"/>
  <c r="U157" i="2"/>
  <c r="V157" i="2"/>
  <c r="W157" i="2"/>
  <c r="X123" i="2"/>
  <c r="N135" i="2"/>
  <c r="P135" i="2"/>
  <c r="Q135" i="2"/>
  <c r="R135" i="2"/>
  <c r="S135" i="2"/>
  <c r="T135" i="2"/>
  <c r="U135" i="2"/>
  <c r="V135" i="2"/>
  <c r="W135" i="2"/>
  <c r="W137" i="2" s="1"/>
  <c r="N136" i="2"/>
  <c r="P136" i="2"/>
  <c r="Q136" i="2"/>
  <c r="R136" i="2"/>
  <c r="S136" i="2"/>
  <c r="T136" i="2"/>
  <c r="U136" i="2"/>
  <c r="V136" i="2"/>
  <c r="W136" i="2"/>
  <c r="AC62" i="2"/>
  <c r="AC60" i="2"/>
  <c r="AC59" i="2"/>
  <c r="AC57" i="2"/>
  <c r="AC56" i="2"/>
  <c r="AC54" i="2"/>
  <c r="AB63" i="2"/>
  <c r="AB62" i="2"/>
  <c r="AB59" i="2"/>
  <c r="N49" i="2"/>
  <c r="N56" i="2" s="1"/>
  <c r="O49" i="2"/>
  <c r="O56" i="2" s="1"/>
  <c r="P49" i="2"/>
  <c r="P56" i="2" s="1"/>
  <c r="Q49" i="2"/>
  <c r="Q56" i="2" s="1"/>
  <c r="R49" i="2"/>
  <c r="R56" i="2" s="1"/>
  <c r="S49" i="2"/>
  <c r="S56" i="2" s="1"/>
  <c r="T49" i="2"/>
  <c r="T56" i="2" s="1"/>
  <c r="U49" i="2"/>
  <c r="U56" i="2" s="1"/>
  <c r="V49" i="2"/>
  <c r="V56" i="2" s="1"/>
  <c r="W49" i="2"/>
  <c r="W56" i="2" s="1"/>
  <c r="N57" i="2"/>
  <c r="N58" i="2" s="1"/>
  <c r="O57" i="2"/>
  <c r="O58" i="2" s="1"/>
  <c r="P57" i="2"/>
  <c r="P58" i="2" s="1"/>
  <c r="R57" i="2"/>
  <c r="R58" i="2" s="1"/>
  <c r="S57" i="2"/>
  <c r="S58" i="2" s="1"/>
  <c r="T57" i="2"/>
  <c r="T58" i="2" s="1"/>
  <c r="U57" i="2"/>
  <c r="U58" i="2" s="1"/>
  <c r="V57" i="2"/>
  <c r="V58" i="2" s="1"/>
  <c r="W57" i="2"/>
  <c r="W58" i="2" s="1"/>
  <c r="F36" i="10"/>
  <c r="G36" i="10"/>
  <c r="H36" i="10"/>
  <c r="I36" i="10"/>
  <c r="AA73" i="5" l="1"/>
  <c r="Q158" i="2"/>
  <c r="R74" i="5"/>
  <c r="R158" i="2"/>
  <c r="U72" i="5"/>
  <c r="X75" i="5"/>
  <c r="U75" i="5"/>
  <c r="AD68" i="5"/>
  <c r="AA42" i="5"/>
  <c r="AD43" i="5"/>
  <c r="AD45" i="5"/>
  <c r="V137" i="2"/>
  <c r="P137" i="2"/>
  <c r="T158" i="2"/>
  <c r="P158" i="2"/>
  <c r="U158" i="2"/>
  <c r="V158" i="2"/>
  <c r="N158" i="2"/>
  <c r="AA74" i="5"/>
  <c r="Q137" i="2"/>
  <c r="AD44" i="5"/>
  <c r="AD46" i="5"/>
  <c r="N137" i="2"/>
  <c r="U137" i="2"/>
  <c r="X46" i="5"/>
  <c r="S137" i="2"/>
  <c r="X73" i="5"/>
  <c r="R73" i="5"/>
  <c r="AA66" i="5"/>
  <c r="U67" i="5"/>
  <c r="AD70" i="5"/>
  <c r="X48" i="5"/>
  <c r="R41" i="5"/>
  <c r="R45" i="5"/>
  <c r="AD49" i="5"/>
  <c r="R50" i="5"/>
  <c r="X49" i="5"/>
  <c r="AA75" i="5"/>
  <c r="R75" i="5"/>
  <c r="X50" i="5"/>
  <c r="U50" i="5"/>
  <c r="AA49" i="5"/>
  <c r="AD73" i="5"/>
  <c r="AD48" i="5"/>
  <c r="AA48" i="5"/>
  <c r="U48" i="5"/>
  <c r="AD47" i="5"/>
  <c r="AA47" i="5"/>
  <c r="R47" i="5"/>
  <c r="AD72" i="5"/>
  <c r="R72" i="5"/>
  <c r="U71" i="5"/>
  <c r="AA46" i="5"/>
  <c r="AA45" i="5"/>
  <c r="X45" i="5"/>
  <c r="U45" i="5"/>
  <c r="AA70" i="5"/>
  <c r="X70" i="5"/>
  <c r="U70" i="5"/>
  <c r="X69" i="5"/>
  <c r="R44" i="5"/>
  <c r="AA43" i="5"/>
  <c r="X43" i="5"/>
  <c r="U43" i="5"/>
  <c r="R43" i="5"/>
  <c r="AD67" i="5"/>
  <c r="R67" i="5"/>
  <c r="U42" i="5"/>
  <c r="R42" i="5"/>
  <c r="AD41" i="5"/>
  <c r="X41" i="5"/>
  <c r="X66" i="5"/>
  <c r="U66" i="5"/>
  <c r="R66" i="5"/>
  <c r="X72" i="5"/>
  <c r="AD71" i="5"/>
  <c r="R71" i="5"/>
  <c r="X74" i="5"/>
  <c r="X71" i="5"/>
  <c r="X68" i="5"/>
  <c r="AA67" i="5"/>
  <c r="AD66" i="5"/>
  <c r="AD69" i="5"/>
  <c r="R69" i="5"/>
  <c r="U68" i="5"/>
  <c r="X67" i="5"/>
  <c r="S158" i="2"/>
  <c r="AD75" i="5"/>
  <c r="AA72" i="5"/>
  <c r="R70" i="5"/>
  <c r="R68" i="5"/>
  <c r="U73" i="5"/>
  <c r="U69" i="5"/>
  <c r="AA68" i="5"/>
  <c r="O158" i="2"/>
  <c r="U74" i="5"/>
  <c r="AD74" i="5"/>
  <c r="AA71" i="5"/>
  <c r="AA69" i="5"/>
  <c r="W158" i="2"/>
  <c r="T137" i="2"/>
  <c r="R46" i="5"/>
  <c r="AA50" i="5"/>
  <c r="U49" i="5"/>
  <c r="R48" i="5"/>
  <c r="U47" i="5"/>
  <c r="AA44" i="5"/>
  <c r="X42" i="5"/>
  <c r="U41" i="5"/>
  <c r="X44" i="5"/>
  <c r="R49" i="5"/>
  <c r="U44" i="5"/>
  <c r="AA41" i="5"/>
  <c r="AD50" i="5"/>
  <c r="U46" i="5"/>
  <c r="AD42" i="5"/>
  <c r="R137" i="2"/>
  <c r="D135" i="2"/>
  <c r="D156" i="2"/>
  <c r="E156" i="2"/>
  <c r="F156" i="2"/>
  <c r="G156" i="2"/>
  <c r="H156" i="2"/>
  <c r="I156" i="2"/>
  <c r="K156" i="2"/>
  <c r="L156" i="2"/>
  <c r="M156" i="2"/>
  <c r="J156" i="2"/>
  <c r="E136" i="2"/>
  <c r="F136" i="2"/>
  <c r="G136" i="2"/>
  <c r="H136" i="2"/>
  <c r="I136" i="2"/>
  <c r="J136" i="2"/>
  <c r="K136" i="2"/>
  <c r="L136" i="2"/>
  <c r="M136" i="2"/>
  <c r="D136" i="2"/>
  <c r="E135" i="2"/>
  <c r="F135" i="2"/>
  <c r="G135" i="2"/>
  <c r="H135" i="2"/>
  <c r="I135" i="2"/>
  <c r="J135" i="2"/>
  <c r="K135" i="2"/>
  <c r="L135" i="2"/>
  <c r="M135" i="2"/>
  <c r="E157" i="2"/>
  <c r="F157" i="2"/>
  <c r="G157" i="2"/>
  <c r="H157" i="2"/>
  <c r="I157" i="2"/>
  <c r="J157" i="2"/>
  <c r="K157" i="2"/>
  <c r="L157" i="2"/>
  <c r="M157" i="2"/>
  <c r="D157" i="2"/>
  <c r="AB31" i="5"/>
  <c r="V32" i="5"/>
  <c r="S31" i="5"/>
  <c r="P31" i="5"/>
  <c r="O31" i="5"/>
  <c r="P32" i="5"/>
  <c r="AA156" i="2" l="1"/>
  <c r="AB157" i="2"/>
  <c r="AD156" i="2"/>
  <c r="AC136" i="2"/>
  <c r="Y136" i="2"/>
  <c r="Z136" i="2"/>
  <c r="AA136" i="2"/>
  <c r="AB136" i="2"/>
  <c r="AD136" i="2"/>
  <c r="AC157" i="2"/>
  <c r="Y157" i="2"/>
  <c r="AC156" i="2"/>
  <c r="AD157" i="2"/>
  <c r="Y156" i="2"/>
  <c r="Z157" i="2"/>
  <c r="Y135" i="2"/>
  <c r="AB135" i="2"/>
  <c r="Z135" i="2"/>
  <c r="AC135" i="2"/>
  <c r="AD135" i="2"/>
  <c r="AA135" i="2"/>
  <c r="AB156" i="2"/>
  <c r="AA157" i="2"/>
  <c r="AA139" i="2"/>
  <c r="Z156" i="2"/>
  <c r="Z139" i="2"/>
  <c r="Y139" i="2"/>
  <c r="Z160" i="2"/>
  <c r="Y160" i="2"/>
  <c r="AA160" i="2"/>
  <c r="G137" i="2"/>
  <c r="U152" i="2"/>
  <c r="R131" i="2"/>
  <c r="R132" i="2" s="1"/>
  <c r="W152" i="2"/>
  <c r="V152" i="2"/>
  <c r="T152" i="2"/>
  <c r="S152" i="2"/>
  <c r="R152" i="2"/>
  <c r="P152" i="2"/>
  <c r="O152" i="2"/>
  <c r="N152" i="2"/>
  <c r="S131" i="2"/>
  <c r="S132" i="2" s="1"/>
  <c r="T131" i="2"/>
  <c r="T132" i="2" s="1"/>
  <c r="O131" i="2"/>
  <c r="O132" i="2" s="1"/>
  <c r="Q152" i="2"/>
  <c r="P131" i="2"/>
  <c r="P132" i="2" s="1"/>
  <c r="N131" i="2"/>
  <c r="N132" i="2" s="1"/>
  <c r="Q131" i="2"/>
  <c r="Q132" i="2" s="1"/>
  <c r="U131" i="2"/>
  <c r="U132" i="2" s="1"/>
  <c r="W131" i="2"/>
  <c r="W132" i="2" s="1"/>
  <c r="V131" i="2"/>
  <c r="V132" i="2" s="1"/>
  <c r="AA64" i="2"/>
  <c r="Z64" i="2"/>
  <c r="Y64" i="2"/>
  <c r="AA59" i="2"/>
  <c r="Z59" i="2"/>
  <c r="Y59" i="2"/>
  <c r="X59" i="2" s="1"/>
  <c r="K137" i="2"/>
  <c r="J137" i="2"/>
  <c r="F158" i="2"/>
  <c r="I137" i="2"/>
  <c r="M137" i="2"/>
  <c r="E137" i="2"/>
  <c r="H158" i="2"/>
  <c r="J158" i="2"/>
  <c r="E158" i="2"/>
  <c r="H137" i="2"/>
  <c r="D137" i="2"/>
  <c r="I158" i="2"/>
  <c r="G158" i="2"/>
  <c r="M158" i="2"/>
  <c r="F137" i="2"/>
  <c r="L137" i="2"/>
  <c r="D158" i="2"/>
  <c r="K158" i="2"/>
  <c r="L158" i="2"/>
  <c r="X64" i="2" l="1"/>
  <c r="X139" i="2"/>
  <c r="X160" i="2"/>
  <c r="Y158" i="2"/>
  <c r="Z158" i="2"/>
  <c r="X158" i="2" s="1"/>
  <c r="AA158" i="2"/>
  <c r="Y137" i="2"/>
  <c r="AA137" i="2"/>
  <c r="Z137" i="2"/>
  <c r="X137" i="2" l="1"/>
  <c r="Z38" i="2"/>
  <c r="X38" i="2" s="1"/>
  <c r="AA38" i="2"/>
  <c r="P40" i="5"/>
  <c r="P39" i="5"/>
  <c r="P38" i="5"/>
  <c r="P37" i="5"/>
  <c r="P36" i="5"/>
  <c r="P35" i="5"/>
  <c r="P33" i="5"/>
  <c r="AC65" i="5"/>
  <c r="AB65" i="5"/>
  <c r="Z65" i="5"/>
  <c r="Y65" i="5"/>
  <c r="W65" i="5"/>
  <c r="V65" i="5"/>
  <c r="T65" i="5"/>
  <c r="S65" i="5"/>
  <c r="Q65" i="5"/>
  <c r="AC64" i="5"/>
  <c r="AB64" i="5"/>
  <c r="Z64" i="5"/>
  <c r="Y64" i="5"/>
  <c r="W64" i="5"/>
  <c r="V64" i="5"/>
  <c r="T64" i="5"/>
  <c r="S64" i="5"/>
  <c r="Q64" i="5"/>
  <c r="P64" i="5"/>
  <c r="AC63" i="5"/>
  <c r="AB63" i="5"/>
  <c r="Z63" i="5"/>
  <c r="Y63" i="5"/>
  <c r="W63" i="5"/>
  <c r="V63" i="5"/>
  <c r="T63" i="5"/>
  <c r="S63" i="5"/>
  <c r="Q63" i="5"/>
  <c r="P63" i="5"/>
  <c r="AC62" i="5"/>
  <c r="AB62" i="5"/>
  <c r="Z62" i="5"/>
  <c r="Y62" i="5"/>
  <c r="W62" i="5"/>
  <c r="V62" i="5"/>
  <c r="T62" i="5"/>
  <c r="S62" i="5"/>
  <c r="Q62" i="5"/>
  <c r="P62" i="5"/>
  <c r="AC61" i="5"/>
  <c r="AB61" i="5"/>
  <c r="Z61" i="5"/>
  <c r="Y61" i="5"/>
  <c r="W61" i="5"/>
  <c r="V61" i="5"/>
  <c r="T61" i="5"/>
  <c r="S61" i="5"/>
  <c r="Q61" i="5"/>
  <c r="P61" i="5"/>
  <c r="AC60" i="5"/>
  <c r="AB60" i="5"/>
  <c r="Z60" i="5"/>
  <c r="Y60" i="5"/>
  <c r="W60" i="5"/>
  <c r="V60" i="5"/>
  <c r="T60" i="5"/>
  <c r="S60" i="5"/>
  <c r="Q60" i="5"/>
  <c r="P60" i="5"/>
  <c r="AC59" i="5"/>
  <c r="AB59" i="5"/>
  <c r="Z59" i="5"/>
  <c r="Y59" i="5"/>
  <c r="W59" i="5"/>
  <c r="V59" i="5"/>
  <c r="T59" i="5"/>
  <c r="S59" i="5"/>
  <c r="Q59" i="5"/>
  <c r="P59" i="5"/>
  <c r="AC58" i="5"/>
  <c r="AB58" i="5"/>
  <c r="Z58" i="5"/>
  <c r="Y58" i="5"/>
  <c r="W58" i="5"/>
  <c r="V58" i="5"/>
  <c r="T58" i="5"/>
  <c r="S58" i="5"/>
  <c r="Q58" i="5"/>
  <c r="P58" i="5"/>
  <c r="AC57" i="5"/>
  <c r="AB57" i="5"/>
  <c r="Z57" i="5"/>
  <c r="Y57" i="5"/>
  <c r="W57" i="5"/>
  <c r="V57" i="5"/>
  <c r="T57" i="5"/>
  <c r="S57" i="5"/>
  <c r="Q57" i="5"/>
  <c r="P57" i="5"/>
  <c r="AC56" i="5"/>
  <c r="AB56" i="5"/>
  <c r="Z56" i="5"/>
  <c r="Y56" i="5"/>
  <c r="T56" i="5"/>
  <c r="S56" i="5"/>
  <c r="Q56" i="5"/>
  <c r="P56" i="5"/>
  <c r="AC40" i="5"/>
  <c r="AB40" i="5"/>
  <c r="Z40" i="5"/>
  <c r="Y40" i="5"/>
  <c r="W40" i="5"/>
  <c r="V40" i="5"/>
  <c r="T40" i="5"/>
  <c r="S40" i="5"/>
  <c r="Q40" i="5"/>
  <c r="AC39" i="5"/>
  <c r="AB39" i="5"/>
  <c r="Z39" i="5"/>
  <c r="Y39" i="5"/>
  <c r="W39" i="5"/>
  <c r="V39" i="5"/>
  <c r="T39" i="5"/>
  <c r="S39" i="5"/>
  <c r="Q39" i="5"/>
  <c r="AC38" i="5"/>
  <c r="AB38" i="5"/>
  <c r="Z38" i="5"/>
  <c r="Y38" i="5"/>
  <c r="W38" i="5"/>
  <c r="V38" i="5"/>
  <c r="T38" i="5"/>
  <c r="S38" i="5"/>
  <c r="Q38" i="5"/>
  <c r="AC37" i="5"/>
  <c r="AB37" i="5"/>
  <c r="Z37" i="5"/>
  <c r="Y37" i="5"/>
  <c r="W37" i="5"/>
  <c r="V37" i="5"/>
  <c r="T37" i="5"/>
  <c r="S37" i="5"/>
  <c r="Q37" i="5"/>
  <c r="AC36" i="5"/>
  <c r="AB36" i="5"/>
  <c r="Z36" i="5"/>
  <c r="Y36" i="5"/>
  <c r="W36" i="5"/>
  <c r="V36" i="5"/>
  <c r="T36" i="5"/>
  <c r="S36" i="5"/>
  <c r="Q36" i="5"/>
  <c r="AC35" i="5"/>
  <c r="AB35" i="5"/>
  <c r="Z35" i="5"/>
  <c r="Y35" i="5"/>
  <c r="W35" i="5"/>
  <c r="V35" i="5"/>
  <c r="T35" i="5"/>
  <c r="S35" i="5"/>
  <c r="Q35" i="5"/>
  <c r="AC34" i="5"/>
  <c r="AB34" i="5"/>
  <c r="Z34" i="5"/>
  <c r="Y34" i="5"/>
  <c r="W34" i="5"/>
  <c r="V34" i="5"/>
  <c r="T34" i="5"/>
  <c r="S34" i="5"/>
  <c r="Q34" i="5"/>
  <c r="P34" i="5"/>
  <c r="AC33" i="5"/>
  <c r="AB33" i="5"/>
  <c r="Z33" i="5"/>
  <c r="Y33" i="5"/>
  <c r="W33" i="5"/>
  <c r="V33" i="5"/>
  <c r="T33" i="5"/>
  <c r="S33" i="5"/>
  <c r="Q33" i="5"/>
  <c r="AC32" i="5"/>
  <c r="AB32" i="5"/>
  <c r="Z32" i="5"/>
  <c r="Y32" i="5"/>
  <c r="W32" i="5"/>
  <c r="T32" i="5"/>
  <c r="S32" i="5"/>
  <c r="Q32" i="5"/>
  <c r="AC31" i="5"/>
  <c r="Z31" i="5"/>
  <c r="Y31" i="5"/>
  <c r="W31" i="5"/>
  <c r="V31" i="5"/>
  <c r="T31" i="5"/>
  <c r="Q31" i="5"/>
  <c r="AA54" i="2" l="1"/>
  <c r="Y54" i="2"/>
  <c r="X54" i="2" s="1"/>
  <c r="Z54" i="2"/>
  <c r="AA63" i="2"/>
  <c r="Z63" i="2"/>
  <c r="Y63" i="2"/>
  <c r="Z60" i="2"/>
  <c r="AA60" i="2"/>
  <c r="Y60" i="2"/>
  <c r="Y61" i="2"/>
  <c r="AA61" i="2"/>
  <c r="Z61" i="2"/>
  <c r="Z62" i="2"/>
  <c r="Y62" i="2"/>
  <c r="X61" i="2" l="1"/>
  <c r="X63" i="2"/>
  <c r="E57" i="2"/>
  <c r="E58" i="2" s="1"/>
  <c r="F57" i="2"/>
  <c r="F58" i="2" s="1"/>
  <c r="G57" i="2"/>
  <c r="G58" i="2" s="1"/>
  <c r="H57" i="2"/>
  <c r="H58" i="2" s="1"/>
  <c r="I57" i="2"/>
  <c r="I58" i="2" s="1"/>
  <c r="J57" i="2"/>
  <c r="J58" i="2" s="1"/>
  <c r="K57" i="2"/>
  <c r="K58" i="2" s="1"/>
  <c r="L57" i="2"/>
  <c r="L58" i="2" s="1"/>
  <c r="M57" i="2"/>
  <c r="M58" i="2" s="1"/>
  <c r="AA57" i="2" l="1"/>
  <c r="Y57" i="2"/>
  <c r="X57" i="2" s="1"/>
  <c r="Z57" i="2"/>
  <c r="I29" i="17"/>
  <c r="F33" i="17" l="1"/>
  <c r="B37" i="4" l="1"/>
  <c r="F23" i="17" l="1"/>
  <c r="F24" i="17" s="1"/>
  <c r="H49" i="2"/>
  <c r="H56" i="2" s="1"/>
  <c r="E49" i="2"/>
  <c r="E56" i="2" s="1"/>
  <c r="F34" i="17" l="1"/>
  <c r="I14" i="17" s="1"/>
  <c r="O40" i="5" l="1"/>
  <c r="O39" i="5"/>
  <c r="O38" i="5"/>
  <c r="O37" i="5"/>
  <c r="O36" i="5"/>
  <c r="O35" i="5"/>
  <c r="O34" i="5"/>
  <c r="O33" i="5"/>
  <c r="O32" i="5"/>
  <c r="O64" i="5" l="1"/>
  <c r="O63" i="5"/>
  <c r="O62" i="5"/>
  <c r="O61" i="5"/>
  <c r="O60" i="5"/>
  <c r="O59" i="5"/>
  <c r="O58" i="5"/>
  <c r="O57" i="5"/>
  <c r="O56" i="5"/>
  <c r="R65" i="5" l="1"/>
  <c r="X32" i="5"/>
  <c r="AD32" i="5"/>
  <c r="X34" i="5"/>
  <c r="AD34" i="5"/>
  <c r="X38" i="5"/>
  <c r="AD38" i="5"/>
  <c r="X40" i="5"/>
  <c r="AD40" i="5"/>
  <c r="AA34" i="5"/>
  <c r="AD59" i="5"/>
  <c r="R63" i="5"/>
  <c r="AD63" i="5"/>
  <c r="R58" i="5"/>
  <c r="AD58" i="5"/>
  <c r="R62" i="5"/>
  <c r="AD62" i="5"/>
  <c r="R56" i="5"/>
  <c r="AD56" i="5"/>
  <c r="R60" i="5"/>
  <c r="AD60" i="5"/>
  <c r="AA63" i="5"/>
  <c r="R59" i="5"/>
  <c r="AA59" i="5"/>
  <c r="U35" i="5"/>
  <c r="X65" i="5"/>
  <c r="AD65" i="5"/>
  <c r="R64" i="5"/>
  <c r="AD64" i="5"/>
  <c r="AA58" i="5"/>
  <c r="AA62" i="5"/>
  <c r="AA65" i="5"/>
  <c r="AA57" i="5"/>
  <c r="AA61" i="5"/>
  <c r="AA56" i="5"/>
  <c r="R57" i="5"/>
  <c r="AD57" i="5"/>
  <c r="AA60" i="5"/>
  <c r="R61" i="5"/>
  <c r="AD61" i="5"/>
  <c r="AA64" i="5"/>
  <c r="U39" i="5"/>
  <c r="AA40" i="5"/>
  <c r="AA38" i="5"/>
  <c r="AA32" i="5"/>
  <c r="X36" i="5"/>
  <c r="AD36" i="5"/>
  <c r="AA36" i="5"/>
  <c r="R32" i="5"/>
  <c r="U37" i="5"/>
  <c r="U33" i="5"/>
  <c r="U31" i="5"/>
  <c r="X56" i="5"/>
  <c r="X57" i="5"/>
  <c r="X58" i="5"/>
  <c r="X59" i="5"/>
  <c r="X60" i="5"/>
  <c r="X61" i="5"/>
  <c r="X62" i="5"/>
  <c r="X63" i="5"/>
  <c r="X64" i="5"/>
  <c r="U56" i="5"/>
  <c r="U57" i="5"/>
  <c r="U58" i="5"/>
  <c r="U59" i="5"/>
  <c r="U60" i="5"/>
  <c r="U61" i="5"/>
  <c r="U62" i="5"/>
  <c r="U63" i="5"/>
  <c r="U64" i="5"/>
  <c r="U65" i="5"/>
  <c r="AA31" i="5"/>
  <c r="U32" i="5"/>
  <c r="X33" i="5"/>
  <c r="AD33" i="5"/>
  <c r="AA35" i="5"/>
  <c r="U36" i="5"/>
  <c r="X37" i="5"/>
  <c r="AD37" i="5"/>
  <c r="AA39" i="5"/>
  <c r="R31" i="5"/>
  <c r="X31" i="5"/>
  <c r="AD31" i="5"/>
  <c r="AA33" i="5"/>
  <c r="U34" i="5"/>
  <c r="X35" i="5"/>
  <c r="AD35" i="5"/>
  <c r="AA37" i="5"/>
  <c r="U38" i="5"/>
  <c r="X39" i="5"/>
  <c r="AD39" i="5"/>
  <c r="R33" i="5"/>
  <c r="R34" i="5"/>
  <c r="R35" i="5"/>
  <c r="R36" i="5"/>
  <c r="R37" i="5"/>
  <c r="R38" i="5"/>
  <c r="R39" i="5"/>
  <c r="R40" i="5"/>
  <c r="U40" i="5"/>
  <c r="P153" i="2" l="1"/>
  <c r="N153" i="2"/>
  <c r="U153" i="2"/>
  <c r="Q153" i="2"/>
  <c r="W153" i="2"/>
  <c r="R153" i="2"/>
  <c r="S153" i="2"/>
  <c r="T153" i="2"/>
  <c r="O153" i="2"/>
  <c r="V153" i="2"/>
  <c r="J131" i="2"/>
  <c r="J132" i="2" s="1"/>
  <c r="H131" i="2"/>
  <c r="H132" i="2" s="1"/>
  <c r="I131" i="2"/>
  <c r="I132" i="2" s="1"/>
  <c r="E131" i="2"/>
  <c r="E132" i="2" s="1"/>
  <c r="G131" i="2"/>
  <c r="G132" i="2" s="1"/>
  <c r="F131" i="2"/>
  <c r="F132" i="2" s="1"/>
  <c r="K131" i="2"/>
  <c r="K132" i="2" s="1"/>
  <c r="M131" i="2"/>
  <c r="M132" i="2" s="1"/>
  <c r="L131" i="2"/>
  <c r="L132" i="2" s="1"/>
  <c r="D131" i="2"/>
  <c r="E152" i="2"/>
  <c r="X131" i="2" l="1"/>
  <c r="D132" i="2"/>
  <c r="X132" i="2" s="1"/>
  <c r="G152" i="2"/>
  <c r="D152" i="2"/>
  <c r="F152" i="2"/>
  <c r="F49" i="2" l="1"/>
  <c r="F56" i="2" s="1"/>
  <c r="G49" i="2"/>
  <c r="G56" i="2" s="1"/>
  <c r="I49" i="2"/>
  <c r="I56" i="2" s="1"/>
  <c r="J49" i="2"/>
  <c r="J56" i="2" s="1"/>
  <c r="K49" i="2"/>
  <c r="K56" i="2" s="1"/>
  <c r="L49" i="2"/>
  <c r="L56" i="2" s="1"/>
  <c r="M49" i="2"/>
  <c r="M56" i="2" s="1"/>
  <c r="D49" i="2"/>
  <c r="AB56" i="2" l="1"/>
  <c r="D56" i="2"/>
  <c r="AA56" i="2" s="1"/>
  <c r="Z56" i="2" l="1"/>
  <c r="Y56" i="2"/>
  <c r="X56" i="2" s="1"/>
  <c r="H27" i="2" s="1"/>
  <c r="J30" i="5"/>
  <c r="J33" i="5"/>
  <c r="J58" i="5"/>
  <c r="J54" i="5"/>
  <c r="J55" i="5"/>
  <c r="K54" i="5"/>
  <c r="J57" i="5"/>
  <c r="J53" i="5"/>
  <c r="K52" i="5"/>
  <c r="K53" i="5"/>
  <c r="J56" i="5"/>
  <c r="K42" i="5"/>
  <c r="J45" i="5"/>
  <c r="J41" i="5"/>
  <c r="J46" i="5"/>
  <c r="K41" i="5"/>
  <c r="J44" i="5"/>
  <c r="K43" i="5"/>
  <c r="J47" i="5"/>
  <c r="J43" i="5"/>
  <c r="J42" i="5"/>
  <c r="J36" i="5"/>
  <c r="J32" i="5"/>
  <c r="J34" i="5"/>
  <c r="K32" i="5"/>
  <c r="J35" i="5"/>
  <c r="J31" i="5"/>
  <c r="K31" i="5"/>
  <c r="K30" i="5"/>
  <c r="G12" i="5"/>
  <c r="G19" i="4" l="1"/>
  <c r="J22" i="5"/>
  <c r="J24" i="5"/>
  <c r="K20" i="5"/>
  <c r="J23" i="5"/>
  <c r="J25" i="5"/>
  <c r="D153" i="2" l="1"/>
  <c r="E7" i="5" l="1"/>
  <c r="C24" i="5"/>
  <c r="C25" i="5"/>
  <c r="C26" i="5"/>
  <c r="C27" i="5"/>
  <c r="C31" i="5"/>
  <c r="C32" i="5"/>
  <c r="C33" i="5"/>
  <c r="K29" i="5" l="1"/>
  <c r="K40" i="5"/>
  <c r="K6" i="5"/>
  <c r="K18" i="5"/>
  <c r="K58" i="5"/>
  <c r="K56" i="5"/>
  <c r="K44" i="5"/>
  <c r="K46" i="5"/>
  <c r="K35" i="5"/>
  <c r="K55" i="5"/>
  <c r="K34" i="5"/>
  <c r="K57" i="5"/>
  <c r="K47" i="5"/>
  <c r="K36" i="5"/>
  <c r="K33" i="5"/>
  <c r="K45" i="5"/>
  <c r="K7" i="5"/>
  <c r="K25" i="5"/>
  <c r="K10" i="5"/>
  <c r="K22" i="5"/>
  <c r="K24" i="5"/>
  <c r="K9" i="5"/>
  <c r="K23" i="5"/>
  <c r="K21" i="5"/>
  <c r="E33" i="5"/>
  <c r="E28" i="5"/>
  <c r="C28" i="5" s="1"/>
  <c r="E27" i="5"/>
  <c r="J8" i="5" l="1"/>
  <c r="K8" i="5"/>
  <c r="J152" i="2"/>
  <c r="J153" i="2" s="1"/>
  <c r="E153" i="2"/>
  <c r="G153" i="2"/>
  <c r="I152" i="2"/>
  <c r="I153" i="2" s="1"/>
  <c r="L152" i="2"/>
  <c r="L153" i="2" s="1"/>
  <c r="K152" i="2"/>
  <c r="K153" i="2" s="1"/>
  <c r="M152" i="2"/>
  <c r="M153" i="2" s="1"/>
  <c r="H152" i="2"/>
  <c r="F153" i="2"/>
  <c r="H153" i="2" l="1"/>
  <c r="X153" i="2" s="1"/>
  <c r="H118" i="2" s="1"/>
  <c r="X152" i="2"/>
</calcChain>
</file>

<file path=xl/comments1.xml><?xml version="1.0" encoding="utf-8"?>
<comments xmlns="http://schemas.openxmlformats.org/spreadsheetml/2006/main">
  <authors>
    <author>CN</author>
    <author>PC20A06JR003</author>
  </authors>
  <commentList>
    <comment ref="B24" authorId="0" shapeId="0">
      <text>
        <r>
          <rPr>
            <sz val="12"/>
            <color indexed="81"/>
            <rFont val="メイリオ"/>
            <family val="3"/>
            <charset val="128"/>
          </rPr>
          <t>プルダウンメニューより</t>
        </r>
        <r>
          <rPr>
            <sz val="12"/>
            <color indexed="10"/>
            <rFont val="メイリオ"/>
            <family val="3"/>
            <charset val="128"/>
          </rPr>
          <t>＜室用途＞</t>
        </r>
        <r>
          <rPr>
            <sz val="12"/>
            <color indexed="81"/>
            <rFont val="メイリオ"/>
            <family val="3"/>
            <charset val="128"/>
          </rPr>
          <t>を選択してください。</t>
        </r>
      </text>
    </comment>
    <comment ref="B27" authorId="0" shapeId="0">
      <text>
        <r>
          <rPr>
            <sz val="12"/>
            <color indexed="81"/>
            <rFont val="メイリオ"/>
            <family val="3"/>
            <charset val="128"/>
          </rPr>
          <t>プルダウンメニューより</t>
        </r>
        <r>
          <rPr>
            <sz val="12"/>
            <color indexed="10"/>
            <rFont val="メイリオ"/>
            <family val="3"/>
            <charset val="128"/>
          </rPr>
          <t>＜現状の換気方法＞</t>
        </r>
        <r>
          <rPr>
            <sz val="12"/>
            <color indexed="81"/>
            <rFont val="メイリオ"/>
            <family val="3"/>
            <charset val="128"/>
          </rPr>
          <t>を選択してください。</t>
        </r>
      </text>
    </comment>
    <comment ref="B30" authorId="1" shapeId="0">
      <text>
        <r>
          <rPr>
            <sz val="12"/>
            <color indexed="10"/>
            <rFont val="メイリオ"/>
            <family val="3"/>
            <charset val="128"/>
          </rPr>
          <t>【有効換気量を記入する場合】
　</t>
        </r>
        <r>
          <rPr>
            <sz val="12"/>
            <color indexed="81"/>
            <rFont val="メイリオ"/>
            <family val="3"/>
            <charset val="128"/>
          </rPr>
          <t>常時使用できる最大風量時の有効換気量を記入してください。</t>
        </r>
        <r>
          <rPr>
            <sz val="12"/>
            <color indexed="10"/>
            <rFont val="メイリオ"/>
            <family val="3"/>
            <charset val="128"/>
          </rPr>
          <t xml:space="preserve">
【１の室に給気と排気の機械換気設備がある場合】
</t>
        </r>
        <r>
          <rPr>
            <sz val="12"/>
            <color indexed="81"/>
            <rFont val="メイリオ"/>
            <family val="3"/>
            <charset val="128"/>
          </rPr>
          <t xml:space="preserve">　換気量の多い給気又は排気設備の有効換気量をご記入ください。
</t>
        </r>
        <r>
          <rPr>
            <sz val="16"/>
            <color indexed="10"/>
            <rFont val="メイリオ"/>
            <family val="3"/>
            <charset val="128"/>
          </rPr>
          <t>※既設・更新を含め設置された又は設置する
【全ての換気量】を記入してください。</t>
        </r>
      </text>
    </comment>
  </commentList>
</comments>
</file>

<file path=xl/comments2.xml><?xml version="1.0" encoding="utf-8"?>
<comments xmlns="http://schemas.openxmlformats.org/spreadsheetml/2006/main">
  <authors>
    <author>鈴木 行雄</author>
    <author>CN</author>
  </authors>
  <commentList>
    <comment ref="F27" authorId="0" shapeId="0">
      <text>
        <r>
          <rPr>
            <sz val="16"/>
            <color indexed="10"/>
            <rFont val="メイリオ"/>
            <family val="3"/>
            <charset val="128"/>
          </rPr>
          <t>　※既設・更新を含め設置された又は設置する
　【全ての換気設備】を記入してください。</t>
        </r>
      </text>
    </comment>
    <comment ref="C70" authorId="1" shapeId="0">
      <text>
        <r>
          <rPr>
            <sz val="12"/>
            <color indexed="81"/>
            <rFont val="メイリオ"/>
            <family val="3"/>
            <charset val="128"/>
          </rPr>
          <t>換気範囲の室名称（</t>
        </r>
        <r>
          <rPr>
            <sz val="12"/>
            <color indexed="10"/>
            <rFont val="メイリオ"/>
            <family val="3"/>
            <charset val="128"/>
          </rPr>
          <t>室①、室②</t>
        </r>
        <r>
          <rPr>
            <sz val="12"/>
            <color indexed="81"/>
            <rFont val="メイリオ"/>
            <family val="3"/>
            <charset val="128"/>
          </rPr>
          <t>・・・など）を記入すること。</t>
        </r>
      </text>
    </comment>
    <comment ref="H70" authorId="1" shapeId="0">
      <text>
        <r>
          <rPr>
            <sz val="12"/>
            <color indexed="10"/>
            <rFont val="メイリオ"/>
            <family val="3"/>
            <charset val="128"/>
          </rPr>
          <t>　＜平面図記載記号について＞</t>
        </r>
        <r>
          <rPr>
            <sz val="12"/>
            <color indexed="81"/>
            <rFont val="メイリオ"/>
            <family val="3"/>
            <charset val="128"/>
          </rPr>
          <t xml:space="preserve">
　平面図に記載した</t>
        </r>
        <r>
          <rPr>
            <sz val="12"/>
            <color indexed="10"/>
            <rFont val="メイリオ"/>
            <family val="3"/>
            <charset val="128"/>
          </rPr>
          <t>換気設備（換気口）ごと</t>
        </r>
        <r>
          <rPr>
            <sz val="12"/>
            <color indexed="81"/>
            <rFont val="メイリオ"/>
            <family val="3"/>
            <charset val="128"/>
          </rPr>
          <t>の図面記号を記入してください。
　なお、型番が同一でも図面記号は、設置場所ごとに付記してください。</t>
        </r>
      </text>
    </comment>
    <comment ref="C92" authorId="1" shapeId="0">
      <text>
        <r>
          <rPr>
            <sz val="12"/>
            <color indexed="81"/>
            <rFont val="メイリオ"/>
            <family val="3"/>
            <charset val="128"/>
          </rPr>
          <t>換気範囲の室名称（</t>
        </r>
        <r>
          <rPr>
            <sz val="12"/>
            <color indexed="10"/>
            <rFont val="メイリオ"/>
            <family val="3"/>
            <charset val="128"/>
          </rPr>
          <t>室①、室②</t>
        </r>
        <r>
          <rPr>
            <sz val="12"/>
            <color indexed="81"/>
            <rFont val="メイリオ"/>
            <family val="3"/>
            <charset val="128"/>
          </rPr>
          <t>・・・など）を記入すること。</t>
        </r>
      </text>
    </comment>
    <comment ref="H92" authorId="1" shapeId="0">
      <text>
        <r>
          <rPr>
            <sz val="12"/>
            <color indexed="10"/>
            <rFont val="メイリオ"/>
            <family val="3"/>
            <charset val="128"/>
          </rPr>
          <t>　＜平面図記載記号について＞</t>
        </r>
        <r>
          <rPr>
            <sz val="12"/>
            <color indexed="81"/>
            <rFont val="メイリオ"/>
            <family val="3"/>
            <charset val="128"/>
          </rPr>
          <t xml:space="preserve">
　平面図に記載した</t>
        </r>
        <r>
          <rPr>
            <sz val="12"/>
            <color indexed="10"/>
            <rFont val="メイリオ"/>
            <family val="3"/>
            <charset val="128"/>
          </rPr>
          <t>換気設備（換気口）ごと</t>
        </r>
        <r>
          <rPr>
            <sz val="12"/>
            <color indexed="81"/>
            <rFont val="メイリオ"/>
            <family val="3"/>
            <charset val="128"/>
          </rPr>
          <t>の図面記号を記入してください。
　なお、型番が同一でも図面記号は、設置場所ごとに付記してください。</t>
        </r>
      </text>
    </comment>
    <comment ref="W92" authorId="1" shapeId="0">
      <text>
        <r>
          <rPr>
            <sz val="12"/>
            <color indexed="81"/>
            <rFont val="メイリオ"/>
            <family val="3"/>
            <charset val="128"/>
          </rPr>
          <t>　換気・空調一体型設備の導入（</t>
        </r>
        <r>
          <rPr>
            <sz val="12"/>
            <color indexed="10"/>
            <rFont val="メイリオ"/>
            <family val="3"/>
            <charset val="128"/>
          </rPr>
          <t>新設・増設・更新</t>
        </r>
        <r>
          <rPr>
            <sz val="12"/>
            <color indexed="81"/>
            <rFont val="メイリオ"/>
            <family val="3"/>
            <charset val="128"/>
          </rPr>
          <t>）の場合のみ
　該当する設備要件を</t>
        </r>
        <r>
          <rPr>
            <sz val="12"/>
            <color indexed="10"/>
            <rFont val="メイリオ"/>
            <family val="3"/>
            <charset val="128"/>
          </rPr>
          <t>プルダウンメニューより選択</t>
        </r>
        <r>
          <rPr>
            <sz val="12"/>
            <color indexed="81"/>
            <rFont val="メイリオ"/>
            <family val="3"/>
            <charset val="128"/>
          </rPr>
          <t>すること。</t>
        </r>
      </text>
    </comment>
    <comment ref="G115" authorId="0" shapeId="0">
      <text>
        <r>
          <rPr>
            <sz val="12"/>
            <color indexed="10"/>
            <rFont val="メイリオ"/>
            <family val="3"/>
            <charset val="128"/>
          </rPr>
          <t>　＜空調設備更新の有無＞</t>
        </r>
        <r>
          <rPr>
            <sz val="12"/>
            <color indexed="81"/>
            <rFont val="メイリオ"/>
            <family val="3"/>
            <charset val="128"/>
          </rPr>
          <t>をプルダウンメニューより選択してください。
　なお、</t>
        </r>
        <r>
          <rPr>
            <sz val="12"/>
            <color indexed="10"/>
            <rFont val="メイリオ"/>
            <family val="3"/>
            <charset val="128"/>
          </rPr>
          <t>空調設備のみの更新</t>
        </r>
        <r>
          <rPr>
            <sz val="12"/>
            <color indexed="81"/>
            <rFont val="メイリオ"/>
            <family val="3"/>
            <charset val="128"/>
          </rPr>
          <t>は、本助成事業の対象となりません。</t>
        </r>
      </text>
    </comment>
    <comment ref="H118" authorId="0" shapeId="0">
      <text>
        <r>
          <rPr>
            <sz val="12"/>
            <color indexed="32"/>
            <rFont val="メイリオ"/>
            <family val="3"/>
            <charset val="128"/>
          </rPr>
          <t>　空調設備の更新を選択した場合のみ、</t>
        </r>
        <r>
          <rPr>
            <sz val="12"/>
            <color indexed="10"/>
            <rFont val="メイリオ"/>
            <family val="3"/>
            <charset val="128"/>
          </rPr>
          <t>＜導入要件＞</t>
        </r>
        <r>
          <rPr>
            <sz val="12"/>
            <color indexed="32"/>
            <rFont val="メイリオ"/>
            <family val="3"/>
            <charset val="128"/>
          </rPr>
          <t>を判定します。
　また、入力の不備を確認します。</t>
        </r>
      </text>
    </comment>
    <comment ref="C164" authorId="1" shapeId="0">
      <text>
        <r>
          <rPr>
            <sz val="12"/>
            <color indexed="81"/>
            <rFont val="メイリオ"/>
            <family val="3"/>
            <charset val="128"/>
          </rPr>
          <t>換気範囲の室名称（</t>
        </r>
        <r>
          <rPr>
            <sz val="12"/>
            <color indexed="10"/>
            <rFont val="メイリオ"/>
            <family val="3"/>
            <charset val="128"/>
          </rPr>
          <t>室①、室②</t>
        </r>
        <r>
          <rPr>
            <sz val="12"/>
            <color indexed="81"/>
            <rFont val="メイリオ"/>
            <family val="3"/>
            <charset val="128"/>
          </rPr>
          <t>・・・など）を記入すること。</t>
        </r>
      </text>
    </comment>
    <comment ref="H164" authorId="1" shapeId="0">
      <text>
        <r>
          <rPr>
            <sz val="12"/>
            <color indexed="10"/>
            <rFont val="メイリオ"/>
            <family val="3"/>
            <charset val="128"/>
          </rPr>
          <t>　＜平面図記載記号について＞</t>
        </r>
        <r>
          <rPr>
            <sz val="12"/>
            <color indexed="81"/>
            <rFont val="メイリオ"/>
            <family val="3"/>
            <charset val="128"/>
          </rPr>
          <t xml:space="preserve">
　平面図に記載した</t>
        </r>
        <r>
          <rPr>
            <sz val="12"/>
            <color indexed="10"/>
            <rFont val="メイリオ"/>
            <family val="3"/>
            <charset val="128"/>
          </rPr>
          <t>空調設備（室外機・室内機）ごと</t>
        </r>
        <r>
          <rPr>
            <sz val="12"/>
            <color indexed="81"/>
            <rFont val="メイリオ"/>
            <family val="3"/>
            <charset val="128"/>
          </rPr>
          <t>の図面記号を記入してください。
　なお、型番が同一でも図面記号は、設置場所ごとに付記してください。</t>
        </r>
      </text>
    </comment>
    <comment ref="O164" authorId="1" shapeId="0">
      <text>
        <r>
          <rPr>
            <sz val="12"/>
            <color indexed="81"/>
            <rFont val="メイリオ"/>
            <family val="3"/>
            <charset val="128"/>
          </rPr>
          <t>　（　）内には、</t>
        </r>
        <r>
          <rPr>
            <sz val="12"/>
            <color indexed="10"/>
            <rFont val="メイリオ"/>
            <family val="3"/>
            <charset val="128"/>
          </rPr>
          <t>室外機の型番</t>
        </r>
        <r>
          <rPr>
            <sz val="12"/>
            <color indexed="81"/>
            <rFont val="メイリオ"/>
            <family val="3"/>
            <charset val="128"/>
          </rPr>
          <t>を記入すること。</t>
        </r>
      </text>
    </comment>
    <comment ref="C186" authorId="1" shapeId="0">
      <text>
        <r>
          <rPr>
            <sz val="12"/>
            <color indexed="81"/>
            <rFont val="メイリオ"/>
            <family val="3"/>
            <charset val="128"/>
          </rPr>
          <t>換気範囲の室名称（</t>
        </r>
        <r>
          <rPr>
            <sz val="12"/>
            <color indexed="10"/>
            <rFont val="メイリオ"/>
            <family val="3"/>
            <charset val="128"/>
          </rPr>
          <t>室①、室②</t>
        </r>
        <r>
          <rPr>
            <sz val="12"/>
            <color indexed="81"/>
            <rFont val="メイリオ"/>
            <family val="3"/>
            <charset val="128"/>
          </rPr>
          <t>・・・など）を記入すること。</t>
        </r>
      </text>
    </comment>
    <comment ref="H186" authorId="1" shapeId="0">
      <text>
        <r>
          <rPr>
            <sz val="12"/>
            <color indexed="10"/>
            <rFont val="メイリオ"/>
            <family val="3"/>
            <charset val="128"/>
          </rPr>
          <t>　＜平面図記載記号について＞</t>
        </r>
        <r>
          <rPr>
            <sz val="12"/>
            <color indexed="81"/>
            <rFont val="メイリオ"/>
            <family val="3"/>
            <charset val="128"/>
          </rPr>
          <t xml:space="preserve">
　平面図に記載した</t>
        </r>
        <r>
          <rPr>
            <sz val="12"/>
            <color indexed="10"/>
            <rFont val="メイリオ"/>
            <family val="3"/>
            <charset val="128"/>
          </rPr>
          <t>空調設備（室外機・室内機）ごと</t>
        </r>
        <r>
          <rPr>
            <sz val="12"/>
            <color indexed="81"/>
            <rFont val="メイリオ"/>
            <family val="3"/>
            <charset val="128"/>
          </rPr>
          <t>の図面記号を記入してください。
　なお、型番が同一でも図面記号は、設置場所ごとに付記してください。</t>
        </r>
      </text>
    </comment>
    <comment ref="O186" authorId="1" shapeId="0">
      <text>
        <r>
          <rPr>
            <sz val="12"/>
            <color indexed="81"/>
            <rFont val="メイリオ"/>
            <family val="3"/>
            <charset val="128"/>
          </rPr>
          <t>　（　）内には、</t>
        </r>
        <r>
          <rPr>
            <sz val="12"/>
            <color indexed="10"/>
            <rFont val="メイリオ"/>
            <family val="3"/>
            <charset val="128"/>
          </rPr>
          <t>室外機の型番</t>
        </r>
        <r>
          <rPr>
            <sz val="12"/>
            <color indexed="81"/>
            <rFont val="メイリオ"/>
            <family val="3"/>
            <charset val="128"/>
          </rPr>
          <t>を記入すること。</t>
        </r>
      </text>
    </comment>
    <comment ref="W186" authorId="1" shapeId="0">
      <text>
        <r>
          <rPr>
            <sz val="12"/>
            <color indexed="81"/>
            <rFont val="メイリオ"/>
            <family val="3"/>
            <charset val="128"/>
          </rPr>
          <t>　該当する設備要件を</t>
        </r>
        <r>
          <rPr>
            <sz val="12"/>
            <color indexed="10"/>
            <rFont val="メイリオ"/>
            <family val="3"/>
            <charset val="128"/>
          </rPr>
          <t>プルダウンメニューより選択</t>
        </r>
        <r>
          <rPr>
            <sz val="12"/>
            <color indexed="81"/>
            <rFont val="メイリオ"/>
            <family val="3"/>
            <charset val="128"/>
          </rPr>
          <t>すること。</t>
        </r>
      </text>
    </comment>
  </commentList>
</comments>
</file>

<file path=xl/comments3.xml><?xml version="1.0" encoding="utf-8"?>
<comments xmlns="http://schemas.openxmlformats.org/spreadsheetml/2006/main">
  <authors>
    <author>鈴木 行雄</author>
  </authors>
  <commentList>
    <comment ref="B22" authorId="0" shapeId="0">
      <text>
        <r>
          <rPr>
            <sz val="12"/>
            <color indexed="10"/>
            <rFont val="メイリオ"/>
            <family val="3"/>
            <charset val="128"/>
          </rPr>
          <t>年度</t>
        </r>
        <r>
          <rPr>
            <sz val="12"/>
            <color indexed="81"/>
            <rFont val="メイリオ"/>
            <family val="3"/>
            <charset val="128"/>
          </rPr>
          <t>をプルダウンメニューより選択</t>
        </r>
      </text>
    </comment>
    <comment ref="E33" authorId="0" shapeId="0">
      <text>
        <r>
          <rPr>
            <sz val="12"/>
            <color indexed="10"/>
            <rFont val="メイリオ"/>
            <family val="3"/>
            <charset val="128"/>
          </rPr>
          <t>ガス種別</t>
        </r>
        <r>
          <rPr>
            <sz val="12"/>
            <color indexed="81"/>
            <rFont val="メイリオ"/>
            <family val="3"/>
            <charset val="128"/>
          </rPr>
          <t>をプルダウンメニューより選択</t>
        </r>
      </text>
    </comment>
    <comment ref="F33" authorId="0" shapeId="0">
      <text>
        <r>
          <rPr>
            <sz val="12"/>
            <color indexed="10"/>
            <rFont val="メイリオ"/>
            <family val="3"/>
            <charset val="128"/>
          </rPr>
          <t>種別を選択後、</t>
        </r>
        <r>
          <rPr>
            <sz val="12"/>
            <color indexed="81"/>
            <rFont val="メイリオ"/>
            <family val="3"/>
            <charset val="128"/>
          </rPr>
          <t>単位をプルダウンメニューより選択</t>
        </r>
      </text>
    </comment>
    <comment ref="B34" authorId="0" shapeId="0">
      <text>
        <r>
          <rPr>
            <sz val="12"/>
            <color indexed="10"/>
            <rFont val="メイリオ"/>
            <family val="3"/>
            <charset val="128"/>
          </rPr>
          <t>年度</t>
        </r>
        <r>
          <rPr>
            <sz val="12"/>
            <color indexed="81"/>
            <rFont val="メイリオ"/>
            <family val="3"/>
            <charset val="128"/>
          </rPr>
          <t>をプルダウンメニューより選択</t>
        </r>
      </text>
    </comment>
    <comment ref="E44" authorId="0" shapeId="0">
      <text>
        <r>
          <rPr>
            <sz val="12"/>
            <color indexed="10"/>
            <rFont val="メイリオ"/>
            <family val="3"/>
            <charset val="128"/>
          </rPr>
          <t>使用エネルギー</t>
        </r>
        <r>
          <rPr>
            <sz val="12"/>
            <color indexed="81"/>
            <rFont val="メイリオ"/>
            <family val="3"/>
            <charset val="128"/>
          </rPr>
          <t>をプルダウンメニューより選択</t>
        </r>
      </text>
    </comment>
    <comment ref="B45" authorId="0" shapeId="0">
      <text>
        <r>
          <rPr>
            <sz val="12"/>
            <color indexed="10"/>
            <rFont val="メイリオ"/>
            <family val="3"/>
            <charset val="128"/>
          </rPr>
          <t>年度</t>
        </r>
        <r>
          <rPr>
            <sz val="12"/>
            <color indexed="81"/>
            <rFont val="メイリオ"/>
            <family val="3"/>
            <charset val="128"/>
          </rPr>
          <t>をプルダウンメニューより選択</t>
        </r>
      </text>
    </comment>
    <comment ref="E55" authorId="0" shapeId="0">
      <text>
        <r>
          <rPr>
            <sz val="12"/>
            <color indexed="10"/>
            <rFont val="メイリオ"/>
            <family val="3"/>
            <charset val="128"/>
          </rPr>
          <t>使用エネルギー</t>
        </r>
        <r>
          <rPr>
            <sz val="12"/>
            <color indexed="81"/>
            <rFont val="メイリオ"/>
            <family val="3"/>
            <charset val="128"/>
          </rPr>
          <t>をプルダウンメニューより選択</t>
        </r>
      </text>
    </comment>
    <comment ref="B56" authorId="0" shapeId="0">
      <text>
        <r>
          <rPr>
            <sz val="12"/>
            <color indexed="10"/>
            <rFont val="メイリオ"/>
            <family val="3"/>
            <charset val="128"/>
          </rPr>
          <t>年度</t>
        </r>
        <r>
          <rPr>
            <sz val="12"/>
            <color indexed="81"/>
            <rFont val="メイリオ"/>
            <family val="3"/>
            <charset val="128"/>
          </rPr>
          <t>をプルダウンメニューより選択</t>
        </r>
      </text>
    </comment>
    <comment ref="E66" authorId="0" shapeId="0">
      <text>
        <r>
          <rPr>
            <sz val="12"/>
            <color indexed="10"/>
            <rFont val="メイリオ"/>
            <family val="3"/>
            <charset val="128"/>
          </rPr>
          <t>使用エネルギー</t>
        </r>
        <r>
          <rPr>
            <sz val="12"/>
            <color indexed="81"/>
            <rFont val="メイリオ"/>
            <family val="3"/>
            <charset val="128"/>
          </rPr>
          <t>をプルダウンメニューより選択</t>
        </r>
      </text>
    </comment>
    <comment ref="B67" authorId="0" shapeId="0">
      <text>
        <r>
          <rPr>
            <sz val="12"/>
            <color indexed="10"/>
            <rFont val="メイリオ"/>
            <family val="3"/>
            <charset val="128"/>
          </rPr>
          <t>年度</t>
        </r>
        <r>
          <rPr>
            <sz val="12"/>
            <color indexed="81"/>
            <rFont val="メイリオ"/>
            <family val="3"/>
            <charset val="128"/>
          </rPr>
          <t>をプルダウンメニューより選択</t>
        </r>
      </text>
    </comment>
    <comment ref="E77" authorId="0" shapeId="0">
      <text>
        <r>
          <rPr>
            <sz val="12"/>
            <color indexed="10"/>
            <rFont val="メイリオ"/>
            <family val="3"/>
            <charset val="128"/>
          </rPr>
          <t>使用エネルギー</t>
        </r>
        <r>
          <rPr>
            <sz val="12"/>
            <color indexed="81"/>
            <rFont val="メイリオ"/>
            <family val="3"/>
            <charset val="128"/>
          </rPr>
          <t>をプルダウンメニューより選択</t>
        </r>
      </text>
    </comment>
    <comment ref="B78" authorId="0" shapeId="0">
      <text>
        <r>
          <rPr>
            <sz val="12"/>
            <color indexed="10"/>
            <rFont val="メイリオ"/>
            <family val="3"/>
            <charset val="128"/>
          </rPr>
          <t>年度</t>
        </r>
        <r>
          <rPr>
            <sz val="12"/>
            <color indexed="81"/>
            <rFont val="メイリオ"/>
            <family val="3"/>
            <charset val="128"/>
          </rPr>
          <t>をプルダウンメニューより選択</t>
        </r>
      </text>
    </comment>
  </commentList>
</comments>
</file>

<file path=xl/comments4.xml><?xml version="1.0" encoding="utf-8"?>
<comments xmlns="http://schemas.openxmlformats.org/spreadsheetml/2006/main">
  <authors>
    <author>鈴木 行雄</author>
  </authors>
  <commentList>
    <comment ref="I14" authorId="0" shapeId="0">
      <text>
        <r>
          <rPr>
            <sz val="12"/>
            <color indexed="81"/>
            <rFont val="メイリオ"/>
            <family val="3"/>
            <charset val="128"/>
          </rPr>
          <t>【４．年間エネルギー使用量】を
　入力できる申請者は、
　本シートの入力は、不要です。</t>
        </r>
      </text>
    </comment>
    <comment ref="I16" authorId="0" shapeId="0">
      <text>
        <r>
          <rPr>
            <sz val="12"/>
            <color indexed="81"/>
            <rFont val="メイリオ"/>
            <family val="3"/>
            <charset val="128"/>
          </rPr>
          <t xml:space="preserve">プルダウンメニューより
</t>
        </r>
        <r>
          <rPr>
            <sz val="12"/>
            <color indexed="10"/>
            <rFont val="メイリオ"/>
            <family val="3"/>
            <charset val="128"/>
          </rPr>
          <t>＜設置の有無＞</t>
        </r>
        <r>
          <rPr>
            <sz val="12"/>
            <color indexed="81"/>
            <rFont val="メイリオ"/>
            <family val="3"/>
            <charset val="128"/>
          </rPr>
          <t>を
選択してください。</t>
        </r>
      </text>
    </comment>
  </commentList>
</comments>
</file>

<file path=xl/sharedStrings.xml><?xml version="1.0" encoding="utf-8"?>
<sst xmlns="http://schemas.openxmlformats.org/spreadsheetml/2006/main" count="1033" uniqueCount="555">
  <si>
    <t>計</t>
    <rPh sb="0" eb="1">
      <t>ケイ</t>
    </rPh>
    <phoneticPr fontId="2"/>
  </si>
  <si>
    <t>換気設備の種類</t>
    <rPh sb="0" eb="2">
      <t>カンキ</t>
    </rPh>
    <rPh sb="2" eb="4">
      <t>セツビ</t>
    </rPh>
    <rPh sb="5" eb="7">
      <t>シュルイ</t>
    </rPh>
    <phoneticPr fontId="2"/>
  </si>
  <si>
    <t>型番</t>
    <rPh sb="0" eb="2">
      <t>カタバン</t>
    </rPh>
    <phoneticPr fontId="2"/>
  </si>
  <si>
    <t>台数</t>
    <rPh sb="0" eb="2">
      <t>ダイスウ</t>
    </rPh>
    <phoneticPr fontId="2"/>
  </si>
  <si>
    <t>換気量[㎥/h]</t>
    <rPh sb="0" eb="2">
      <t>カンキ</t>
    </rPh>
    <rPh sb="2" eb="3">
      <t>リョウ</t>
    </rPh>
    <phoneticPr fontId="2"/>
  </si>
  <si>
    <t>消費電力[W]</t>
    <rPh sb="0" eb="2">
      <t>ショウヒ</t>
    </rPh>
    <rPh sb="2" eb="4">
      <t>デンリョク</t>
    </rPh>
    <phoneticPr fontId="2"/>
  </si>
  <si>
    <t>顕熱交換器</t>
  </si>
  <si>
    <t>冷房</t>
    <phoneticPr fontId="2"/>
  </si>
  <si>
    <t>暖房</t>
    <phoneticPr fontId="2"/>
  </si>
  <si>
    <t>導入の区分</t>
    <rPh sb="0" eb="2">
      <t>ドウニュウ</t>
    </rPh>
    <rPh sb="3" eb="5">
      <t>クブン</t>
    </rPh>
    <phoneticPr fontId="2"/>
  </si>
  <si>
    <t>---</t>
    <phoneticPr fontId="2"/>
  </si>
  <si>
    <t>その他</t>
    <rPh sb="2" eb="3">
      <t>タ</t>
    </rPh>
    <phoneticPr fontId="2"/>
  </si>
  <si>
    <t>[%]　</t>
    <phoneticPr fontId="2"/>
  </si>
  <si>
    <t>比消費電力[W/(㎥/h)]</t>
    <rPh sb="0" eb="1">
      <t>ヒ</t>
    </rPh>
    <rPh sb="1" eb="3">
      <t>ショウヒ</t>
    </rPh>
    <rPh sb="3" eb="5">
      <t>デンリョク</t>
    </rPh>
    <phoneticPr fontId="2"/>
  </si>
  <si>
    <t>電気式パッケージ形空調機</t>
  </si>
  <si>
    <t>ガスヒートポンプ式空調機</t>
    <phoneticPr fontId="2"/>
  </si>
  <si>
    <t>エネルギー種別</t>
    <rPh sb="5" eb="7">
      <t>シュベツ</t>
    </rPh>
    <phoneticPr fontId="2"/>
  </si>
  <si>
    <t>ルームエアコン</t>
  </si>
  <si>
    <t>使用量</t>
    <rPh sb="0" eb="3">
      <t>シヨウリョウ</t>
    </rPh>
    <phoneticPr fontId="2"/>
  </si>
  <si>
    <t>CO2換算</t>
    <phoneticPr fontId="12"/>
  </si>
  <si>
    <t>原油換算</t>
    <phoneticPr fontId="12"/>
  </si>
  <si>
    <t>3月</t>
  </si>
  <si>
    <t>2月</t>
  </si>
  <si>
    <t>1月</t>
    <phoneticPr fontId="2"/>
  </si>
  <si>
    <t>12月</t>
  </si>
  <si>
    <t>11月</t>
  </si>
  <si>
    <t>10月</t>
  </si>
  <si>
    <t>9月</t>
  </si>
  <si>
    <t>8月</t>
  </si>
  <si>
    <t>7月</t>
  </si>
  <si>
    <t>6月</t>
    <rPh sb="1" eb="2">
      <t>ガツ</t>
    </rPh>
    <phoneticPr fontId="2"/>
  </si>
  <si>
    <t>5月</t>
    <rPh sb="1" eb="2">
      <t>ガツ</t>
    </rPh>
    <phoneticPr fontId="2"/>
  </si>
  <si>
    <t>4月</t>
    <phoneticPr fontId="2"/>
  </si>
  <si>
    <t>ガス使用量</t>
    <rPh sb="2" eb="5">
      <t>シヨウリョウ</t>
    </rPh>
    <phoneticPr fontId="2"/>
  </si>
  <si>
    <t>［kWh］</t>
  </si>
  <si>
    <t>電気使用量</t>
    <rPh sb="0" eb="2">
      <t>デンキ</t>
    </rPh>
    <rPh sb="2" eb="5">
      <t>シヨウリョウ</t>
    </rPh>
    <phoneticPr fontId="2"/>
  </si>
  <si>
    <t>●電気使用量・電気料金</t>
    <rPh sb="1" eb="3">
      <t>デンキ</t>
    </rPh>
    <rPh sb="3" eb="6">
      <t>シヨウリョウ</t>
    </rPh>
    <rPh sb="7" eb="9">
      <t>デンキ</t>
    </rPh>
    <rPh sb="9" eb="11">
      <t>リョウキン</t>
    </rPh>
    <phoneticPr fontId="2"/>
  </si>
  <si>
    <t>倍</t>
    <rPh sb="0" eb="1">
      <t>バイ</t>
    </rPh>
    <phoneticPr fontId="12"/>
  </si>
  <si>
    <t>m3</t>
    <phoneticPr fontId="12"/>
  </si>
  <si>
    <t>トン</t>
  </si>
  <si>
    <t>東京ガスＨＰ出典：LNG14万7千m3≒LNG6.7万トン≒天然ガス81百万m3</t>
    <rPh sb="0" eb="2">
      <t>トウキョウ</t>
    </rPh>
    <rPh sb="6" eb="8">
      <t>シュッテン</t>
    </rPh>
    <phoneticPr fontId="12"/>
  </si>
  <si>
    <t>LNG</t>
    <phoneticPr fontId="12"/>
  </si>
  <si>
    <t>天然ガス</t>
    <phoneticPr fontId="12"/>
  </si>
  <si>
    <t>プロパン・ブタンの混合</t>
  </si>
  <si>
    <t>ブタン</t>
  </si>
  <si>
    <t>プロパン</t>
  </si>
  <si>
    <t>1立方メートル当たりのトンへの換算係数</t>
  </si>
  <si>
    <t>LPGの種類</t>
  </si>
  <si>
    <t>t-C/GJ</t>
  </si>
  <si>
    <t>GJ/ kL</t>
  </si>
  <si>
    <t>B・Ｃ重油［L］：</t>
    <rPh sb="3" eb="5">
      <t>ジュウユ</t>
    </rPh>
    <phoneticPr fontId="15"/>
  </si>
  <si>
    <t>A重油［L］：</t>
    <rPh sb="1" eb="3">
      <t>ジュウユ</t>
    </rPh>
    <phoneticPr fontId="15"/>
  </si>
  <si>
    <t>軽油［L］：</t>
    <rPh sb="0" eb="2">
      <t>ケイユ</t>
    </rPh>
    <phoneticPr fontId="15"/>
  </si>
  <si>
    <t>灯油［L］：</t>
    <rPh sb="0" eb="2">
      <t>トウユ</t>
    </rPh>
    <phoneticPr fontId="15"/>
  </si>
  <si>
    <t>t-C/GJ</t>
    <phoneticPr fontId="12"/>
  </si>
  <si>
    <t>GJ/ kL</t>
    <phoneticPr fontId="12"/>
  </si>
  <si>
    <t>原油［L］：</t>
    <rPh sb="0" eb="2">
      <t>ゲンユ</t>
    </rPh>
    <phoneticPr fontId="12"/>
  </si>
  <si>
    <t>GJ/千m3</t>
  </si>
  <si>
    <t>その他天然ガス［Nm3］：</t>
    <rPh sb="2" eb="3">
      <t>タ</t>
    </rPh>
    <rPh sb="3" eb="5">
      <t>テンネン</t>
    </rPh>
    <phoneticPr fontId="12"/>
  </si>
  <si>
    <t>石油系炭化水素ガス［Nm3］：</t>
    <phoneticPr fontId="12"/>
  </si>
  <si>
    <t>GJ/ｔ</t>
    <phoneticPr fontId="12"/>
  </si>
  <si>
    <t>ＬＮＧ［m3］：</t>
    <phoneticPr fontId="12"/>
  </si>
  <si>
    <t>m3/t</t>
    <phoneticPr fontId="12"/>
  </si>
  <si>
    <t>ＬＰＧ［m3］：</t>
    <phoneticPr fontId="12"/>
  </si>
  <si>
    <t>都市ガス［Nm3］：</t>
    <rPh sb="0" eb="2">
      <t>トシ</t>
    </rPh>
    <phoneticPr fontId="12"/>
  </si>
  <si>
    <t>単位発熱量</t>
    <rPh sb="0" eb="2">
      <t>タンイ</t>
    </rPh>
    <rPh sb="2" eb="4">
      <t>ハツネツ</t>
    </rPh>
    <rPh sb="4" eb="5">
      <t>リョウ</t>
    </rPh>
    <phoneticPr fontId="12"/>
  </si>
  <si>
    <t>水素ガス</t>
    <phoneticPr fontId="12"/>
  </si>
  <si>
    <t>CO2分子量</t>
    <rPh sb="3" eb="6">
      <t>ブンシリョウ</t>
    </rPh>
    <phoneticPr fontId="12"/>
  </si>
  <si>
    <t>kL/GJ</t>
  </si>
  <si>
    <t>原油換算［kL］：</t>
    <rPh sb="0" eb="2">
      <t>ゲンユ</t>
    </rPh>
    <rPh sb="2" eb="4">
      <t>カンサン</t>
    </rPh>
    <phoneticPr fontId="12"/>
  </si>
  <si>
    <t>LPG</t>
    <phoneticPr fontId="12"/>
  </si>
  <si>
    <t>t-CO2/GJ</t>
  </si>
  <si>
    <t>GJ/GJ</t>
  </si>
  <si>
    <t>都市ガス</t>
    <phoneticPr fontId="12"/>
  </si>
  <si>
    <t>t-CO2/GJ</t>
    <phoneticPr fontId="12"/>
  </si>
  <si>
    <t>GJ/GJ</t>
    <phoneticPr fontId="15"/>
  </si>
  <si>
    <t>種別を選択</t>
    <phoneticPr fontId="12"/>
  </si>
  <si>
    <t>t-CO2/千kWh</t>
    <rPh sb="6" eb="7">
      <t>セン</t>
    </rPh>
    <phoneticPr fontId="15"/>
  </si>
  <si>
    <t>GJ/千kWh</t>
    <rPh sb="3" eb="4">
      <t>セン</t>
    </rPh>
    <phoneticPr fontId="15"/>
  </si>
  <si>
    <t>電気：</t>
    <rPh sb="0" eb="2">
      <t>デンキ</t>
    </rPh>
    <phoneticPr fontId="12"/>
  </si>
  <si>
    <t>プルダウンリスト</t>
    <phoneticPr fontId="12"/>
  </si>
  <si>
    <t>1次エネルギー換算係数</t>
    <rPh sb="1" eb="2">
      <t>ジ</t>
    </rPh>
    <rPh sb="7" eb="9">
      <t>カンサン</t>
    </rPh>
    <rPh sb="9" eb="11">
      <t>ケイスウ</t>
    </rPh>
    <phoneticPr fontId="12"/>
  </si>
  <si>
    <t>【省エネ法換算係数】</t>
    <phoneticPr fontId="12"/>
  </si>
  <si>
    <t>新設</t>
    <rPh sb="0" eb="2">
      <t>シンセツ</t>
    </rPh>
    <phoneticPr fontId="2"/>
  </si>
  <si>
    <t>増設</t>
    <rPh sb="0" eb="2">
      <t>ゾウセツ</t>
    </rPh>
    <phoneticPr fontId="2"/>
  </si>
  <si>
    <t>更新</t>
    <rPh sb="0" eb="2">
      <t>コウシン</t>
    </rPh>
    <phoneticPr fontId="2"/>
  </si>
  <si>
    <t>継続</t>
    <rPh sb="0" eb="2">
      <t>ケイゾク</t>
    </rPh>
    <phoneticPr fontId="2"/>
  </si>
  <si>
    <r>
      <t>熱交換率</t>
    </r>
    <r>
      <rPr>
        <vertAlign val="superscript"/>
        <sz val="12"/>
        <color theme="1"/>
        <rFont val="メイリオ"/>
        <family val="3"/>
        <charset val="128"/>
      </rPr>
      <t>※</t>
    </r>
    <rPh sb="0" eb="1">
      <t>ネツ</t>
    </rPh>
    <rPh sb="1" eb="3">
      <t>コウカン</t>
    </rPh>
    <rPh sb="3" eb="4">
      <t>リツ</t>
    </rPh>
    <phoneticPr fontId="2"/>
  </si>
  <si>
    <t>単位</t>
    <rPh sb="0" eb="2">
      <t>タンイ</t>
    </rPh>
    <phoneticPr fontId="2"/>
  </si>
  <si>
    <t>電気</t>
    <rPh sb="0" eb="2">
      <t>デンキ</t>
    </rPh>
    <phoneticPr fontId="2"/>
  </si>
  <si>
    <t>事務所</t>
    <rPh sb="0" eb="3">
      <t>ジムショ</t>
    </rPh>
    <phoneticPr fontId="12"/>
  </si>
  <si>
    <t>年間</t>
    <rPh sb="0" eb="2">
      <t>ネンカン</t>
    </rPh>
    <phoneticPr fontId="12"/>
  </si>
  <si>
    <t>暖房</t>
    <rPh sb="0" eb="2">
      <t>ダンボウ</t>
    </rPh>
    <phoneticPr fontId="12"/>
  </si>
  <si>
    <t>冷房</t>
    <rPh sb="0" eb="2">
      <t>レイボウ</t>
    </rPh>
    <phoneticPr fontId="12"/>
  </si>
  <si>
    <t>㎏/h</t>
    <phoneticPr fontId="2"/>
  </si>
  <si>
    <t>その他</t>
    <rPh sb="2" eb="3">
      <t>タ</t>
    </rPh>
    <phoneticPr fontId="12"/>
  </si>
  <si>
    <t>文化・娯楽施設</t>
    <rPh sb="0" eb="2">
      <t>ブンカ</t>
    </rPh>
    <rPh sb="3" eb="7">
      <t>ゴラクシセツ</t>
    </rPh>
    <phoneticPr fontId="12"/>
  </si>
  <si>
    <t>医療施設</t>
    <rPh sb="0" eb="4">
      <t>イリョウシセツ</t>
    </rPh>
    <phoneticPr fontId="12"/>
  </si>
  <si>
    <t>教育施設</t>
    <rPh sb="0" eb="4">
      <t>キョウイクシセツ</t>
    </rPh>
    <phoneticPr fontId="12"/>
  </si>
  <si>
    <t>宿泊施設</t>
    <rPh sb="0" eb="4">
      <t>シュクハクシセツ</t>
    </rPh>
    <phoneticPr fontId="12"/>
  </si>
  <si>
    <t>商業施設（飲食）</t>
    <rPh sb="0" eb="4">
      <t>ショウギョウシセツ</t>
    </rPh>
    <rPh sb="5" eb="7">
      <t>インショク</t>
    </rPh>
    <phoneticPr fontId="12"/>
  </si>
  <si>
    <t>商業施設（物販）</t>
    <rPh sb="0" eb="4">
      <t>ショウギョウシセツ</t>
    </rPh>
    <rPh sb="5" eb="7">
      <t>ブッパン</t>
    </rPh>
    <phoneticPr fontId="12"/>
  </si>
  <si>
    <t>全負荷相当時間（h/年）</t>
    <rPh sb="0" eb="1">
      <t>ゼン</t>
    </rPh>
    <rPh sb="1" eb="3">
      <t>フカ</t>
    </rPh>
    <rPh sb="3" eb="5">
      <t>ソウトウ</t>
    </rPh>
    <rPh sb="5" eb="7">
      <t>ジカン</t>
    </rPh>
    <rPh sb="10" eb="11">
      <t>ネン</t>
    </rPh>
    <phoneticPr fontId="12"/>
  </si>
  <si>
    <t>中小クレジット算定ガイドライン</t>
    <rPh sb="0" eb="2">
      <t>チュウショウ</t>
    </rPh>
    <rPh sb="7" eb="9">
      <t>サンテイ</t>
    </rPh>
    <phoneticPr fontId="12"/>
  </si>
  <si>
    <t>設備を選択</t>
    <rPh sb="0" eb="2">
      <t>セツビ</t>
    </rPh>
    <rPh sb="3" eb="5">
      <t>センタク</t>
    </rPh>
    <phoneticPr fontId="2"/>
  </si>
  <si>
    <t>区分を選択</t>
    <rPh sb="0" eb="2">
      <t>クブン</t>
    </rPh>
    <rPh sb="3" eb="5">
      <t>センタク</t>
    </rPh>
    <phoneticPr fontId="2"/>
  </si>
  <si>
    <t>単位を選択</t>
    <rPh sb="0" eb="2">
      <t>タンイ</t>
    </rPh>
    <rPh sb="3" eb="5">
      <t>センタク</t>
    </rPh>
    <phoneticPr fontId="12"/>
  </si>
  <si>
    <t>室用途を選択</t>
    <rPh sb="0" eb="3">
      <t>シツヨウト</t>
    </rPh>
    <rPh sb="4" eb="6">
      <t>センタク</t>
    </rPh>
    <phoneticPr fontId="12"/>
  </si>
  <si>
    <t>室用途</t>
    <rPh sb="0" eb="1">
      <t>シツ</t>
    </rPh>
    <rPh sb="1" eb="3">
      <t>ヨウト</t>
    </rPh>
    <phoneticPr fontId="2"/>
  </si>
  <si>
    <t>3（GHP・都市ガス・ｍ3N/h）</t>
    <rPh sb="6" eb="8">
      <t>トシ</t>
    </rPh>
    <phoneticPr fontId="2"/>
  </si>
  <si>
    <t>４（GHP・LPG・㎾）</t>
    <phoneticPr fontId="2"/>
  </si>
  <si>
    <t>５（GHP・LPG・㎏/h）</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</si>
  <si>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</si>
  <si>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</si>
  <si>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</si>
  <si>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</si>
  <si>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</si>
  <si>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</si>
  <si>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</si>
  <si>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</si>
  <si>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</si>
  <si>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新設備</t>
    <phoneticPr fontId="2"/>
  </si>
  <si>
    <t>旧設備</t>
    <phoneticPr fontId="2"/>
  </si>
  <si>
    <t>換気範囲の室</t>
    <rPh sb="0" eb="2">
      <t>カンキ</t>
    </rPh>
    <rPh sb="2" eb="4">
      <t>ハンイ</t>
    </rPh>
    <rPh sb="5" eb="6">
      <t>シツ</t>
    </rPh>
    <phoneticPr fontId="2"/>
  </si>
  <si>
    <t>平面図記載記号</t>
    <rPh sb="0" eb="3">
      <t>ヘイメンズ</t>
    </rPh>
    <rPh sb="3" eb="5">
      <t>キサイ</t>
    </rPh>
    <rPh sb="5" eb="7">
      <t>キゴウ</t>
    </rPh>
    <phoneticPr fontId="2"/>
  </si>
  <si>
    <t>室</t>
    <rPh sb="0" eb="1">
      <t>シツ</t>
    </rPh>
    <phoneticPr fontId="12"/>
  </si>
  <si>
    <t>室用途</t>
    <rPh sb="0" eb="1">
      <t>シツ</t>
    </rPh>
    <rPh sb="1" eb="3">
      <t>ヨウト</t>
    </rPh>
    <phoneticPr fontId="12"/>
  </si>
  <si>
    <t>その他
（工場、倉庫等）</t>
    <rPh sb="2" eb="3">
      <t>タ</t>
    </rPh>
    <rPh sb="5" eb="7">
      <t>コウジョウ</t>
    </rPh>
    <rPh sb="8" eb="10">
      <t>ソウコ</t>
    </rPh>
    <rPh sb="10" eb="11">
      <t>トウ</t>
    </rPh>
    <phoneticPr fontId="12"/>
  </si>
  <si>
    <t>事務所</t>
    <phoneticPr fontId="12"/>
  </si>
  <si>
    <t>機械換気</t>
    <rPh sb="0" eb="4">
      <t>キカイカンキ</t>
    </rPh>
    <phoneticPr fontId="12"/>
  </si>
  <si>
    <t>床面積
（㎡）</t>
    <rPh sb="0" eb="1">
      <t>ユカ</t>
    </rPh>
    <rPh sb="1" eb="3">
      <t>メンセキ</t>
    </rPh>
    <phoneticPr fontId="12"/>
  </si>
  <si>
    <t>商業施設
（物販）</t>
    <phoneticPr fontId="12"/>
  </si>
  <si>
    <t>自然換気</t>
    <rPh sb="0" eb="4">
      <t>シゼンカンキ</t>
    </rPh>
    <phoneticPr fontId="12"/>
  </si>
  <si>
    <t>高さ
（m）</t>
    <rPh sb="0" eb="1">
      <t>タカ</t>
    </rPh>
    <phoneticPr fontId="12"/>
  </si>
  <si>
    <t>商業施設
（飲食）</t>
    <rPh sb="6" eb="8">
      <t>インショク</t>
    </rPh>
    <phoneticPr fontId="12"/>
  </si>
  <si>
    <t>宿泊施設</t>
    <phoneticPr fontId="12"/>
  </si>
  <si>
    <t>現況</t>
    <rPh sb="0" eb="2">
      <t>ゲンキョウ</t>
    </rPh>
    <phoneticPr fontId="12"/>
  </si>
  <si>
    <t>教育施設</t>
    <phoneticPr fontId="12"/>
  </si>
  <si>
    <t>医療施設</t>
    <phoneticPr fontId="12"/>
  </si>
  <si>
    <t>文化・
娯楽施設</t>
    <phoneticPr fontId="12"/>
  </si>
  <si>
    <t>１人あたり
換気量
（㎥/h・人）</t>
    <phoneticPr fontId="12"/>
  </si>
  <si>
    <t>D</t>
    <phoneticPr fontId="2"/>
  </si>
  <si>
    <t>A_1</t>
    <phoneticPr fontId="2"/>
  </si>
  <si>
    <t>A_2</t>
  </si>
  <si>
    <t>A_3</t>
  </si>
  <si>
    <t>A_4</t>
  </si>
  <si>
    <t>A_5</t>
  </si>
  <si>
    <t>A_6</t>
  </si>
  <si>
    <t>A_7</t>
  </si>
  <si>
    <t>A_8</t>
  </si>
  <si>
    <t>A_9</t>
  </si>
  <si>
    <t>A_10</t>
  </si>
  <si>
    <t>A_12</t>
  </si>
  <si>
    <t>A_13</t>
  </si>
  <si>
    <t>A_14</t>
  </si>
  <si>
    <t>A_15</t>
  </si>
  <si>
    <t>A_16</t>
  </si>
  <si>
    <t>A_17</t>
  </si>
  <si>
    <t>A_18</t>
  </si>
  <si>
    <t>A_19</t>
  </si>
  <si>
    <t>A_20</t>
  </si>
  <si>
    <t>エネルギー使用量</t>
    <rPh sb="5" eb="8">
      <t>シヨウリョウ</t>
    </rPh>
    <phoneticPr fontId="2"/>
  </si>
  <si>
    <t>一次エネルギー消費量（GJ/年）</t>
    <rPh sb="0" eb="2">
      <t>イチジ</t>
    </rPh>
    <rPh sb="7" eb="10">
      <t>ショウヒリョウ</t>
    </rPh>
    <rPh sb="14" eb="15">
      <t>ネン</t>
    </rPh>
    <phoneticPr fontId="12"/>
  </si>
  <si>
    <t>kW</t>
    <phoneticPr fontId="2"/>
  </si>
  <si>
    <t>2（GHP・都市ガス・㎾）</t>
    <rPh sb="6" eb="8">
      <t>トシ</t>
    </rPh>
    <phoneticPr fontId="2"/>
  </si>
  <si>
    <t>1（EHP・電力・㎾）</t>
    <rPh sb="6" eb="8">
      <t>デンリョク</t>
    </rPh>
    <phoneticPr fontId="2"/>
  </si>
  <si>
    <t>＜入力時の注意事項＞</t>
    <rPh sb="1" eb="3">
      <t>ニュウリョク</t>
    </rPh>
    <rPh sb="3" eb="4">
      <t>ジ</t>
    </rPh>
    <rPh sb="5" eb="7">
      <t>チュウイ</t>
    </rPh>
    <rPh sb="7" eb="9">
      <t>ジコウ</t>
    </rPh>
    <phoneticPr fontId="2"/>
  </si>
  <si>
    <t>＜セルの説明＞</t>
    <rPh sb="4" eb="6">
      <t>セツメイ</t>
    </rPh>
    <phoneticPr fontId="2"/>
  </si>
  <si>
    <t>換気設備
導入後</t>
    <rPh sb="0" eb="4">
      <t>カンキセツビ</t>
    </rPh>
    <rPh sb="5" eb="8">
      <t>ドウニュウゴ</t>
    </rPh>
    <phoneticPr fontId="12"/>
  </si>
  <si>
    <t>J=W*S(3600)</t>
    <phoneticPr fontId="2"/>
  </si>
  <si>
    <t>kJ=W*3.6</t>
    <phoneticPr fontId="2"/>
  </si>
  <si>
    <r>
      <t>ｍ</t>
    </r>
    <r>
      <rPr>
        <vertAlign val="superscript"/>
        <sz val="11"/>
        <color theme="1"/>
        <rFont val="メイリオ"/>
        <family val="3"/>
        <charset val="128"/>
      </rPr>
      <t>3</t>
    </r>
    <r>
      <rPr>
        <sz val="11"/>
        <color theme="1"/>
        <rFont val="メイリオ"/>
        <family val="3"/>
        <charset val="128"/>
      </rPr>
      <t>N/h</t>
    </r>
    <phoneticPr fontId="2"/>
  </si>
  <si>
    <t>↓中小クレジット算定ガイドラインの換気</t>
    <rPh sb="1" eb="3">
      <t>チュウショウ</t>
    </rPh>
    <rPh sb="8" eb="10">
      <t>サンテイ</t>
    </rPh>
    <rPh sb="17" eb="19">
      <t>カンキ</t>
    </rPh>
    <phoneticPr fontId="12"/>
  </si>
  <si>
    <t>現状の
換気方法</t>
    <phoneticPr fontId="12"/>
  </si>
  <si>
    <t>有効換気量
（㎥/h)</t>
    <rPh sb="0" eb="2">
      <t>ユウコウ</t>
    </rPh>
    <phoneticPr fontId="12"/>
  </si>
  <si>
    <t>［m3］</t>
    <phoneticPr fontId="2"/>
  </si>
  <si>
    <t>［kg］</t>
    <phoneticPr fontId="2"/>
  </si>
  <si>
    <t>単位を選択</t>
    <rPh sb="0" eb="2">
      <t>タンイ</t>
    </rPh>
    <phoneticPr fontId="12"/>
  </si>
  <si>
    <t>型番</t>
    <rPh sb="0" eb="2">
      <t>カタバン</t>
    </rPh>
    <phoneticPr fontId="2"/>
  </si>
  <si>
    <t>メーカー名</t>
    <rPh sb="4" eb="5">
      <t>ナ</t>
    </rPh>
    <phoneticPr fontId="2"/>
  </si>
  <si>
    <t>旧設備</t>
    <rPh sb="0" eb="1">
      <t>キュウ</t>
    </rPh>
    <rPh sb="1" eb="3">
      <t>セツビ</t>
    </rPh>
    <phoneticPr fontId="2"/>
  </si>
  <si>
    <t>新設備</t>
    <rPh sb="0" eb="3">
      <t>シンセツビ</t>
    </rPh>
    <phoneticPr fontId="2"/>
  </si>
  <si>
    <t>灯油</t>
    <rPh sb="0" eb="2">
      <t>トウユ</t>
    </rPh>
    <phoneticPr fontId="15"/>
  </si>
  <si>
    <t>軽油</t>
    <rPh sb="0" eb="2">
      <t>ケイユ</t>
    </rPh>
    <phoneticPr fontId="15"/>
  </si>
  <si>
    <t>A重油</t>
    <rPh sb="1" eb="3">
      <t>ジュウユ</t>
    </rPh>
    <phoneticPr fontId="15"/>
  </si>
  <si>
    <t>B・Ｃ重油</t>
    <rPh sb="3" eb="5">
      <t>ジュウユ</t>
    </rPh>
    <phoneticPr fontId="15"/>
  </si>
  <si>
    <t>温水・冷水</t>
    <rPh sb="0" eb="2">
      <t>オンスイ</t>
    </rPh>
    <rPh sb="3" eb="5">
      <t>レイスイ</t>
    </rPh>
    <phoneticPr fontId="12"/>
  </si>
  <si>
    <t>産業用蒸気</t>
    <rPh sb="0" eb="3">
      <t>サンギョウヨウ</t>
    </rPh>
    <rPh sb="3" eb="5">
      <t>ジョウキ</t>
    </rPh>
    <phoneticPr fontId="15"/>
  </si>
  <si>
    <t>産業用以外の蒸気</t>
    <rPh sb="0" eb="3">
      <t>サンギョウヨウ</t>
    </rPh>
    <rPh sb="3" eb="5">
      <t>イガイ</t>
    </rPh>
    <rPh sb="6" eb="8">
      <t>ジョウキ</t>
    </rPh>
    <phoneticPr fontId="15"/>
  </si>
  <si>
    <t>【１．換気設備導入前後の比較表】</t>
    <rPh sb="3" eb="5">
      <t>カンキ</t>
    </rPh>
    <rPh sb="5" eb="7">
      <t>セツビ</t>
    </rPh>
    <rPh sb="7" eb="9">
      <t>ドウニュウ</t>
    </rPh>
    <rPh sb="9" eb="11">
      <t>ゼンゴ</t>
    </rPh>
    <rPh sb="12" eb="14">
      <t>ヒカク</t>
    </rPh>
    <rPh sb="14" eb="15">
      <t>ヒョウ</t>
    </rPh>
    <phoneticPr fontId="12"/>
  </si>
  <si>
    <t>【２．換気設備の新旧仕様入力表】</t>
    <rPh sb="3" eb="5">
      <t>カンキ</t>
    </rPh>
    <rPh sb="5" eb="7">
      <t>セツビ</t>
    </rPh>
    <rPh sb="8" eb="10">
      <t>シンキュウ</t>
    </rPh>
    <rPh sb="10" eb="12">
      <t>シヨウ</t>
    </rPh>
    <rPh sb="12" eb="14">
      <t>ニュウリョク</t>
    </rPh>
    <rPh sb="14" eb="15">
      <t>ヒョウ</t>
    </rPh>
    <phoneticPr fontId="2"/>
  </si>
  <si>
    <t>【４．年間エネルギー使用量】</t>
    <rPh sb="3" eb="5">
      <t>ネンカン</t>
    </rPh>
    <rPh sb="10" eb="12">
      <t>シヨウ</t>
    </rPh>
    <rPh sb="12" eb="13">
      <t>リョウ</t>
    </rPh>
    <phoneticPr fontId="2"/>
  </si>
  <si>
    <t>機械換気（換気扇等）</t>
    <phoneticPr fontId="2"/>
  </si>
  <si>
    <t>高効率換気設備</t>
    <rPh sb="0" eb="3">
      <t>コウコウリツ</t>
    </rPh>
    <rPh sb="3" eb="5">
      <t>カンキ</t>
    </rPh>
    <rPh sb="5" eb="7">
      <t>セツビ</t>
    </rPh>
    <phoneticPr fontId="2"/>
  </si>
  <si>
    <t>熱交換型換気設備</t>
    <rPh sb="3" eb="4">
      <t>カタ</t>
    </rPh>
    <rPh sb="4" eb="6">
      <t>カンキ</t>
    </rPh>
    <rPh sb="6" eb="8">
      <t>セツビ</t>
    </rPh>
    <phoneticPr fontId="2"/>
  </si>
  <si>
    <t>換気・空調一体型設備</t>
    <rPh sb="0" eb="2">
      <t>カンキ</t>
    </rPh>
    <rPh sb="3" eb="5">
      <t>クウチョウ</t>
    </rPh>
    <rPh sb="5" eb="7">
      <t>イッタイ</t>
    </rPh>
    <rPh sb="7" eb="8">
      <t>カタ</t>
    </rPh>
    <rPh sb="8" eb="10">
      <t>セツビ</t>
    </rPh>
    <phoneticPr fontId="2"/>
  </si>
  <si>
    <t>中小規模事業所の
規模判定</t>
    <rPh sb="0" eb="7">
      <t>チュウショウキボジギョウショ</t>
    </rPh>
    <rPh sb="9" eb="11">
      <t>キボ</t>
    </rPh>
    <rPh sb="11" eb="13">
      <t>ハンテイ</t>
    </rPh>
    <phoneticPr fontId="12"/>
  </si>
  <si>
    <t>【３．空調設備の新旧仕様入力表】</t>
    <rPh sb="3" eb="5">
      <t>クウチョウ</t>
    </rPh>
    <rPh sb="5" eb="7">
      <t>セツビ</t>
    </rPh>
    <rPh sb="8" eb="10">
      <t>シンキュウ</t>
    </rPh>
    <rPh sb="10" eb="12">
      <t>シヨウ</t>
    </rPh>
    <rPh sb="12" eb="14">
      <t>ニュウリョク</t>
    </rPh>
    <rPh sb="14" eb="15">
      <t>ヒョウ</t>
    </rPh>
    <phoneticPr fontId="2"/>
  </si>
  <si>
    <t>設備要件</t>
    <rPh sb="0" eb="2">
      <t>セツビ</t>
    </rPh>
    <rPh sb="2" eb="4">
      <t>ヨウケン</t>
    </rPh>
    <phoneticPr fontId="2"/>
  </si>
  <si>
    <t>APF</t>
    <phoneticPr fontId="2"/>
  </si>
  <si>
    <t>COP</t>
    <phoneticPr fontId="2"/>
  </si>
  <si>
    <t>エネルギー
消費効率</t>
    <phoneticPr fontId="2"/>
  </si>
  <si>
    <r>
      <t>エネルギー消費量</t>
    </r>
    <r>
      <rPr>
        <sz val="11"/>
        <color theme="1"/>
        <rFont val="メイリオ"/>
        <family val="3"/>
        <charset val="128"/>
      </rPr>
      <t>（単位時間当り）</t>
    </r>
    <rPh sb="5" eb="8">
      <t>ショウヒリョウ</t>
    </rPh>
    <rPh sb="9" eb="11">
      <t>タンイ</t>
    </rPh>
    <rPh sb="11" eb="13">
      <t>ジカン</t>
    </rPh>
    <rPh sb="13" eb="14">
      <t>アタ</t>
    </rPh>
    <phoneticPr fontId="2"/>
  </si>
  <si>
    <t>エネルギー消費量（単位時間当り）</t>
    <rPh sb="5" eb="8">
      <t>ショウヒリョウ</t>
    </rPh>
    <rPh sb="9" eb="11">
      <t>タンイ</t>
    </rPh>
    <rPh sb="11" eb="13">
      <t>ジカン</t>
    </rPh>
    <rPh sb="13" eb="14">
      <t>アタ</t>
    </rPh>
    <phoneticPr fontId="2"/>
  </si>
  <si>
    <t>一次エネルギー
（年換算）［GJ］</t>
    <rPh sb="0" eb="2">
      <t>イチジ</t>
    </rPh>
    <rPh sb="9" eb="10">
      <t>ネン</t>
    </rPh>
    <rPh sb="10" eb="12">
      <t>カンサン</t>
    </rPh>
    <phoneticPr fontId="2"/>
  </si>
  <si>
    <t>原油換算［KL］</t>
    <rPh sb="0" eb="2">
      <t>ゲンユ</t>
    </rPh>
    <rPh sb="2" eb="4">
      <t>カンサン</t>
    </rPh>
    <phoneticPr fontId="2"/>
  </si>
  <si>
    <t>換気量の新旧増減</t>
    <rPh sb="0" eb="3">
      <t>カンキリョウ</t>
    </rPh>
    <rPh sb="4" eb="6">
      <t>シンキュウ</t>
    </rPh>
    <rPh sb="6" eb="8">
      <t>ゾウゲン</t>
    </rPh>
    <phoneticPr fontId="12"/>
  </si>
  <si>
    <t>１人あたりの必要換気量
（30㎥/h・人）</t>
    <rPh sb="1" eb="2">
      <t>ニン</t>
    </rPh>
    <rPh sb="6" eb="8">
      <t>ヒツヨウ</t>
    </rPh>
    <rPh sb="8" eb="11">
      <t>カンキリョウ</t>
    </rPh>
    <phoneticPr fontId="12"/>
  </si>
  <si>
    <t>OR(仕様入力!D$79="電気式パッケージ形空調機",仕様入力!D$79="ルームエアコン")</t>
    <phoneticPr fontId="2"/>
  </si>
  <si>
    <t>　　　①：導入推奨機器に指定されたもの。</t>
    <phoneticPr fontId="2"/>
  </si>
  <si>
    <t>　　　③：その他（導入推奨機器指定要綱の指定基準又はクレジット算定ガイドラインの認定基準を満たすもの）</t>
    <rPh sb="7" eb="8">
      <t>タ</t>
    </rPh>
    <rPh sb="9" eb="11">
      <t>ドウニュウ</t>
    </rPh>
    <rPh sb="11" eb="13">
      <t>スイショウ</t>
    </rPh>
    <rPh sb="13" eb="15">
      <t>キキ</t>
    </rPh>
    <rPh sb="15" eb="17">
      <t>シテイ</t>
    </rPh>
    <rPh sb="17" eb="19">
      <t>ヨウコウ</t>
    </rPh>
    <rPh sb="20" eb="22">
      <t>シテイ</t>
    </rPh>
    <rPh sb="22" eb="24">
      <t>キジュン</t>
    </rPh>
    <rPh sb="24" eb="25">
      <t>マタ</t>
    </rPh>
    <rPh sb="31" eb="33">
      <t>サンテイ</t>
    </rPh>
    <rPh sb="40" eb="42">
      <t>ニンテイ</t>
    </rPh>
    <rPh sb="42" eb="44">
      <t>キジュン</t>
    </rPh>
    <rPh sb="45" eb="46">
      <t>ミ</t>
    </rPh>
    <phoneticPr fontId="2"/>
  </si>
  <si>
    <t>要件を選択</t>
    <rPh sb="0" eb="2">
      <t>ヨウケン</t>
    </rPh>
    <rPh sb="3" eb="5">
      <t>センタク</t>
    </rPh>
    <phoneticPr fontId="2"/>
  </si>
  <si>
    <t>実施確認：空調設備の更新を行いますか。</t>
    <rPh sb="0" eb="2">
      <t>ジッシ</t>
    </rPh>
    <rPh sb="2" eb="4">
      <t>カクニン</t>
    </rPh>
    <rPh sb="5" eb="7">
      <t>クウチョウ</t>
    </rPh>
    <rPh sb="7" eb="9">
      <t>セツビ</t>
    </rPh>
    <rPh sb="10" eb="12">
      <t>コウシン</t>
    </rPh>
    <rPh sb="13" eb="14">
      <t>オコナ</t>
    </rPh>
    <phoneticPr fontId="12"/>
  </si>
  <si>
    <t>＜申請時の注意事項＞</t>
    <rPh sb="1" eb="3">
      <t>シンセイ</t>
    </rPh>
    <rPh sb="3" eb="4">
      <t>ジ</t>
    </rPh>
    <rPh sb="5" eb="7">
      <t>チュウイ</t>
    </rPh>
    <rPh sb="7" eb="9">
      <t>ジコウ</t>
    </rPh>
    <phoneticPr fontId="2"/>
  </si>
  <si>
    <t>１．申請の際は、本Excelファイルの電子データを公社へ提出してください。</t>
    <rPh sb="2" eb="4">
      <t>シンセイ</t>
    </rPh>
    <rPh sb="5" eb="6">
      <t>サイ</t>
    </rPh>
    <rPh sb="8" eb="9">
      <t>ホン</t>
    </rPh>
    <rPh sb="19" eb="21">
      <t>デンシ</t>
    </rPh>
    <rPh sb="25" eb="27">
      <t>コウシャ</t>
    </rPh>
    <rPh sb="28" eb="30">
      <t>テイシュツ</t>
    </rPh>
    <phoneticPr fontId="2"/>
  </si>
  <si>
    <t>X：</t>
    <phoneticPr fontId="2"/>
  </si>
  <si>
    <t>A：</t>
    <phoneticPr fontId="2"/>
  </si>
  <si>
    <t>B：</t>
    <phoneticPr fontId="2"/>
  </si>
  <si>
    <t>C：</t>
    <phoneticPr fontId="2"/>
  </si>
  <si>
    <t>事業所等における概算エネルギー使用量［GJ］</t>
    <rPh sb="0" eb="3">
      <t>ジギョウショ</t>
    </rPh>
    <rPh sb="3" eb="4">
      <t>トウ</t>
    </rPh>
    <rPh sb="8" eb="10">
      <t>ガイサン</t>
    </rPh>
    <rPh sb="15" eb="18">
      <t>シヨウリョウ</t>
    </rPh>
    <phoneticPr fontId="2"/>
  </si>
  <si>
    <r>
      <t>事業所等の延床面積［ｍ</t>
    </r>
    <r>
      <rPr>
        <vertAlign val="superscript"/>
        <sz val="11"/>
        <color theme="1"/>
        <rFont val="メイリオ"/>
        <family val="3"/>
        <charset val="128"/>
      </rPr>
      <t>2</t>
    </r>
    <r>
      <rPr>
        <sz val="11"/>
        <color theme="1"/>
        <rFont val="メイリオ"/>
        <family val="3"/>
        <charset val="128"/>
      </rPr>
      <t>］</t>
    </r>
    <rPh sb="0" eb="4">
      <t>ジギョウショトウ</t>
    </rPh>
    <rPh sb="5" eb="6">
      <t>ノベ</t>
    </rPh>
    <rPh sb="6" eb="9">
      <t>ユカメンセキ</t>
    </rPh>
    <phoneticPr fontId="2"/>
  </si>
  <si>
    <r>
      <t>事業所等が属する区分におけるエネルギー原単位［MJ/ｍ</t>
    </r>
    <r>
      <rPr>
        <vertAlign val="superscript"/>
        <sz val="11"/>
        <color theme="1"/>
        <rFont val="メイリオ"/>
        <family val="3"/>
        <charset val="128"/>
      </rPr>
      <t>2</t>
    </r>
    <r>
      <rPr>
        <sz val="11"/>
        <color theme="1"/>
        <rFont val="メイリオ"/>
        <family val="3"/>
        <charset val="128"/>
      </rPr>
      <t>・h］</t>
    </r>
    <rPh sb="0" eb="3">
      <t>ジギョウショ</t>
    </rPh>
    <rPh sb="3" eb="4">
      <t>トウ</t>
    </rPh>
    <rPh sb="5" eb="6">
      <t>ゾク</t>
    </rPh>
    <rPh sb="8" eb="10">
      <t>クブン</t>
    </rPh>
    <rPh sb="19" eb="22">
      <t>ゲンタンイ</t>
    </rPh>
    <phoneticPr fontId="2"/>
  </si>
  <si>
    <t>事業所等の総稼働時間［h］</t>
    <rPh sb="0" eb="4">
      <t>ジギョウショトウ</t>
    </rPh>
    <rPh sb="5" eb="6">
      <t>ソウ</t>
    </rPh>
    <rPh sb="6" eb="8">
      <t>カドウ</t>
    </rPh>
    <rPh sb="8" eb="10">
      <t>ジカン</t>
    </rPh>
    <phoneticPr fontId="2"/>
  </si>
  <si>
    <t>事業所等の区分</t>
    <rPh sb="0" eb="4">
      <t>ジギョウショトウ</t>
    </rPh>
    <rPh sb="5" eb="7">
      <t>クブン</t>
    </rPh>
    <phoneticPr fontId="2"/>
  </si>
  <si>
    <t>事業所等の延床面積</t>
    <rPh sb="0" eb="4">
      <t>ジギョウショトウ</t>
    </rPh>
    <rPh sb="5" eb="6">
      <t>ノベ</t>
    </rPh>
    <rPh sb="6" eb="7">
      <t>ユカ</t>
    </rPh>
    <rPh sb="7" eb="9">
      <t>メンセキ</t>
    </rPh>
    <phoneticPr fontId="2"/>
  </si>
  <si>
    <r>
      <t>［ｍ</t>
    </r>
    <r>
      <rPr>
        <vertAlign val="superscript"/>
        <sz val="11"/>
        <color theme="1"/>
        <rFont val="メイリオ"/>
        <family val="3"/>
        <charset val="128"/>
      </rPr>
      <t>2</t>
    </r>
    <r>
      <rPr>
        <sz val="11"/>
        <color theme="1"/>
        <rFont val="メイリオ"/>
        <family val="3"/>
        <charset val="128"/>
      </rPr>
      <t>］</t>
    </r>
    <phoneticPr fontId="2"/>
  </si>
  <si>
    <t>区分を選択</t>
    <rPh sb="0" eb="2">
      <t>クブン</t>
    </rPh>
    <rPh sb="3" eb="5">
      <t>センタク</t>
    </rPh>
    <phoneticPr fontId="2"/>
  </si>
  <si>
    <t>事務所</t>
    <rPh sb="0" eb="2">
      <t>ジム</t>
    </rPh>
    <rPh sb="2" eb="3">
      <t>ショ</t>
    </rPh>
    <phoneticPr fontId="2"/>
  </si>
  <si>
    <t>飲食</t>
    <rPh sb="0" eb="2">
      <t>インショク</t>
    </rPh>
    <phoneticPr fontId="2"/>
  </si>
  <si>
    <t>小売（食品）</t>
    <rPh sb="0" eb="2">
      <t>コウ</t>
    </rPh>
    <rPh sb="3" eb="5">
      <t>ショクヒン</t>
    </rPh>
    <phoneticPr fontId="2"/>
  </si>
  <si>
    <t>その他小売</t>
    <rPh sb="2" eb="3">
      <t>タ</t>
    </rPh>
    <rPh sb="3" eb="5">
      <t>コウ</t>
    </rPh>
    <phoneticPr fontId="2"/>
  </si>
  <si>
    <t>原油換算</t>
    <rPh sb="0" eb="2">
      <t>ゲンユ</t>
    </rPh>
    <rPh sb="2" eb="4">
      <t>カンサン</t>
    </rPh>
    <phoneticPr fontId="2"/>
  </si>
  <si>
    <t>エネルギー概算使用量：　X　＝　A　✕　B　✕　C　／　1000</t>
    <rPh sb="5" eb="7">
      <t>ガイサン</t>
    </rPh>
    <rPh sb="7" eb="10">
      <t>シヨウリョウ</t>
    </rPh>
    <phoneticPr fontId="2"/>
  </si>
  <si>
    <t>事務所の延床面積</t>
    <rPh sb="0" eb="2">
      <t>ジム</t>
    </rPh>
    <rPh sb="2" eb="3">
      <t>ショ</t>
    </rPh>
    <rPh sb="4" eb="5">
      <t>ノベ</t>
    </rPh>
    <rPh sb="5" eb="6">
      <t>ユカ</t>
    </rPh>
    <rPh sb="6" eb="8">
      <t>メンセキ</t>
    </rPh>
    <phoneticPr fontId="2"/>
  </si>
  <si>
    <t>事務所内のサーバーを
設置している延床面積</t>
    <rPh sb="0" eb="2">
      <t>ジム</t>
    </rPh>
    <rPh sb="2" eb="3">
      <t>ショ</t>
    </rPh>
    <rPh sb="3" eb="4">
      <t>ナイ</t>
    </rPh>
    <rPh sb="11" eb="13">
      <t>セッチ</t>
    </rPh>
    <rPh sb="17" eb="18">
      <t>ノベ</t>
    </rPh>
    <rPh sb="18" eb="19">
      <t>ユカ</t>
    </rPh>
    <rPh sb="19" eb="21">
      <t>メンセキ</t>
    </rPh>
    <phoneticPr fontId="2"/>
  </si>
  <si>
    <t>［h/年］</t>
    <rPh sb="3" eb="4">
      <t>ネン</t>
    </rPh>
    <phoneticPr fontId="2"/>
  </si>
  <si>
    <t>［GJ/年］</t>
    <rPh sb="4" eb="5">
      <t>ネン</t>
    </rPh>
    <phoneticPr fontId="2"/>
  </si>
  <si>
    <t>［kL/年］</t>
    <rPh sb="4" eb="5">
      <t>ネン</t>
    </rPh>
    <phoneticPr fontId="2"/>
  </si>
  <si>
    <t>事務所の予想年間
総稼働時間</t>
    <rPh sb="0" eb="2">
      <t>ジム</t>
    </rPh>
    <rPh sb="2" eb="3">
      <t>ショ</t>
    </rPh>
    <rPh sb="4" eb="6">
      <t>ヨソウ</t>
    </rPh>
    <rPh sb="6" eb="8">
      <t>ネンカン</t>
    </rPh>
    <rPh sb="9" eb="10">
      <t>ソウ</t>
    </rPh>
    <rPh sb="10" eb="12">
      <t>カドウ</t>
    </rPh>
    <rPh sb="12" eb="14">
      <t>ジカン</t>
    </rPh>
    <phoneticPr fontId="2"/>
  </si>
  <si>
    <t>事業所等の予想年間
総稼働時間</t>
    <rPh sb="0" eb="4">
      <t>ジギョウショトウ</t>
    </rPh>
    <rPh sb="5" eb="7">
      <t>ヨソウ</t>
    </rPh>
    <rPh sb="7" eb="9">
      <t>ネンカン</t>
    </rPh>
    <rPh sb="10" eb="11">
      <t>ソウ</t>
    </rPh>
    <rPh sb="11" eb="13">
      <t>カドウ</t>
    </rPh>
    <rPh sb="13" eb="15">
      <t>ジカン</t>
    </rPh>
    <phoneticPr fontId="2"/>
  </si>
  <si>
    <t>サーバーの予想年間
総稼働時間</t>
    <rPh sb="5" eb="7">
      <t>ヨソウ</t>
    </rPh>
    <rPh sb="7" eb="9">
      <t>ネンカン</t>
    </rPh>
    <rPh sb="10" eb="11">
      <t>ソウ</t>
    </rPh>
    <rPh sb="11" eb="13">
      <t>カドウ</t>
    </rPh>
    <rPh sb="13" eb="15">
      <t>ジカン</t>
    </rPh>
    <phoneticPr fontId="2"/>
  </si>
  <si>
    <t>区分の原単位</t>
    <rPh sb="0" eb="2">
      <t>クブン</t>
    </rPh>
    <rPh sb="3" eb="6">
      <t>ゲンタンイ</t>
    </rPh>
    <phoneticPr fontId="2"/>
  </si>
  <si>
    <t>【５．年間エネルギー使用量（概算）】</t>
    <rPh sb="3" eb="5">
      <t>ネンカン</t>
    </rPh>
    <rPh sb="10" eb="12">
      <t>シヨウ</t>
    </rPh>
    <rPh sb="12" eb="13">
      <t>リョウ</t>
    </rPh>
    <rPh sb="14" eb="16">
      <t>ガイサン</t>
    </rPh>
    <phoneticPr fontId="2"/>
  </si>
  <si>
    <t>エネルギー使用量（概算）</t>
    <rPh sb="5" eb="8">
      <t>シヨウリョウ</t>
    </rPh>
    <rPh sb="9" eb="11">
      <t>ガイサン</t>
    </rPh>
    <phoneticPr fontId="2"/>
  </si>
  <si>
    <t>①推奨機器</t>
    <rPh sb="1" eb="3">
      <t>スイショウ</t>
    </rPh>
    <rPh sb="3" eb="5">
      <t>キキ</t>
    </rPh>
    <phoneticPr fontId="2"/>
  </si>
  <si>
    <t>③その他</t>
    <rPh sb="3" eb="4">
      <t>タ</t>
    </rPh>
    <phoneticPr fontId="2"/>
  </si>
  <si>
    <t>　※熱交換型換気設備または顕熱交換器を導入する場合のみ、熱交換率はエンタルピー交換効率を記入して下さい。</t>
    <rPh sb="2" eb="3">
      <t>ネツ</t>
    </rPh>
    <rPh sb="3" eb="5">
      <t>コウカン</t>
    </rPh>
    <rPh sb="5" eb="6">
      <t>カタ</t>
    </rPh>
    <rPh sb="6" eb="8">
      <t>カンキ</t>
    </rPh>
    <rPh sb="8" eb="10">
      <t>セツビ</t>
    </rPh>
    <rPh sb="13" eb="15">
      <t>ケンネツ</t>
    </rPh>
    <rPh sb="15" eb="18">
      <t>コウカンキ</t>
    </rPh>
    <rPh sb="19" eb="21">
      <t>ドウニュウ</t>
    </rPh>
    <rPh sb="23" eb="25">
      <t>バアイ</t>
    </rPh>
    <rPh sb="28" eb="31">
      <t>ネツコウカン</t>
    </rPh>
    <rPh sb="31" eb="32">
      <t>リツ</t>
    </rPh>
    <rPh sb="39" eb="41">
      <t>コウカン</t>
    </rPh>
    <rPh sb="41" eb="43">
      <t>コウリツ</t>
    </rPh>
    <rPh sb="44" eb="46">
      <t>キニュウ</t>
    </rPh>
    <rPh sb="48" eb="49">
      <t>クダ</t>
    </rPh>
    <phoneticPr fontId="2"/>
  </si>
  <si>
    <t>都市ガス［m3⇒Nm3］換算</t>
    <rPh sb="0" eb="2">
      <t>トシ</t>
    </rPh>
    <phoneticPr fontId="2"/>
  </si>
  <si>
    <t>熱交冷房入力</t>
    <rPh sb="0" eb="2">
      <t>ネツコウ</t>
    </rPh>
    <rPh sb="2" eb="4">
      <t>レイボウ</t>
    </rPh>
    <rPh sb="4" eb="6">
      <t>ニュウリョク</t>
    </rPh>
    <phoneticPr fontId="12"/>
  </si>
  <si>
    <t>熱交暖房入力</t>
    <rPh sb="0" eb="2">
      <t>ネツコウ</t>
    </rPh>
    <rPh sb="2" eb="4">
      <t>ダンボウ</t>
    </rPh>
    <rPh sb="4" eb="6">
      <t>ニュウリョク</t>
    </rPh>
    <phoneticPr fontId="12"/>
  </si>
  <si>
    <t>換気一体入力</t>
    <rPh sb="0" eb="2">
      <t>カンキ</t>
    </rPh>
    <rPh sb="2" eb="4">
      <t>イッタイ</t>
    </rPh>
    <rPh sb="4" eb="6">
      <t>ニュウリョク</t>
    </rPh>
    <phoneticPr fontId="12"/>
  </si>
  <si>
    <t>設備空欄チェック</t>
    <rPh sb="0" eb="2">
      <t>セツビ</t>
    </rPh>
    <rPh sb="2" eb="4">
      <t>クウラン</t>
    </rPh>
    <phoneticPr fontId="12"/>
  </si>
  <si>
    <t>顕熱冷房入力</t>
    <rPh sb="0" eb="2">
      <t>ケンネツ</t>
    </rPh>
    <rPh sb="2" eb="4">
      <t>レイボウ</t>
    </rPh>
    <rPh sb="4" eb="6">
      <t>ニュウリョク</t>
    </rPh>
    <phoneticPr fontId="12"/>
  </si>
  <si>
    <t>顕熱暖房入力</t>
    <rPh sb="0" eb="2">
      <t>ケンネツ</t>
    </rPh>
    <rPh sb="2" eb="4">
      <t>ダンボウ</t>
    </rPh>
    <rPh sb="4" eb="6">
      <t>ニュウリョク</t>
    </rPh>
    <phoneticPr fontId="12"/>
  </si>
  <si>
    <r>
      <rPr>
        <sz val="10"/>
        <color rgb="FFFF0000"/>
        <rFont val="メイリオ"/>
        <family val="3"/>
        <charset val="128"/>
      </rPr>
      <t>空調設備更新前後</t>
    </r>
    <r>
      <rPr>
        <sz val="10"/>
        <color theme="1"/>
        <rFont val="メイリオ"/>
        <family val="3"/>
        <charset val="128"/>
      </rPr>
      <t xml:space="preserve">
の省エネ判定</t>
    </r>
    <rPh sb="0" eb="2">
      <t>クウチョウ</t>
    </rPh>
    <rPh sb="2" eb="4">
      <t>セツビ</t>
    </rPh>
    <rPh sb="4" eb="6">
      <t>コウシン</t>
    </rPh>
    <rPh sb="6" eb="8">
      <t>ゼンゴ</t>
    </rPh>
    <rPh sb="10" eb="11">
      <t>ショウ</t>
    </rPh>
    <rPh sb="13" eb="15">
      <t>ハンテイ</t>
    </rPh>
    <phoneticPr fontId="12"/>
  </si>
  <si>
    <t>LPG:kg</t>
    <phoneticPr fontId="2"/>
  </si>
  <si>
    <r>
      <rPr>
        <sz val="12"/>
        <color rgb="FFFF0000"/>
        <rFont val="メイリオ"/>
        <family val="3"/>
        <charset val="128"/>
      </rPr>
      <t>必要換気量に係る</t>
    </r>
    <r>
      <rPr>
        <sz val="12"/>
        <color theme="1"/>
        <rFont val="メイリオ"/>
        <family val="3"/>
        <charset val="128"/>
      </rPr>
      <t xml:space="preserve">
要件判定</t>
    </r>
    <rPh sb="0" eb="2">
      <t>ヒツヨウ</t>
    </rPh>
    <rPh sb="2" eb="4">
      <t>カンキ</t>
    </rPh>
    <rPh sb="4" eb="5">
      <t>リョウ</t>
    </rPh>
    <rPh sb="6" eb="7">
      <t>カカ</t>
    </rPh>
    <rPh sb="9" eb="11">
      <t>ヨウケン</t>
    </rPh>
    <rPh sb="11" eb="13">
      <t>ハンテイ</t>
    </rPh>
    <phoneticPr fontId="2"/>
  </si>
  <si>
    <r>
      <rPr>
        <sz val="10"/>
        <color rgb="FFFF0000"/>
        <rFont val="メイリオ"/>
        <family val="3"/>
        <charset val="128"/>
      </rPr>
      <t>中小規模事業所</t>
    </r>
    <r>
      <rPr>
        <sz val="10"/>
        <color theme="1"/>
        <rFont val="メイリオ"/>
        <family val="3"/>
        <charset val="128"/>
      </rPr>
      <t xml:space="preserve">
の規模判定</t>
    </r>
    <rPh sb="0" eb="7">
      <t>チュウショウキボジギョウショ</t>
    </rPh>
    <rPh sb="9" eb="11">
      <t>キボ</t>
    </rPh>
    <rPh sb="11" eb="13">
      <t>ハンテイ</t>
    </rPh>
    <phoneticPr fontId="12"/>
  </si>
  <si>
    <t>エネルギー種別を選択</t>
    <rPh sb="5" eb="7">
      <t>シュベツ</t>
    </rPh>
    <phoneticPr fontId="12"/>
  </si>
  <si>
    <t>確認事項：事務所内の区画にサーバーを設置していますか。</t>
    <rPh sb="0" eb="2">
      <t>カクニン</t>
    </rPh>
    <rPh sb="2" eb="4">
      <t>ジコウ</t>
    </rPh>
    <phoneticPr fontId="12"/>
  </si>
  <si>
    <t>事務所</t>
    <rPh sb="0" eb="3">
      <t>ジムショ</t>
    </rPh>
    <phoneticPr fontId="2"/>
  </si>
  <si>
    <t>サーバーの設置を確認</t>
  </si>
  <si>
    <t>【空調設備】</t>
    <rPh sb="1" eb="3">
      <t>クウチョウ</t>
    </rPh>
    <rPh sb="3" eb="5">
      <t>セツビ</t>
    </rPh>
    <phoneticPr fontId="2"/>
  </si>
  <si>
    <t>教育施設（私学以外）</t>
    <rPh sb="0" eb="4">
      <t>キョウイクシセツ</t>
    </rPh>
    <rPh sb="5" eb="7">
      <t>シガク</t>
    </rPh>
    <rPh sb="7" eb="9">
      <t>イガイ</t>
    </rPh>
    <phoneticPr fontId="12"/>
  </si>
  <si>
    <t>工場</t>
    <rPh sb="0" eb="2">
      <t>コウジョウ</t>
    </rPh>
    <phoneticPr fontId="2"/>
  </si>
  <si>
    <t>倉庫</t>
    <rPh sb="0" eb="2">
      <t>ソウコ</t>
    </rPh>
    <phoneticPr fontId="12"/>
  </si>
  <si>
    <t>私学学校</t>
    <rPh sb="0" eb="2">
      <t>シガク</t>
    </rPh>
    <rPh sb="2" eb="4">
      <t>ガッコウ</t>
    </rPh>
    <phoneticPr fontId="12"/>
  </si>
  <si>
    <t>高効率換気入力</t>
    <rPh sb="0" eb="1">
      <t>コウ</t>
    </rPh>
    <rPh sb="1" eb="3">
      <t>コウリツ</t>
    </rPh>
    <rPh sb="3" eb="5">
      <t>カンキ</t>
    </rPh>
    <rPh sb="5" eb="7">
      <t>ニュウリョク</t>
    </rPh>
    <phoneticPr fontId="12"/>
  </si>
  <si>
    <t>　　なお、既設の熱交換型換気設備等を継続して使用する場合、導入の区分は必ず＜継続＞を選択してください。</t>
    <rPh sb="5" eb="7">
      <t>キセツ</t>
    </rPh>
    <rPh sb="8" eb="11">
      <t>ネツコウカン</t>
    </rPh>
    <rPh sb="11" eb="12">
      <t>カタ</t>
    </rPh>
    <rPh sb="12" eb="14">
      <t>カンキ</t>
    </rPh>
    <rPh sb="14" eb="16">
      <t>セツビ</t>
    </rPh>
    <rPh sb="16" eb="17">
      <t>トウ</t>
    </rPh>
    <rPh sb="18" eb="20">
      <t>ケイゾク</t>
    </rPh>
    <rPh sb="22" eb="24">
      <t>シヨウ</t>
    </rPh>
    <rPh sb="26" eb="28">
      <t>バアイ</t>
    </rPh>
    <rPh sb="35" eb="36">
      <t>カナラ</t>
    </rPh>
    <rPh sb="42" eb="44">
      <t>センタク</t>
    </rPh>
    <phoneticPr fontId="2"/>
  </si>
  <si>
    <t>【室用途】</t>
    <rPh sb="1" eb="2">
      <t>シツ</t>
    </rPh>
    <rPh sb="2" eb="4">
      <t>ヨウト</t>
    </rPh>
    <phoneticPr fontId="2"/>
  </si>
  <si>
    <t>工場</t>
    <rPh sb="0" eb="2">
      <t>コウジョウ</t>
    </rPh>
    <phoneticPr fontId="12"/>
  </si>
  <si>
    <t>空調設備の種類</t>
    <rPh sb="0" eb="2">
      <t>クウチョウ</t>
    </rPh>
    <rPh sb="2" eb="4">
      <t>セツビ</t>
    </rPh>
    <rPh sb="5" eb="7">
      <t>シュルイ</t>
    </rPh>
    <phoneticPr fontId="2"/>
  </si>
  <si>
    <r>
      <t>＜換気設備の新旧機器リスト入力表＞</t>
    </r>
    <r>
      <rPr>
        <sz val="14"/>
        <color rgb="FFFF0000"/>
        <rFont val="メイリオ"/>
        <family val="3"/>
        <charset val="128"/>
      </rPr>
      <t>（機器型番ごとにまとめて記入すること）</t>
    </r>
    <rPh sb="1" eb="3">
      <t>カンキ</t>
    </rPh>
    <rPh sb="3" eb="5">
      <t>セツビ</t>
    </rPh>
    <rPh sb="6" eb="8">
      <t>シンキュウ</t>
    </rPh>
    <rPh sb="8" eb="10">
      <t>キキ</t>
    </rPh>
    <rPh sb="13" eb="15">
      <t>ニュウリョク</t>
    </rPh>
    <rPh sb="15" eb="16">
      <t>ヒョウ</t>
    </rPh>
    <rPh sb="29" eb="31">
      <t>キニュウ</t>
    </rPh>
    <phoneticPr fontId="2"/>
  </si>
  <si>
    <r>
      <t>＜空調設備の新旧機器リスト入力表＞</t>
    </r>
    <r>
      <rPr>
        <sz val="14"/>
        <color rgb="FFFF0000"/>
        <rFont val="メイリオ"/>
        <family val="3"/>
        <charset val="128"/>
      </rPr>
      <t>（機器型番ごとにまとめて記入すること）</t>
    </r>
    <rPh sb="1" eb="3">
      <t>クウチョウ</t>
    </rPh>
    <rPh sb="3" eb="5">
      <t>セツビ</t>
    </rPh>
    <rPh sb="6" eb="8">
      <t>シンキュウ</t>
    </rPh>
    <rPh sb="8" eb="10">
      <t>キキ</t>
    </rPh>
    <rPh sb="13" eb="15">
      <t>ニュウリョク</t>
    </rPh>
    <rPh sb="15" eb="16">
      <t>ヒョウ</t>
    </rPh>
    <rPh sb="29" eb="31">
      <t>キニュウ</t>
    </rPh>
    <phoneticPr fontId="2"/>
  </si>
  <si>
    <t>機械換気確認</t>
    <rPh sb="0" eb="2">
      <t>キカイ</t>
    </rPh>
    <rPh sb="2" eb="4">
      <t>カンキ</t>
    </rPh>
    <rPh sb="4" eb="6">
      <t>カクニン</t>
    </rPh>
    <phoneticPr fontId="12"/>
  </si>
  <si>
    <t>熱交要件</t>
    <rPh sb="0" eb="2">
      <t>ネツコウ</t>
    </rPh>
    <rPh sb="2" eb="4">
      <t>ヨウケン</t>
    </rPh>
    <phoneticPr fontId="12"/>
  </si>
  <si>
    <t>選択確認</t>
    <rPh sb="0" eb="2">
      <t>センタク</t>
    </rPh>
    <rPh sb="2" eb="4">
      <t>カクニン</t>
    </rPh>
    <phoneticPr fontId="12"/>
  </si>
  <si>
    <t>空調選択確認</t>
    <rPh sb="0" eb="2">
      <t>クウチョウ</t>
    </rPh>
    <rPh sb="2" eb="4">
      <t>センタク</t>
    </rPh>
    <rPh sb="4" eb="6">
      <t>カクニン</t>
    </rPh>
    <phoneticPr fontId="12"/>
  </si>
  <si>
    <t>エネ選択確認</t>
    <rPh sb="2" eb="4">
      <t>センタク</t>
    </rPh>
    <rPh sb="4" eb="6">
      <t>カクニン</t>
    </rPh>
    <phoneticPr fontId="12"/>
  </si>
  <si>
    <t>エネ確認</t>
    <rPh sb="2" eb="4">
      <t>カクニン</t>
    </rPh>
    <phoneticPr fontId="12"/>
  </si>
  <si>
    <t>空調確認</t>
    <rPh sb="0" eb="2">
      <t>クウチョウ</t>
    </rPh>
    <rPh sb="2" eb="4">
      <t>カクニン</t>
    </rPh>
    <phoneticPr fontId="12"/>
  </si>
  <si>
    <t>換気一体要件</t>
    <rPh sb="0" eb="2">
      <t>カンキ</t>
    </rPh>
    <rPh sb="2" eb="4">
      <t>イッタイ</t>
    </rPh>
    <rPh sb="4" eb="6">
      <t>ヨウケン</t>
    </rPh>
    <phoneticPr fontId="12"/>
  </si>
  <si>
    <t>構成型番（室外機）</t>
    <rPh sb="0" eb="2">
      <t>コウセイ</t>
    </rPh>
    <rPh sb="2" eb="4">
      <t>カタバン</t>
    </rPh>
    <rPh sb="5" eb="8">
      <t>シツガイキ</t>
    </rPh>
    <phoneticPr fontId="2"/>
  </si>
  <si>
    <t>B_1</t>
    <phoneticPr fontId="2"/>
  </si>
  <si>
    <t>B_2</t>
  </si>
  <si>
    <t>B_3</t>
  </si>
  <si>
    <t>B_4</t>
  </si>
  <si>
    <t>B_5</t>
  </si>
  <si>
    <t>B_6</t>
  </si>
  <si>
    <t>B_7</t>
  </si>
  <si>
    <t>B_8</t>
  </si>
  <si>
    <t>B_9</t>
  </si>
  <si>
    <t>B_10</t>
  </si>
  <si>
    <t>C_1</t>
    <phoneticPr fontId="2"/>
  </si>
  <si>
    <t>C_2</t>
  </si>
  <si>
    <t>C_3</t>
  </si>
  <si>
    <t>C_4</t>
  </si>
  <si>
    <t>C_5</t>
  </si>
  <si>
    <t>C_6</t>
  </si>
  <si>
    <t>C_7</t>
  </si>
  <si>
    <t>C_8</t>
  </si>
  <si>
    <t>C_9</t>
  </si>
  <si>
    <t>C_10</t>
  </si>
  <si>
    <t>D_1</t>
    <phoneticPr fontId="2"/>
  </si>
  <si>
    <t>D_2</t>
  </si>
  <si>
    <t>D_3</t>
  </si>
  <si>
    <t>D_4</t>
  </si>
  <si>
    <t>D_5</t>
  </si>
  <si>
    <t>D_6</t>
  </si>
  <si>
    <t>D_7</t>
  </si>
  <si>
    <t>D_8</t>
  </si>
  <si>
    <t>D_9</t>
  </si>
  <si>
    <t>D_10</t>
  </si>
  <si>
    <t>C_2</t>
    <phoneticPr fontId="12"/>
  </si>
  <si>
    <t>D_2</t>
    <phoneticPr fontId="12"/>
  </si>
  <si>
    <t>1</t>
    <phoneticPr fontId="2"/>
  </si>
  <si>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</si>
  <si>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</si>
  <si>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</si>
  <si>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</si>
  <si>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</si>
  <si>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</si>
  <si>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</si>
  <si>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</si>
  <si>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</si>
  <si>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</si>
  <si>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</si>
  <si>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</si>
  <si>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</si>
  <si>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</si>
  <si>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</si>
  <si>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</si>
  <si>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</si>
  <si>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</si>
  <si>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</si>
  <si>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</si>
  <si>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</si>
  <si>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</si>
  <si>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</si>
  <si>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</si>
  <si>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</si>
  <si>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</si>
  <si>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</si>
  <si>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</si>
  <si>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</si>
  <si>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r>
      <t xml:space="preserve">利用人数
（人/室）
</t>
    </r>
    <r>
      <rPr>
        <sz val="12"/>
        <color rgb="FFFF0000"/>
        <rFont val="メイリオ"/>
        <family val="3"/>
        <charset val="128"/>
      </rPr>
      <t>※入室する最大人数を記入すること</t>
    </r>
    <rPh sb="0" eb="2">
      <t>リヨウ</t>
    </rPh>
    <rPh sb="2" eb="4">
      <t>ニンズウ</t>
    </rPh>
    <rPh sb="6" eb="7">
      <t>ヒト</t>
    </rPh>
    <rPh sb="8" eb="9">
      <t>シツ</t>
    </rPh>
    <rPh sb="12" eb="14">
      <t>ニュウシツ</t>
    </rPh>
    <rPh sb="16" eb="18">
      <t>サイダイ</t>
    </rPh>
    <rPh sb="18" eb="20">
      <t>ニンズウ</t>
    </rPh>
    <rPh sb="21" eb="23">
      <t>キニュウ</t>
    </rPh>
    <phoneticPr fontId="12"/>
  </si>
  <si>
    <t>A_11</t>
  </si>
  <si>
    <t>B_11</t>
  </si>
  <si>
    <t>B_12</t>
  </si>
  <si>
    <t>B_13</t>
  </si>
  <si>
    <t>B_14</t>
  </si>
  <si>
    <t>B_15</t>
  </si>
  <si>
    <t>B_16</t>
  </si>
  <si>
    <t>B_17</t>
  </si>
  <si>
    <t>B_18</t>
  </si>
  <si>
    <t>B_19</t>
  </si>
  <si>
    <t>B_20</t>
  </si>
  <si>
    <t>C_11</t>
  </si>
  <si>
    <t>C_12</t>
  </si>
  <si>
    <t>C_13</t>
  </si>
  <si>
    <t>C_14</t>
  </si>
  <si>
    <t>C_15</t>
  </si>
  <si>
    <t>C_16</t>
  </si>
  <si>
    <t>C_17</t>
  </si>
  <si>
    <t>C_18</t>
  </si>
  <si>
    <t>C_19</t>
  </si>
  <si>
    <t>C_20</t>
  </si>
  <si>
    <t>D_11</t>
  </si>
  <si>
    <t>D_12</t>
  </si>
  <si>
    <t>D_13</t>
  </si>
  <si>
    <t>D_14</t>
  </si>
  <si>
    <t>D_15</t>
  </si>
  <si>
    <t>D_16</t>
  </si>
  <si>
    <t>D_17</t>
  </si>
  <si>
    <t>D_18</t>
  </si>
  <si>
    <t>D_19</t>
  </si>
  <si>
    <t>D_20</t>
  </si>
  <si>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</si>
  <si>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</si>
  <si>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</si>
  <si>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</si>
  <si>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</si>
  <si>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</si>
  <si>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</si>
  <si>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</si>
  <si>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</si>
  <si>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</si>
  <si>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31</t>
  </si>
  <si>
    <t>32</t>
  </si>
  <si>
    <t>33</t>
  </si>
  <si>
    <t>34</t>
  </si>
  <si>
    <t>35</t>
  </si>
  <si>
    <t>36</t>
  </si>
  <si>
    <t>37</t>
  </si>
  <si>
    <t>38</t>
  </si>
  <si>
    <t>39</t>
  </si>
  <si>
    <t>40</t>
  </si>
  <si>
    <t>41</t>
  </si>
  <si>
    <t>42</t>
  </si>
  <si>
    <t>43</t>
  </si>
  <si>
    <t>44</t>
  </si>
  <si>
    <t>45</t>
  </si>
  <si>
    <t>46</t>
  </si>
  <si>
    <t>47</t>
  </si>
  <si>
    <t>48</t>
  </si>
  <si>
    <t>49</t>
  </si>
  <si>
    <t>50</t>
  </si>
  <si>
    <r>
      <rPr>
        <sz val="12"/>
        <rFont val="メイリオ"/>
        <family val="3"/>
        <charset val="128"/>
      </rPr>
      <t>６．要件判定欄に</t>
    </r>
    <r>
      <rPr>
        <sz val="12"/>
        <color rgb="FFFF0000"/>
        <rFont val="メイリオ"/>
        <family val="3"/>
        <charset val="128"/>
      </rPr>
      <t>、"必要換気量に係る要件を満たしています。"</t>
    </r>
    <r>
      <rPr>
        <sz val="12"/>
        <rFont val="メイリオ"/>
        <family val="3"/>
        <charset val="128"/>
      </rPr>
      <t>　と表示される場合のみ、申請できます。</t>
    </r>
    <rPh sb="2" eb="4">
      <t>ヨウケン</t>
    </rPh>
    <rPh sb="4" eb="7">
      <t>ハンテイラン</t>
    </rPh>
    <rPh sb="32" eb="34">
      <t>ヒョウジ</t>
    </rPh>
    <rPh sb="37" eb="39">
      <t>バアイ</t>
    </rPh>
    <rPh sb="42" eb="44">
      <t>シンセイ</t>
    </rPh>
    <phoneticPr fontId="2"/>
  </si>
  <si>
    <t>５．外気との給気または排気を伴わない送風設備等の風量は、換気量に含まれません。</t>
    <rPh sb="2" eb="4">
      <t>ガイキ</t>
    </rPh>
    <rPh sb="6" eb="8">
      <t>キュウキ</t>
    </rPh>
    <rPh sb="11" eb="13">
      <t>ハイキ</t>
    </rPh>
    <rPh sb="14" eb="15">
      <t>トモナ</t>
    </rPh>
    <rPh sb="18" eb="20">
      <t>ソウフウ</t>
    </rPh>
    <rPh sb="20" eb="22">
      <t>セツビ</t>
    </rPh>
    <rPh sb="22" eb="23">
      <t>トウ</t>
    </rPh>
    <rPh sb="24" eb="26">
      <t>フウリョウ</t>
    </rPh>
    <rPh sb="28" eb="30">
      <t>カンキ</t>
    </rPh>
    <rPh sb="30" eb="31">
      <t>リョウ</t>
    </rPh>
    <rPh sb="32" eb="33">
      <t>フク</t>
    </rPh>
    <phoneticPr fontId="2"/>
  </si>
  <si>
    <r>
      <t>４．自然換気の換気量は、</t>
    </r>
    <r>
      <rPr>
        <sz val="12"/>
        <color rgb="FFFF0000"/>
        <rFont val="メイリオ"/>
        <family val="3"/>
        <charset val="128"/>
      </rPr>
      <t>「０」</t>
    </r>
    <r>
      <rPr>
        <sz val="12"/>
        <rFont val="メイリオ"/>
        <family val="3"/>
        <charset val="128"/>
      </rPr>
      <t>を入力してください。</t>
    </r>
    <rPh sb="2" eb="4">
      <t>シゼン</t>
    </rPh>
    <rPh sb="4" eb="6">
      <t>カンキ</t>
    </rPh>
    <rPh sb="7" eb="9">
      <t>カンキ</t>
    </rPh>
    <rPh sb="9" eb="10">
      <t>リョウ</t>
    </rPh>
    <rPh sb="16" eb="18">
      <t>ニュウリョク</t>
    </rPh>
    <phoneticPr fontId="2"/>
  </si>
  <si>
    <r>
      <t>　　該当する要件の確認資料として、</t>
    </r>
    <r>
      <rPr>
        <sz val="12"/>
        <color rgb="FFFF0000"/>
        <rFont val="メイリオ"/>
        <family val="3"/>
        <charset val="128"/>
      </rPr>
      <t>「導入推奨機器検索画面のコピー」</t>
    </r>
    <r>
      <rPr>
        <sz val="12"/>
        <rFont val="メイリオ"/>
        <family val="3"/>
        <charset val="128"/>
      </rPr>
      <t>等を提出してください。</t>
    </r>
    <rPh sb="2" eb="4">
      <t>ガイトウ</t>
    </rPh>
    <rPh sb="6" eb="8">
      <t>ヨウケン</t>
    </rPh>
    <rPh sb="9" eb="11">
      <t>カクニン</t>
    </rPh>
    <rPh sb="11" eb="13">
      <t>シリョウ</t>
    </rPh>
    <rPh sb="18" eb="20">
      <t>ドウニュウ</t>
    </rPh>
    <rPh sb="20" eb="22">
      <t>スイショウ</t>
    </rPh>
    <rPh sb="22" eb="24">
      <t>キキ</t>
    </rPh>
    <rPh sb="24" eb="26">
      <t>ケンサク</t>
    </rPh>
    <rPh sb="26" eb="28">
      <t>ガメン</t>
    </rPh>
    <rPh sb="33" eb="34">
      <t>トウ</t>
    </rPh>
    <rPh sb="35" eb="37">
      <t>テイシュツ</t>
    </rPh>
    <phoneticPr fontId="12"/>
  </si>
  <si>
    <t>　　なお、表中の「計」欄は、12か月すべてに入力が無い場合は、12か月分に補正した値が表示されます。</t>
    <rPh sb="5" eb="6">
      <t>ヒョウ</t>
    </rPh>
    <rPh sb="6" eb="7">
      <t>チュウ</t>
    </rPh>
    <rPh sb="9" eb="10">
      <t>ケイ</t>
    </rPh>
    <rPh sb="11" eb="12">
      <t>ラン</t>
    </rPh>
    <rPh sb="17" eb="18">
      <t>ゲツ</t>
    </rPh>
    <rPh sb="22" eb="24">
      <t>ニュウリョク</t>
    </rPh>
    <rPh sb="25" eb="26">
      <t>ナ</t>
    </rPh>
    <rPh sb="27" eb="29">
      <t>バアイ</t>
    </rPh>
    <rPh sb="34" eb="36">
      <t>ゲツブン</t>
    </rPh>
    <rPh sb="37" eb="39">
      <t>ホセイ</t>
    </rPh>
    <rPh sb="41" eb="42">
      <t>アタイ</t>
    </rPh>
    <rPh sb="43" eb="45">
      <t>ヒョウジ</t>
    </rPh>
    <phoneticPr fontId="2"/>
  </si>
  <si>
    <r>
      <t>１．</t>
    </r>
    <r>
      <rPr>
        <sz val="10"/>
        <color rgb="FFFF0000"/>
        <rFont val="メイリオ"/>
        <family val="3"/>
        <charset val="128"/>
      </rPr>
      <t>令和３年度</t>
    </r>
    <r>
      <rPr>
        <sz val="10"/>
        <rFont val="メイリオ"/>
        <family val="3"/>
        <charset val="128"/>
      </rPr>
      <t>（2021年度）の電気、ガス及びその他のエネルギー使用量を下記表に入力してください。</t>
    </r>
    <rPh sb="2" eb="4">
      <t>レイワ</t>
    </rPh>
    <rPh sb="5" eb="7">
      <t>ネンド</t>
    </rPh>
    <rPh sb="12" eb="14">
      <t>ネンド</t>
    </rPh>
    <rPh sb="21" eb="22">
      <t>オヨ</t>
    </rPh>
    <rPh sb="25" eb="26">
      <t>タ</t>
    </rPh>
    <rPh sb="32" eb="34">
      <t>シヨウ</t>
    </rPh>
    <rPh sb="34" eb="35">
      <t>リョウ</t>
    </rPh>
    <rPh sb="36" eb="38">
      <t>カキ</t>
    </rPh>
    <rPh sb="38" eb="39">
      <t>ヒョウ</t>
    </rPh>
    <rPh sb="40" eb="42">
      <t>ニュウリョク</t>
    </rPh>
    <phoneticPr fontId="2"/>
  </si>
  <si>
    <r>
      <t xml:space="preserve">料金[円]
</t>
    </r>
    <r>
      <rPr>
        <sz val="10"/>
        <color theme="1"/>
        <rFont val="メイリオ"/>
        <family val="3"/>
        <charset val="128"/>
      </rPr>
      <t>（税込み）</t>
    </r>
    <rPh sb="0" eb="2">
      <t>リョウキン</t>
    </rPh>
    <rPh sb="3" eb="4">
      <t>エン</t>
    </rPh>
    <phoneticPr fontId="2"/>
  </si>
  <si>
    <r>
      <t xml:space="preserve">使用期間
</t>
    </r>
    <r>
      <rPr>
        <sz val="9"/>
        <color theme="1"/>
        <rFont val="メイリオ"/>
        <family val="3"/>
        <charset val="128"/>
      </rPr>
      <t>［ 月 日～ 月 日］</t>
    </r>
    <rPh sb="0" eb="2">
      <t>シヨウ</t>
    </rPh>
    <rPh sb="2" eb="4">
      <t>キカン</t>
    </rPh>
    <rPh sb="7" eb="8">
      <t>ガツ</t>
    </rPh>
    <rPh sb="9" eb="10">
      <t>ヒ</t>
    </rPh>
    <rPh sb="12" eb="13">
      <t>ツキ</t>
    </rPh>
    <rPh sb="14" eb="15">
      <t>ヒ</t>
    </rPh>
    <phoneticPr fontId="12"/>
  </si>
  <si>
    <t>原油換算
［kL］</t>
    <phoneticPr fontId="12"/>
  </si>
  <si>
    <t>合計</t>
    <rPh sb="0" eb="2">
      <t>ゴウケイ</t>
    </rPh>
    <phoneticPr fontId="2"/>
  </si>
  <si>
    <r>
      <rPr>
        <sz val="12"/>
        <color rgb="FFFF0000"/>
        <rFont val="メイリオ"/>
        <family val="3"/>
        <charset val="128"/>
      </rPr>
      <t>換気設備</t>
    </r>
    <r>
      <rPr>
        <sz val="12"/>
        <color theme="1"/>
        <rFont val="メイリオ"/>
        <family val="2"/>
        <charset val="128"/>
      </rPr>
      <t>の導入要件</t>
    </r>
    <phoneticPr fontId="12"/>
  </si>
  <si>
    <t>51</t>
  </si>
  <si>
    <t>52</t>
  </si>
  <si>
    <t>53</t>
  </si>
  <si>
    <t>54</t>
  </si>
  <si>
    <t>55</t>
  </si>
  <si>
    <t>56</t>
  </si>
  <si>
    <t>57</t>
  </si>
  <si>
    <t>58</t>
  </si>
  <si>
    <t>59</t>
  </si>
  <si>
    <t>60</t>
  </si>
  <si>
    <r>
      <t>　・料金は、</t>
    </r>
    <r>
      <rPr>
        <sz val="10"/>
        <color rgb="FFFF0000"/>
        <rFont val="メイリオ"/>
        <family val="3"/>
        <charset val="128"/>
      </rPr>
      <t>税込み金額</t>
    </r>
    <r>
      <rPr>
        <sz val="10"/>
        <rFont val="メイリオ"/>
        <family val="3"/>
        <charset val="128"/>
      </rPr>
      <t>を入力すること。</t>
    </r>
    <rPh sb="2" eb="4">
      <t>リョウキン</t>
    </rPh>
    <rPh sb="6" eb="8">
      <t>ゼイコ</t>
    </rPh>
    <rPh sb="9" eb="11">
      <t>キンガク</t>
    </rPh>
    <rPh sb="12" eb="14">
      <t>ニュウリョク</t>
    </rPh>
    <phoneticPr fontId="2"/>
  </si>
  <si>
    <t>マイナス確認</t>
    <rPh sb="4" eb="6">
      <t>カクニン</t>
    </rPh>
    <phoneticPr fontId="12"/>
  </si>
  <si>
    <r>
      <t>事業範囲に設置されているすべての換気設備について入力してください。</t>
    </r>
    <r>
      <rPr>
        <sz val="14"/>
        <color rgb="FFFF0000"/>
        <rFont val="メイリオ"/>
        <family val="3"/>
        <charset val="128"/>
      </rPr>
      <t>（機器型番ごとにまとめて記入すること）</t>
    </r>
    <rPh sb="0" eb="2">
      <t>ジギョウ</t>
    </rPh>
    <rPh sb="2" eb="4">
      <t>ハンイ</t>
    </rPh>
    <rPh sb="5" eb="7">
      <t>セッチ</t>
    </rPh>
    <rPh sb="16" eb="18">
      <t>カンキ</t>
    </rPh>
    <rPh sb="34" eb="36">
      <t>キキ</t>
    </rPh>
    <rPh sb="36" eb="38">
      <t>カタバン</t>
    </rPh>
    <rPh sb="45" eb="47">
      <t>キニュウ</t>
    </rPh>
    <phoneticPr fontId="2"/>
  </si>
  <si>
    <r>
      <t>今回新たに新設、更新、増設する換気設備並びに、継続使用する換気設備について入力してください。</t>
    </r>
    <r>
      <rPr>
        <sz val="14"/>
        <color rgb="FFFF0000"/>
        <rFont val="メイリオ"/>
        <family val="3"/>
        <charset val="128"/>
      </rPr>
      <t>（機器型番ごとにまとめて記入すること）</t>
    </r>
    <rPh sb="5" eb="7">
      <t>シンセツ</t>
    </rPh>
    <rPh sb="15" eb="17">
      <t>カンキ</t>
    </rPh>
    <rPh sb="17" eb="19">
      <t>セツビ</t>
    </rPh>
    <rPh sb="29" eb="31">
      <t>カンキ</t>
    </rPh>
    <rPh sb="31" eb="33">
      <t>セツビ</t>
    </rPh>
    <rPh sb="58" eb="60">
      <t>キニュウ</t>
    </rPh>
    <phoneticPr fontId="2"/>
  </si>
  <si>
    <t>←記入事項に不備がある場合、セルが＜橙色＞になります。</t>
    <rPh sb="1" eb="3">
      <t>キニュウ</t>
    </rPh>
    <rPh sb="3" eb="5">
      <t>ジコウ</t>
    </rPh>
    <rPh sb="6" eb="8">
      <t>フビ</t>
    </rPh>
    <rPh sb="11" eb="13">
      <t>バアイ</t>
    </rPh>
    <rPh sb="18" eb="19">
      <t>ダイダイ</t>
    </rPh>
    <phoneticPr fontId="2"/>
  </si>
  <si>
    <t>←記入事項に不備がある場合、セルが＜黄色＞になります。</t>
    <rPh sb="1" eb="3">
      <t>キニュウ</t>
    </rPh>
    <rPh sb="3" eb="5">
      <t>ジコウ</t>
    </rPh>
    <rPh sb="6" eb="8">
      <t>フビ</t>
    </rPh>
    <rPh sb="11" eb="13">
      <t>バアイ</t>
    </rPh>
    <rPh sb="18" eb="20">
      <t>キイロ</t>
    </rPh>
    <phoneticPr fontId="2"/>
  </si>
  <si>
    <t>←プルダウンメニューより＜室用途＞選択してください。</t>
    <rPh sb="13" eb="14">
      <t>シツ</t>
    </rPh>
    <rPh sb="14" eb="16">
      <t>ヨウト</t>
    </rPh>
    <rPh sb="17" eb="19">
      <t>センタク</t>
    </rPh>
    <phoneticPr fontId="2"/>
  </si>
  <si>
    <t>←プルダウンメニューより＜空調設備の種類＞選択してください。</t>
    <rPh sb="13" eb="15">
      <t>クウチョウ</t>
    </rPh>
    <rPh sb="15" eb="17">
      <t>セツビ</t>
    </rPh>
    <rPh sb="18" eb="20">
      <t>シュルイ</t>
    </rPh>
    <rPh sb="21" eb="23">
      <t>センタク</t>
    </rPh>
    <phoneticPr fontId="2"/>
  </si>
  <si>
    <t>←プルダウンメニューより＜エネルギー種別＞選択してください。</t>
    <rPh sb="18" eb="20">
      <t>シュベツ</t>
    </rPh>
    <rPh sb="21" eb="23">
      <t>センタク</t>
    </rPh>
    <phoneticPr fontId="2"/>
  </si>
  <si>
    <t>←プルダウンメニューより＜単位＞選択してください。</t>
    <rPh sb="13" eb="15">
      <t>タンイ</t>
    </rPh>
    <rPh sb="16" eb="18">
      <t>センタク</t>
    </rPh>
    <phoneticPr fontId="2"/>
  </si>
  <si>
    <t>←省エネ化の要件を満たさない場合、セルが＜黄色＞、文字が＜朱色＞になります。</t>
    <rPh sb="1" eb="2">
      <t>ショウ</t>
    </rPh>
    <rPh sb="4" eb="5">
      <t>カ</t>
    </rPh>
    <rPh sb="6" eb="8">
      <t>ヨウケン</t>
    </rPh>
    <rPh sb="9" eb="10">
      <t>ミ</t>
    </rPh>
    <rPh sb="14" eb="16">
      <t>バアイ</t>
    </rPh>
    <rPh sb="21" eb="23">
      <t>キイロ</t>
    </rPh>
    <rPh sb="25" eb="27">
      <t>モジ</t>
    </rPh>
    <rPh sb="29" eb="31">
      <t>シュイロ</t>
    </rPh>
    <phoneticPr fontId="2"/>
  </si>
  <si>
    <t>記入値が要件を満たさない場合、セルが＜黄色＞、文字が＜朱色＞になります。</t>
    <rPh sb="0" eb="2">
      <t>キニュウ</t>
    </rPh>
    <rPh sb="2" eb="3">
      <t>チ</t>
    </rPh>
    <rPh sb="4" eb="6">
      <t>ヨウケン</t>
    </rPh>
    <rPh sb="7" eb="8">
      <t>ミ</t>
    </rPh>
    <rPh sb="12" eb="14">
      <t>バアイ</t>
    </rPh>
    <rPh sb="23" eb="25">
      <t>モジ</t>
    </rPh>
    <rPh sb="27" eb="29">
      <t>シュイロ</t>
    </rPh>
    <phoneticPr fontId="2"/>
  </si>
  <si>
    <t>都市ガス</t>
  </si>
  <si>
    <t>［m3］</t>
  </si>
  <si>
    <t>空欄チェック</t>
    <rPh sb="0" eb="2">
      <t>クウラン</t>
    </rPh>
    <phoneticPr fontId="12"/>
  </si>
  <si>
    <t>期間入力</t>
    <rPh sb="0" eb="2">
      <t>キカン</t>
    </rPh>
    <rPh sb="2" eb="4">
      <t>ニュウリョク</t>
    </rPh>
    <phoneticPr fontId="2"/>
  </si>
  <si>
    <t>数値入力</t>
    <rPh sb="0" eb="2">
      <t>スウチ</t>
    </rPh>
    <rPh sb="2" eb="4">
      <t>ニュウリョク</t>
    </rPh>
    <phoneticPr fontId="2"/>
  </si>
  <si>
    <t>入力チェック</t>
    <rPh sb="0" eb="2">
      <t>ニュウリョク</t>
    </rPh>
    <phoneticPr fontId="2"/>
  </si>
  <si>
    <t>使用量!P21</t>
    <phoneticPr fontId="2"/>
  </si>
  <si>
    <t>使用量!P33</t>
    <phoneticPr fontId="2"/>
  </si>
  <si>
    <t>電気</t>
    <rPh sb="0" eb="2">
      <t>デンキ</t>
    </rPh>
    <phoneticPr fontId="2"/>
  </si>
  <si>
    <t>LPG</t>
  </si>
  <si>
    <t>LPG</t>
    <phoneticPr fontId="2"/>
  </si>
  <si>
    <t>LNG</t>
    <phoneticPr fontId="2"/>
  </si>
  <si>
    <t>都市ガス</t>
    <phoneticPr fontId="2"/>
  </si>
  <si>
    <t>［Nm3］</t>
    <phoneticPr fontId="2"/>
  </si>
  <si>
    <t>水素</t>
    <rPh sb="0" eb="2">
      <t>スイソ</t>
    </rPh>
    <phoneticPr fontId="2"/>
  </si>
  <si>
    <t>天然ガス</t>
    <rPh sb="0" eb="2">
      <t>テンネン</t>
    </rPh>
    <phoneticPr fontId="2"/>
  </si>
  <si>
    <t>使用量!P44</t>
    <phoneticPr fontId="2"/>
  </si>
  <si>
    <t>使用量!P55</t>
    <phoneticPr fontId="2"/>
  </si>
  <si>
    <t>使用量!P66</t>
    <phoneticPr fontId="2"/>
  </si>
  <si>
    <t>使用量!P77</t>
    <phoneticPr fontId="2"/>
  </si>
  <si>
    <t>［kg］</t>
  </si>
  <si>
    <t>種別を選択</t>
  </si>
  <si>
    <t>導入の区分</t>
  </si>
  <si>
    <r>
      <t>　・入力する値は、提出するエネルギー使用量の</t>
    </r>
    <r>
      <rPr>
        <sz val="10"/>
        <color rgb="FFFF0000"/>
        <rFont val="メイリオ"/>
        <family val="3"/>
        <charset val="128"/>
      </rPr>
      <t>証憑等</t>
    </r>
    <r>
      <rPr>
        <sz val="10"/>
        <rFont val="メイリオ"/>
        <family val="3"/>
        <charset val="128"/>
      </rPr>
      <t>と一致すること。</t>
    </r>
    <rPh sb="2" eb="4">
      <t>ニュウリョク</t>
    </rPh>
    <rPh sb="6" eb="7">
      <t>アタイ</t>
    </rPh>
    <rPh sb="9" eb="11">
      <t>テイシュツ</t>
    </rPh>
    <rPh sb="18" eb="21">
      <t>シヨウリョウ</t>
    </rPh>
    <rPh sb="22" eb="24">
      <t>ショウヒョウ</t>
    </rPh>
    <rPh sb="24" eb="25">
      <t>トウ</t>
    </rPh>
    <rPh sb="26" eb="28">
      <t>イッチ</t>
    </rPh>
    <phoneticPr fontId="2"/>
  </si>
  <si>
    <r>
      <t>３．</t>
    </r>
    <r>
      <rPr>
        <sz val="10"/>
        <color rgb="FFFF0000"/>
        <rFont val="メイリオ"/>
        <family val="3"/>
        <charset val="128"/>
      </rPr>
      <t>新規開業等</t>
    </r>
    <r>
      <rPr>
        <sz val="10"/>
        <rFont val="メイリオ"/>
        <family val="3"/>
        <charset val="128"/>
      </rPr>
      <t>によりエネルギー使用量が全く無い場合は、「</t>
    </r>
    <r>
      <rPr>
        <sz val="10"/>
        <color rgb="FFFF0000"/>
        <rFont val="メイリオ"/>
        <family val="3"/>
        <charset val="128"/>
      </rPr>
      <t>５．年間エネルギー使用量（概算）</t>
    </r>
    <r>
      <rPr>
        <sz val="10"/>
        <rFont val="メイリオ"/>
        <family val="3"/>
        <charset val="128"/>
      </rPr>
      <t>」シートに記入してください。</t>
    </r>
    <rPh sb="2" eb="4">
      <t>シンキ</t>
    </rPh>
    <rPh sb="4" eb="6">
      <t>カイギョウ</t>
    </rPh>
    <rPh sb="6" eb="7">
      <t>トウ</t>
    </rPh>
    <rPh sb="15" eb="17">
      <t>シヨウ</t>
    </rPh>
    <rPh sb="17" eb="18">
      <t>リョウ</t>
    </rPh>
    <rPh sb="19" eb="20">
      <t>マッタ</t>
    </rPh>
    <rPh sb="21" eb="22">
      <t>ナ</t>
    </rPh>
    <rPh sb="23" eb="25">
      <t>バアイ</t>
    </rPh>
    <rPh sb="41" eb="43">
      <t>ガイサン</t>
    </rPh>
    <rPh sb="49" eb="51">
      <t>キニュウ</t>
    </rPh>
    <phoneticPr fontId="2"/>
  </si>
  <si>
    <r>
      <t>１．</t>
    </r>
    <r>
      <rPr>
        <sz val="10"/>
        <color rgb="FFFF0000"/>
        <rFont val="メイリオ"/>
        <family val="3"/>
        <charset val="128"/>
      </rPr>
      <t>新規開業等</t>
    </r>
    <r>
      <rPr>
        <sz val="10"/>
        <rFont val="メイリオ"/>
        <family val="3"/>
        <charset val="128"/>
      </rPr>
      <t>によりエネルギー使用量が全く無い場合は、本シートに記入してください。</t>
    </r>
    <rPh sb="2" eb="4">
      <t>シンキ</t>
    </rPh>
    <rPh sb="4" eb="6">
      <t>カイギョウ</t>
    </rPh>
    <rPh sb="6" eb="7">
      <t>トウ</t>
    </rPh>
    <rPh sb="15" eb="17">
      <t>シヨウ</t>
    </rPh>
    <rPh sb="17" eb="18">
      <t>リョウ</t>
    </rPh>
    <rPh sb="19" eb="20">
      <t>マッタ</t>
    </rPh>
    <rPh sb="21" eb="22">
      <t>ナ</t>
    </rPh>
    <rPh sb="23" eb="25">
      <t>バアイ</t>
    </rPh>
    <rPh sb="27" eb="28">
      <t>ホン</t>
    </rPh>
    <rPh sb="32" eb="34">
      <t>キニュウ</t>
    </rPh>
    <phoneticPr fontId="2"/>
  </si>
  <si>
    <r>
      <t>　</t>
    </r>
    <r>
      <rPr>
        <b/>
        <sz val="10"/>
        <color rgb="FFFF0000"/>
        <rFont val="メイリオ"/>
        <family val="3"/>
        <charset val="128"/>
      </rPr>
      <t>ア</t>
    </r>
    <r>
      <rPr>
        <sz val="10"/>
        <rFont val="メイリオ"/>
        <family val="3"/>
        <charset val="128"/>
      </rPr>
      <t>　事務所内の区画にサーバーを設置していない。</t>
    </r>
    <rPh sb="3" eb="5">
      <t>ジム</t>
    </rPh>
    <rPh sb="5" eb="6">
      <t>ショ</t>
    </rPh>
    <rPh sb="6" eb="7">
      <t>ナイ</t>
    </rPh>
    <rPh sb="8" eb="10">
      <t>クカク</t>
    </rPh>
    <rPh sb="16" eb="18">
      <t>セッチ</t>
    </rPh>
    <phoneticPr fontId="2"/>
  </si>
  <si>
    <r>
      <t>　</t>
    </r>
    <r>
      <rPr>
        <b/>
        <sz val="10"/>
        <color rgb="FFFF0000"/>
        <rFont val="メイリオ"/>
        <family val="3"/>
        <charset val="128"/>
      </rPr>
      <t>イ</t>
    </r>
    <r>
      <rPr>
        <sz val="10"/>
        <rFont val="メイリオ"/>
        <family val="3"/>
        <charset val="128"/>
      </rPr>
      <t>　事務所内の区画にサーバーを設置している。</t>
    </r>
    <rPh sb="3" eb="5">
      <t>ジム</t>
    </rPh>
    <rPh sb="5" eb="6">
      <t>ショ</t>
    </rPh>
    <rPh sb="6" eb="7">
      <t>ナイ</t>
    </rPh>
    <rPh sb="8" eb="10">
      <t>クカク</t>
    </rPh>
    <rPh sb="16" eb="18">
      <t>セッチ</t>
    </rPh>
    <phoneticPr fontId="2"/>
  </si>
  <si>
    <r>
      <t>２．確認事項を選択の上、＜</t>
    </r>
    <r>
      <rPr>
        <b/>
        <sz val="10"/>
        <color rgb="FFFF0000"/>
        <rFont val="メイリオ"/>
        <family val="3"/>
        <charset val="128"/>
      </rPr>
      <t>ア</t>
    </r>
    <r>
      <rPr>
        <sz val="10"/>
        <rFont val="メイリオ"/>
        <family val="3"/>
        <charset val="128"/>
      </rPr>
      <t>＞、＜</t>
    </r>
    <r>
      <rPr>
        <b/>
        <sz val="10"/>
        <color rgb="FFFF0000"/>
        <rFont val="メイリオ"/>
        <family val="3"/>
        <charset val="128"/>
      </rPr>
      <t>イ</t>
    </r>
    <r>
      <rPr>
        <sz val="10"/>
        <rFont val="メイリオ"/>
        <family val="3"/>
        <charset val="128"/>
      </rPr>
      <t>＞のいずれか該当する表を使用してください。</t>
    </r>
    <rPh sb="2" eb="4">
      <t>カクニン</t>
    </rPh>
    <rPh sb="4" eb="6">
      <t>ジコウ</t>
    </rPh>
    <rPh sb="7" eb="9">
      <t>センタク</t>
    </rPh>
    <rPh sb="10" eb="11">
      <t>ウエ</t>
    </rPh>
    <rPh sb="24" eb="26">
      <t>ガイトウ</t>
    </rPh>
    <rPh sb="28" eb="29">
      <t>ヒョウ</t>
    </rPh>
    <rPh sb="30" eb="32">
      <t>シヨウ</t>
    </rPh>
    <phoneticPr fontId="2"/>
  </si>
  <si>
    <r>
      <rPr>
        <b/>
        <sz val="11"/>
        <color rgb="FFFF0000"/>
        <rFont val="メイリオ"/>
        <family val="3"/>
        <charset val="128"/>
      </rPr>
      <t>ア　</t>
    </r>
    <r>
      <rPr>
        <sz val="11"/>
        <color theme="1"/>
        <rFont val="メイリオ"/>
        <family val="3"/>
        <charset val="128"/>
      </rPr>
      <t>事務所内の区画にサーバーを設置していない。</t>
    </r>
    <rPh sb="2" eb="4">
      <t>ジム</t>
    </rPh>
    <rPh sb="4" eb="5">
      <t>ショ</t>
    </rPh>
    <rPh sb="5" eb="6">
      <t>ナイ</t>
    </rPh>
    <rPh sb="7" eb="9">
      <t>クカク</t>
    </rPh>
    <rPh sb="15" eb="17">
      <t>セッチ</t>
    </rPh>
    <phoneticPr fontId="2"/>
  </si>
  <si>
    <r>
      <rPr>
        <b/>
        <sz val="11"/>
        <color rgb="FFFF0000"/>
        <rFont val="メイリオ"/>
        <family val="3"/>
        <charset val="128"/>
      </rPr>
      <t>イ</t>
    </r>
    <r>
      <rPr>
        <sz val="11"/>
        <color theme="1"/>
        <rFont val="メイリオ"/>
        <family val="3"/>
        <charset val="128"/>
      </rPr>
      <t>　事務所内の区画にサーバーを設置している。</t>
    </r>
    <rPh sb="2" eb="4">
      <t>ジム</t>
    </rPh>
    <rPh sb="4" eb="5">
      <t>ショ</t>
    </rPh>
    <rPh sb="5" eb="6">
      <t>ナイ</t>
    </rPh>
    <rPh sb="7" eb="9">
      <t>クカク</t>
    </rPh>
    <rPh sb="15" eb="17">
      <t>セッチ</t>
    </rPh>
    <phoneticPr fontId="2"/>
  </si>
  <si>
    <r>
      <t>※　サーバーを設置していない場合は、「</t>
    </r>
    <r>
      <rPr>
        <b/>
        <sz val="9"/>
        <color rgb="FFFF0000"/>
        <rFont val="メイリオ"/>
        <family val="3"/>
        <charset val="128"/>
      </rPr>
      <t>ア</t>
    </r>
    <r>
      <rPr>
        <sz val="9"/>
        <rFont val="メイリオ"/>
        <family val="3"/>
        <charset val="128"/>
      </rPr>
      <t>の表」に入力。
　　サーバーを設置している場合は、　「</t>
    </r>
    <r>
      <rPr>
        <b/>
        <sz val="9"/>
        <color rgb="FFFF0000"/>
        <rFont val="メイリオ"/>
        <family val="3"/>
        <charset val="128"/>
      </rPr>
      <t>イ</t>
    </r>
    <r>
      <rPr>
        <sz val="9"/>
        <rFont val="メイリオ"/>
        <family val="3"/>
        <charset val="128"/>
      </rPr>
      <t>の表」に入力。</t>
    </r>
    <rPh sb="7" eb="9">
      <t>セッチ</t>
    </rPh>
    <rPh sb="14" eb="16">
      <t>バアイ</t>
    </rPh>
    <rPh sb="21" eb="22">
      <t>ヒョウ</t>
    </rPh>
    <rPh sb="24" eb="26">
      <t>ニュウリョク</t>
    </rPh>
    <rPh sb="49" eb="50">
      <t>ヒョウ</t>
    </rPh>
    <phoneticPr fontId="12"/>
  </si>
  <si>
    <r>
      <t>３．機械換気の換気量は、常時使用できる最大風量＜</t>
    </r>
    <r>
      <rPr>
        <sz val="12"/>
        <color rgb="FFFF0000"/>
        <rFont val="メイリオ"/>
        <family val="3"/>
        <charset val="128"/>
      </rPr>
      <t>強</t>
    </r>
    <r>
      <rPr>
        <sz val="12"/>
        <rFont val="メイリオ"/>
        <family val="3"/>
        <charset val="128"/>
      </rPr>
      <t>＞の有効換気量を入力してください。</t>
    </r>
    <rPh sb="2" eb="4">
      <t>キカイ</t>
    </rPh>
    <rPh sb="4" eb="6">
      <t>カンキ</t>
    </rPh>
    <rPh sb="7" eb="9">
      <t>カンキ</t>
    </rPh>
    <rPh sb="9" eb="10">
      <t>リョウ</t>
    </rPh>
    <rPh sb="12" eb="16">
      <t>ジョウジシヨウ</t>
    </rPh>
    <rPh sb="19" eb="21">
      <t>サイダイ</t>
    </rPh>
    <rPh sb="21" eb="23">
      <t>フウリョウ</t>
    </rPh>
    <rPh sb="24" eb="25">
      <t>キョウ</t>
    </rPh>
    <rPh sb="27" eb="29">
      <t>ユウコウ</t>
    </rPh>
    <rPh sb="29" eb="31">
      <t>カンキ</t>
    </rPh>
    <rPh sb="31" eb="32">
      <t>リョウ</t>
    </rPh>
    <rPh sb="33" eb="35">
      <t>ニュウリョク</t>
    </rPh>
    <phoneticPr fontId="2"/>
  </si>
  <si>
    <r>
      <t>　　有効換気量は、ダクトなどの</t>
    </r>
    <r>
      <rPr>
        <sz val="12"/>
        <color rgb="FFFF0000"/>
        <rFont val="メイリオ"/>
        <family val="3"/>
        <charset val="128"/>
      </rPr>
      <t>圧力損失</t>
    </r>
    <r>
      <rPr>
        <sz val="12"/>
        <rFont val="メイリオ"/>
        <family val="3"/>
        <charset val="128"/>
      </rPr>
      <t>・</t>
    </r>
    <r>
      <rPr>
        <sz val="12"/>
        <color rgb="FFFF0000"/>
        <rFont val="メイリオ"/>
        <family val="3"/>
        <charset val="128"/>
      </rPr>
      <t>静圧等</t>
    </r>
    <r>
      <rPr>
        <sz val="12"/>
        <rFont val="メイリオ"/>
        <family val="3"/>
        <charset val="128"/>
      </rPr>
      <t>を考慮した換気量になります。</t>
    </r>
    <rPh sb="20" eb="22">
      <t>セイアツ</t>
    </rPh>
    <rPh sb="22" eb="23">
      <t>トウ</t>
    </rPh>
    <phoneticPr fontId="2"/>
  </si>
  <si>
    <t>換気量要件</t>
    <rPh sb="0" eb="2">
      <t>カンキ</t>
    </rPh>
    <rPh sb="2" eb="3">
      <t>リョウ</t>
    </rPh>
    <rPh sb="3" eb="5">
      <t>ヨウケン</t>
    </rPh>
    <phoneticPr fontId="2"/>
  </si>
  <si>
    <t>換気量減少確認</t>
    <rPh sb="0" eb="2">
      <t>カンキ</t>
    </rPh>
    <rPh sb="2" eb="3">
      <t>リョウ</t>
    </rPh>
    <rPh sb="3" eb="5">
      <t>ゲンショウ</t>
    </rPh>
    <rPh sb="5" eb="7">
      <t>カクニン</t>
    </rPh>
    <phoneticPr fontId="2"/>
  </si>
  <si>
    <t>室用途入力確認</t>
    <rPh sb="0" eb="1">
      <t>シツ</t>
    </rPh>
    <rPh sb="1" eb="3">
      <t>ヨウト</t>
    </rPh>
    <rPh sb="3" eb="5">
      <t>ニュウリョク</t>
    </rPh>
    <rPh sb="5" eb="7">
      <t>カクニン</t>
    </rPh>
    <phoneticPr fontId="2"/>
  </si>
  <si>
    <t>空欄確認</t>
    <rPh sb="0" eb="2">
      <t>クウラン</t>
    </rPh>
    <rPh sb="2" eb="4">
      <t>カクニン</t>
    </rPh>
    <phoneticPr fontId="2"/>
  </si>
  <si>
    <t>結果</t>
    <rPh sb="0" eb="2">
      <t>ケッカ</t>
    </rPh>
    <phoneticPr fontId="2"/>
  </si>
  <si>
    <t>換気設備導入要件</t>
    <rPh sb="0" eb="2">
      <t>カンキ</t>
    </rPh>
    <rPh sb="2" eb="4">
      <t>セツビ</t>
    </rPh>
    <rPh sb="4" eb="6">
      <t>ドウニュウ</t>
    </rPh>
    <rPh sb="6" eb="8">
      <t>ヨウケン</t>
    </rPh>
    <phoneticPr fontId="2"/>
  </si>
  <si>
    <r>
      <t>１．旧設備として＜機械換気設備＞がない</t>
    </r>
    <r>
      <rPr>
        <sz val="12"/>
        <color rgb="FFFF0000"/>
        <rFont val="メイリオ"/>
        <family val="3"/>
        <charset val="128"/>
      </rPr>
      <t>自然換気のみの場合</t>
    </r>
    <r>
      <rPr>
        <sz val="12"/>
        <rFont val="メイリオ"/>
        <family val="3"/>
        <charset val="128"/>
      </rPr>
      <t>は、「旧設備」欄は</t>
    </r>
    <r>
      <rPr>
        <sz val="12"/>
        <color rgb="FFFF0000"/>
        <rFont val="メイリオ"/>
        <family val="3"/>
        <charset val="128"/>
      </rPr>
      <t>空欄</t>
    </r>
    <r>
      <rPr>
        <sz val="12"/>
        <rFont val="メイリオ"/>
        <family val="3"/>
        <charset val="128"/>
      </rPr>
      <t>とし、「新設備」欄のみ記入してください。</t>
    </r>
    <rPh sb="2" eb="3">
      <t>キュウ</t>
    </rPh>
    <rPh sb="3" eb="5">
      <t>セツビ</t>
    </rPh>
    <rPh sb="9" eb="11">
      <t>キカイ</t>
    </rPh>
    <rPh sb="11" eb="13">
      <t>カンキ</t>
    </rPh>
    <rPh sb="13" eb="15">
      <t>セツビ</t>
    </rPh>
    <rPh sb="19" eb="21">
      <t>シゼン</t>
    </rPh>
    <rPh sb="21" eb="23">
      <t>カンキ</t>
    </rPh>
    <rPh sb="26" eb="28">
      <t>バアイ</t>
    </rPh>
    <rPh sb="31" eb="34">
      <t>キュウセツビ</t>
    </rPh>
    <rPh sb="35" eb="36">
      <t>ラン</t>
    </rPh>
    <rPh sb="37" eb="39">
      <t>クウラン</t>
    </rPh>
    <rPh sb="43" eb="44">
      <t>シン</t>
    </rPh>
    <rPh sb="44" eb="46">
      <t>セツビ</t>
    </rPh>
    <rPh sb="47" eb="48">
      <t>ラン</t>
    </rPh>
    <rPh sb="50" eb="52">
      <t>キニュウ</t>
    </rPh>
    <phoneticPr fontId="2"/>
  </si>
  <si>
    <t>換気方法と換気量確認</t>
    <rPh sb="0" eb="2">
      <t>カンキ</t>
    </rPh>
    <rPh sb="2" eb="4">
      <t>ホウホウ</t>
    </rPh>
    <rPh sb="5" eb="8">
      <t>カンキリョウ</t>
    </rPh>
    <rPh sb="8" eb="10">
      <t>カクニン</t>
    </rPh>
    <phoneticPr fontId="2"/>
  </si>
  <si>
    <t>排気</t>
    <rPh sb="0" eb="2">
      <t>ハイキ</t>
    </rPh>
    <phoneticPr fontId="2"/>
  </si>
  <si>
    <t>給気</t>
    <rPh sb="0" eb="2">
      <t>キュウキ</t>
    </rPh>
    <phoneticPr fontId="2"/>
  </si>
  <si>
    <t>排気_計</t>
    <rPh sb="0" eb="2">
      <t>ハイキ</t>
    </rPh>
    <rPh sb="3" eb="4">
      <t>ケイ</t>
    </rPh>
    <phoneticPr fontId="2"/>
  </si>
  <si>
    <t>給気_計</t>
    <rPh sb="0" eb="2">
      <t>キュウキ</t>
    </rPh>
    <rPh sb="3" eb="4">
      <t>ケイ</t>
    </rPh>
    <phoneticPr fontId="2"/>
  </si>
  <si>
    <t>換気量_小計[㎥/h]</t>
    <rPh sb="0" eb="2">
      <t>カンキ</t>
    </rPh>
    <rPh sb="2" eb="3">
      <t>リョウ</t>
    </rPh>
    <rPh sb="4" eb="6">
      <t>ショウケイ</t>
    </rPh>
    <phoneticPr fontId="2"/>
  </si>
  <si>
    <t>消費電力_小計[W]</t>
    <rPh sb="0" eb="2">
      <t>ショウヒ</t>
    </rPh>
    <rPh sb="2" eb="4">
      <t>デンリョク</t>
    </rPh>
    <rPh sb="5" eb="7">
      <t>ショウケイ</t>
    </rPh>
    <phoneticPr fontId="2"/>
  </si>
  <si>
    <t>換気の方法</t>
    <rPh sb="0" eb="2">
      <t>カンキ</t>
    </rPh>
    <rPh sb="3" eb="5">
      <t>ホウホウ</t>
    </rPh>
    <phoneticPr fontId="2"/>
  </si>
  <si>
    <t>廃棄</t>
    <rPh sb="0" eb="2">
      <t>ハイキ</t>
    </rPh>
    <phoneticPr fontId="2"/>
  </si>
  <si>
    <t xml:space="preserve"> プルダウンメニューより＜換気設備の種類＞選択してください。</t>
    <rPh sb="13" eb="15">
      <t>カンキ</t>
    </rPh>
    <rPh sb="15" eb="17">
      <t>セツビ</t>
    </rPh>
    <rPh sb="18" eb="20">
      <t>シュルイ</t>
    </rPh>
    <rPh sb="21" eb="23">
      <t>センタク</t>
    </rPh>
    <phoneticPr fontId="2"/>
  </si>
  <si>
    <t>温水・冷水</t>
  </si>
  <si>
    <t>産業用蒸気</t>
  </si>
  <si>
    <t>産業用以外の蒸気</t>
  </si>
  <si>
    <t>灯油</t>
  </si>
  <si>
    <t>軽油</t>
  </si>
  <si>
    <t>A重油</t>
  </si>
  <si>
    <t>B・Ｃ重油</t>
  </si>
  <si>
    <t>換気量チェック</t>
    <rPh sb="0" eb="3">
      <t>カンキリョウ</t>
    </rPh>
    <phoneticPr fontId="12"/>
  </si>
  <si>
    <t>旧換気量</t>
    <rPh sb="0" eb="1">
      <t>キュウ</t>
    </rPh>
    <rPh sb="1" eb="4">
      <t>カンキリョウ</t>
    </rPh>
    <phoneticPr fontId="12"/>
  </si>
  <si>
    <t>新換気量</t>
    <rPh sb="0" eb="1">
      <t>シン</t>
    </rPh>
    <rPh sb="1" eb="4">
      <t>カンキリョウ</t>
    </rPh>
    <phoneticPr fontId="12"/>
  </si>
  <si>
    <t>他人からの供給を受けた場合は、＜1＞</t>
    <rPh sb="0" eb="2">
      <t>タニン</t>
    </rPh>
    <rPh sb="5" eb="7">
      <t>キョウキュウ</t>
    </rPh>
    <rPh sb="8" eb="9">
      <t>ウ</t>
    </rPh>
    <rPh sb="11" eb="13">
      <t>バアイ</t>
    </rPh>
    <phoneticPr fontId="2"/>
  </si>
  <si>
    <t>温水・冷水［MJ］：</t>
    <rPh sb="0" eb="2">
      <t>オンスイ</t>
    </rPh>
    <rPh sb="3" eb="5">
      <t>レイスイ</t>
    </rPh>
    <phoneticPr fontId="12"/>
  </si>
  <si>
    <t>産業用蒸気［MJ］：</t>
    <rPh sb="0" eb="3">
      <t>サンギョウヨウ</t>
    </rPh>
    <rPh sb="3" eb="5">
      <t>ジョウキ</t>
    </rPh>
    <phoneticPr fontId="15"/>
  </si>
  <si>
    <t>産業用以外の蒸気［MJ］：</t>
    <rPh sb="0" eb="3">
      <t>サンギョウヨウ</t>
    </rPh>
    <rPh sb="3" eb="5">
      <t>イガイ</t>
    </rPh>
    <rPh sb="6" eb="8">
      <t>ジョウキ</t>
    </rPh>
    <phoneticPr fontId="15"/>
  </si>
  <si>
    <t>補器（排気）</t>
    <rPh sb="0" eb="2">
      <t>ホキ</t>
    </rPh>
    <rPh sb="3" eb="5">
      <t>ハイキ</t>
    </rPh>
    <phoneticPr fontId="2"/>
  </si>
  <si>
    <t>補器（給気）</t>
    <rPh sb="0" eb="2">
      <t>ホキ</t>
    </rPh>
    <rPh sb="3" eb="5">
      <t>キュウキ</t>
    </rPh>
    <phoneticPr fontId="2"/>
  </si>
  <si>
    <r>
      <t>６．熱交換型換気設備の導入は、＜</t>
    </r>
    <r>
      <rPr>
        <sz val="12"/>
        <color rgb="FFFF0000"/>
        <rFont val="メイリオ"/>
        <family val="3"/>
        <charset val="128"/>
      </rPr>
      <t>工場・倉庫</t>
    </r>
    <r>
      <rPr>
        <sz val="12"/>
        <rFont val="メイリオ"/>
        <family val="3"/>
        <charset val="128"/>
      </rPr>
      <t>＞のみ対象となります。</t>
    </r>
    <rPh sb="2" eb="3">
      <t>ネツ</t>
    </rPh>
    <rPh sb="3" eb="5">
      <t>コウカン</t>
    </rPh>
    <rPh sb="5" eb="6">
      <t>カタ</t>
    </rPh>
    <rPh sb="6" eb="8">
      <t>カンキ</t>
    </rPh>
    <rPh sb="8" eb="10">
      <t>セツビ</t>
    </rPh>
    <rPh sb="11" eb="13">
      <t>ドウニュウ</t>
    </rPh>
    <rPh sb="16" eb="18">
      <t>コウジョウ</t>
    </rPh>
    <rPh sb="19" eb="21">
      <t>ソウコ</t>
    </rPh>
    <rPh sb="24" eb="26">
      <t>タイショウ</t>
    </rPh>
    <phoneticPr fontId="2"/>
  </si>
  <si>
    <t>　　なお、補器の換気量は、導入設備の換気量として加算されません。</t>
    <rPh sb="5" eb="7">
      <t>ホキ</t>
    </rPh>
    <rPh sb="8" eb="11">
      <t>カンキリョウ</t>
    </rPh>
    <rPh sb="13" eb="15">
      <t>ドウニュウ</t>
    </rPh>
    <rPh sb="15" eb="17">
      <t>セツビ</t>
    </rPh>
    <rPh sb="18" eb="21">
      <t>カンキリョウ</t>
    </rPh>
    <rPh sb="24" eb="26">
      <t>カサン</t>
    </rPh>
    <phoneticPr fontId="2"/>
  </si>
  <si>
    <r>
      <t>更新する室内に設置された既設空調設備の室外機について入力してください。</t>
    </r>
    <r>
      <rPr>
        <sz val="14"/>
        <color rgb="FFFF0000"/>
        <rFont val="メイリオ"/>
        <family val="3"/>
        <charset val="128"/>
      </rPr>
      <t>（機器型番ごとにまとめること）</t>
    </r>
    <rPh sb="0" eb="2">
      <t>コウシン</t>
    </rPh>
    <rPh sb="4" eb="5">
      <t>シツ</t>
    </rPh>
    <rPh sb="5" eb="6">
      <t>ナイ</t>
    </rPh>
    <rPh sb="7" eb="9">
      <t>セッチ</t>
    </rPh>
    <rPh sb="12" eb="14">
      <t>キセツ</t>
    </rPh>
    <rPh sb="14" eb="16">
      <t>クウチョウ</t>
    </rPh>
    <rPh sb="16" eb="18">
      <t>セツビ</t>
    </rPh>
    <rPh sb="19" eb="22">
      <t>シツガイキ</t>
    </rPh>
    <phoneticPr fontId="2"/>
  </si>
  <si>
    <r>
      <t>更新後の室内に設置される更新及び既設空調設備の室外機について入力してください。</t>
    </r>
    <r>
      <rPr>
        <sz val="14"/>
        <color rgb="FFFF0000"/>
        <rFont val="メイリオ"/>
        <family val="3"/>
        <charset val="128"/>
      </rPr>
      <t>（機器型番ごとにまとめること）</t>
    </r>
    <rPh sb="0" eb="2">
      <t>コウシン</t>
    </rPh>
    <rPh sb="2" eb="3">
      <t>ゴ</t>
    </rPh>
    <rPh sb="4" eb="5">
      <t>シツ</t>
    </rPh>
    <rPh sb="5" eb="6">
      <t>ナイ</t>
    </rPh>
    <rPh sb="7" eb="9">
      <t>セッチ</t>
    </rPh>
    <rPh sb="12" eb="14">
      <t>コウシン</t>
    </rPh>
    <rPh sb="14" eb="15">
      <t>オヨ</t>
    </rPh>
    <rPh sb="16" eb="18">
      <t>キセツ</t>
    </rPh>
    <rPh sb="18" eb="20">
      <t>クウチョウ</t>
    </rPh>
    <rPh sb="20" eb="22">
      <t>セツビ</t>
    </rPh>
    <rPh sb="23" eb="26">
      <t>シツガイキ</t>
    </rPh>
    <phoneticPr fontId="2"/>
  </si>
  <si>
    <r>
      <t>　　なお、本事業の対象範囲に設置された継続使用する設備及び</t>
    </r>
    <r>
      <rPr>
        <sz val="12"/>
        <color rgb="FFFF0000"/>
        <rFont val="メイリオ"/>
        <family val="3"/>
        <charset val="128"/>
      </rPr>
      <t>廃棄設備</t>
    </r>
    <r>
      <rPr>
        <sz val="12"/>
        <rFont val="メイリオ"/>
        <family val="3"/>
        <charset val="128"/>
      </rPr>
      <t>についても必ず記入してください。</t>
    </r>
    <rPh sb="5" eb="8">
      <t>ホンジギョウ</t>
    </rPh>
    <rPh sb="9" eb="11">
      <t>タイショウ</t>
    </rPh>
    <rPh sb="11" eb="13">
      <t>ハンイ</t>
    </rPh>
    <rPh sb="14" eb="16">
      <t>セッチ</t>
    </rPh>
    <rPh sb="19" eb="21">
      <t>ケイゾク</t>
    </rPh>
    <rPh sb="21" eb="23">
      <t>シヨウ</t>
    </rPh>
    <rPh sb="25" eb="27">
      <t>セツビ</t>
    </rPh>
    <rPh sb="27" eb="28">
      <t>オヨ</t>
    </rPh>
    <rPh sb="29" eb="31">
      <t>ハイキ</t>
    </rPh>
    <rPh sb="31" eb="33">
      <t>セツビ</t>
    </rPh>
    <rPh sb="38" eb="39">
      <t>カナラ</t>
    </rPh>
    <rPh sb="40" eb="42">
      <t>キニュウ</t>
    </rPh>
    <phoneticPr fontId="2"/>
  </si>
  <si>
    <t>能力［kW］</t>
    <rPh sb="0" eb="2">
      <t>ノウリョク</t>
    </rPh>
    <phoneticPr fontId="2"/>
  </si>
  <si>
    <t>電気</t>
    <rPh sb="0" eb="2">
      <t>デンキ</t>
    </rPh>
    <phoneticPr fontId="2"/>
  </si>
  <si>
    <t>●その他のエネルギー</t>
    <phoneticPr fontId="2"/>
  </si>
  <si>
    <t>※複数の契約が有る場合は、＜●その他のエネルギー＞欄に記入してください。</t>
    <rPh sb="1" eb="3">
      <t>フクスウ</t>
    </rPh>
    <rPh sb="4" eb="6">
      <t>ケイヤク</t>
    </rPh>
    <rPh sb="7" eb="8">
      <t>ア</t>
    </rPh>
    <rPh sb="9" eb="11">
      <t>バアイ</t>
    </rPh>
    <rPh sb="17" eb="18">
      <t>タ</t>
    </rPh>
    <rPh sb="25" eb="26">
      <t>ラン</t>
    </rPh>
    <rPh sb="27" eb="29">
      <t>キニュウ</t>
    </rPh>
    <phoneticPr fontId="2"/>
  </si>
  <si>
    <t>●その他のエネルギー１　使用量・料金</t>
    <rPh sb="3" eb="4">
      <t>タ</t>
    </rPh>
    <rPh sb="12" eb="15">
      <t>シヨウリョウ</t>
    </rPh>
    <rPh sb="16" eb="18">
      <t>リョウキン</t>
    </rPh>
    <phoneticPr fontId="2"/>
  </si>
  <si>
    <t>●その他のエネルギー２　使用量・料金</t>
    <rPh sb="3" eb="4">
      <t>タ</t>
    </rPh>
    <rPh sb="12" eb="15">
      <t>シヨウリョウ</t>
    </rPh>
    <rPh sb="16" eb="18">
      <t>リョウキン</t>
    </rPh>
    <phoneticPr fontId="2"/>
  </si>
  <si>
    <t>●その他のエネルギー３　使用量・料金</t>
    <rPh sb="3" eb="4">
      <t>タ</t>
    </rPh>
    <rPh sb="12" eb="15">
      <t>シヨウリョウ</t>
    </rPh>
    <rPh sb="16" eb="18">
      <t>リョウキン</t>
    </rPh>
    <phoneticPr fontId="2"/>
  </si>
  <si>
    <t>●その他のエネルギー４　使用量・料金</t>
    <rPh sb="3" eb="4">
      <t>タ</t>
    </rPh>
    <rPh sb="12" eb="15">
      <t>シヨウリョウ</t>
    </rPh>
    <rPh sb="16" eb="18">
      <t>リョウキン</t>
    </rPh>
    <phoneticPr fontId="2"/>
  </si>
  <si>
    <t>●都市ガス又はLPG　使用量・ガス料金</t>
    <rPh sb="1" eb="3">
      <t>トシ</t>
    </rPh>
    <rPh sb="5" eb="6">
      <t>マタ</t>
    </rPh>
    <rPh sb="11" eb="14">
      <t>シヨウリョウ</t>
    </rPh>
    <rPh sb="17" eb="19">
      <t>リョウキン</t>
    </rPh>
    <phoneticPr fontId="2"/>
  </si>
  <si>
    <t>※都市ガスとLPG両方の使用が有る場合は、都市ガスを＜●その他のエネルギー＞欄に記入してください。</t>
    <rPh sb="1" eb="3">
      <t>トシ</t>
    </rPh>
    <rPh sb="9" eb="11">
      <t>リョウホウ</t>
    </rPh>
    <rPh sb="12" eb="14">
      <t>シヨウ</t>
    </rPh>
    <rPh sb="15" eb="16">
      <t>ア</t>
    </rPh>
    <rPh sb="17" eb="19">
      <t>バアイ</t>
    </rPh>
    <rPh sb="21" eb="23">
      <t>トシ</t>
    </rPh>
    <rPh sb="30" eb="31">
      <t>タ</t>
    </rPh>
    <rPh sb="38" eb="39">
      <t>ラン</t>
    </rPh>
    <rPh sb="40" eb="42">
      <t>キニュウ</t>
    </rPh>
    <phoneticPr fontId="2"/>
  </si>
  <si>
    <r>
      <t>２．</t>
    </r>
    <r>
      <rPr>
        <sz val="10"/>
        <color rgb="FFFF0000"/>
        <rFont val="メイリオ"/>
        <family val="3"/>
        <charset val="128"/>
      </rPr>
      <t>年度途中から営業開始等の場合</t>
    </r>
    <r>
      <rPr>
        <sz val="10"/>
        <rFont val="メイリオ"/>
        <family val="3"/>
        <charset val="128"/>
      </rPr>
      <t>は使用年度を選択の上、直近までの実績値を入力してください。</t>
    </r>
    <rPh sb="2" eb="4">
      <t>ネンド</t>
    </rPh>
    <rPh sb="4" eb="6">
      <t>トチュウ</t>
    </rPh>
    <rPh sb="8" eb="10">
      <t>エイギョウ</t>
    </rPh>
    <rPh sb="10" eb="12">
      <t>カイシ</t>
    </rPh>
    <rPh sb="12" eb="13">
      <t>トウ</t>
    </rPh>
    <rPh sb="14" eb="16">
      <t>バアイ</t>
    </rPh>
    <rPh sb="17" eb="19">
      <t>シヨウ</t>
    </rPh>
    <rPh sb="19" eb="21">
      <t>ネンド</t>
    </rPh>
    <rPh sb="22" eb="24">
      <t>センタク</t>
    </rPh>
    <rPh sb="25" eb="26">
      <t>ウエ</t>
    </rPh>
    <rPh sb="27" eb="29">
      <t>チョッキン</t>
    </rPh>
    <rPh sb="32" eb="34">
      <t>ジッセキ</t>
    </rPh>
    <rPh sb="34" eb="35">
      <t>チ</t>
    </rPh>
    <rPh sb="36" eb="38">
      <t xml:space="preserve">ニュウリョクシテクダサイ </t>
    </rPh>
    <phoneticPr fontId="2"/>
  </si>
  <si>
    <t>◆契約内容を右記に記載：</t>
    <rPh sb="1" eb="3">
      <t>ケイヤク</t>
    </rPh>
    <rPh sb="3" eb="5">
      <t>ナイヨウ</t>
    </rPh>
    <rPh sb="6" eb="8">
      <t>ウキ</t>
    </rPh>
    <rPh sb="9" eb="11">
      <t>キサイ</t>
    </rPh>
    <phoneticPr fontId="2"/>
  </si>
  <si>
    <t>給気・排気</t>
    <rPh sb="0" eb="1">
      <t>キュウ</t>
    </rPh>
    <rPh sb="1" eb="2">
      <t>キ</t>
    </rPh>
    <rPh sb="3" eb="5">
      <t>ハイキ</t>
    </rPh>
    <phoneticPr fontId="2"/>
  </si>
  <si>
    <r>
      <t>３．ダクト内などに設置するブースターファン等は</t>
    </r>
    <r>
      <rPr>
        <sz val="12"/>
        <color rgb="FFFF0000"/>
        <rFont val="メイリオ"/>
        <family val="3"/>
        <charset val="128"/>
      </rPr>
      <t>換気の方法</t>
    </r>
    <r>
      <rPr>
        <sz val="12"/>
        <rFont val="メイリオ"/>
        <family val="3"/>
        <charset val="128"/>
      </rPr>
      <t>として、＜</t>
    </r>
    <r>
      <rPr>
        <sz val="12"/>
        <color rgb="FFFF0000"/>
        <rFont val="メイリオ"/>
        <family val="3"/>
        <charset val="128"/>
      </rPr>
      <t>補器（排気）</t>
    </r>
    <r>
      <rPr>
        <sz val="12"/>
        <rFont val="メイリオ"/>
        <family val="3"/>
        <charset val="128"/>
      </rPr>
      <t>又は</t>
    </r>
    <r>
      <rPr>
        <sz val="12"/>
        <color rgb="FFFF0000"/>
        <rFont val="メイリオ"/>
        <family val="3"/>
        <charset val="128"/>
      </rPr>
      <t>補器（給気）</t>
    </r>
    <r>
      <rPr>
        <sz val="12"/>
        <rFont val="メイリオ"/>
        <family val="3"/>
        <charset val="128"/>
      </rPr>
      <t>＞をプルダウンメニューより選択してください。</t>
    </r>
    <rPh sb="5" eb="6">
      <t>ナイ</t>
    </rPh>
    <rPh sb="9" eb="11">
      <t>セッチ</t>
    </rPh>
    <rPh sb="60" eb="62">
      <t>センタク</t>
    </rPh>
    <phoneticPr fontId="2"/>
  </si>
  <si>
    <r>
      <t>４．記入する設備能力等を確認ができる</t>
    </r>
    <r>
      <rPr>
        <sz val="12"/>
        <color rgb="FFFF0000"/>
        <rFont val="メイリオ"/>
        <family val="3"/>
        <charset val="128"/>
      </rPr>
      <t>仕様書などの参照箇所にマーカーなどの印</t>
    </r>
    <r>
      <rPr>
        <sz val="12"/>
        <rFont val="メイリオ"/>
        <family val="3"/>
        <charset val="128"/>
      </rPr>
      <t>を付けたものを提出してください。</t>
    </r>
    <rPh sb="2" eb="4">
      <t>キニュウ</t>
    </rPh>
    <rPh sb="6" eb="8">
      <t>セツビ</t>
    </rPh>
    <rPh sb="8" eb="10">
      <t>ノウリョク</t>
    </rPh>
    <rPh sb="10" eb="11">
      <t>トウ</t>
    </rPh>
    <rPh sb="12" eb="14">
      <t>カクニン</t>
    </rPh>
    <rPh sb="18" eb="21">
      <t>シヨウショ</t>
    </rPh>
    <rPh sb="24" eb="26">
      <t>サンショウ</t>
    </rPh>
    <rPh sb="26" eb="28">
      <t>カショ</t>
    </rPh>
    <rPh sb="36" eb="37">
      <t>シルシ</t>
    </rPh>
    <rPh sb="38" eb="39">
      <t>ツ</t>
    </rPh>
    <rPh sb="44" eb="46">
      <t>テイシュツ</t>
    </rPh>
    <phoneticPr fontId="2"/>
  </si>
  <si>
    <t>５．換気・空調一体型設備は、「２．換気設備の新旧仕様入力表」に記入してください。</t>
    <rPh sb="2" eb="4">
      <t>カンキ</t>
    </rPh>
    <rPh sb="5" eb="7">
      <t>クウチョウ</t>
    </rPh>
    <rPh sb="7" eb="9">
      <t>イッタイ</t>
    </rPh>
    <rPh sb="9" eb="10">
      <t>カタ</t>
    </rPh>
    <rPh sb="10" eb="12">
      <t>セツビ</t>
    </rPh>
    <rPh sb="17" eb="19">
      <t>カンキ</t>
    </rPh>
    <rPh sb="19" eb="21">
      <t>セツビ</t>
    </rPh>
    <rPh sb="22" eb="24">
      <t>シンキュウ</t>
    </rPh>
    <rPh sb="24" eb="26">
      <t>シヨウ</t>
    </rPh>
    <rPh sb="26" eb="28">
      <t>ニュウリョク</t>
    </rPh>
    <rPh sb="28" eb="29">
      <t>ヒョウ</t>
    </rPh>
    <rPh sb="31" eb="33">
      <t>キニュウ</t>
    </rPh>
    <phoneticPr fontId="2"/>
  </si>
  <si>
    <r>
      <t>６．換気設備の換気量及び消費電力は、カタログ等に記載された</t>
    </r>
    <r>
      <rPr>
        <sz val="12"/>
        <color rgb="FFFF0000"/>
        <rFont val="メイリオ"/>
        <family val="3"/>
        <charset val="128"/>
      </rPr>
      <t>常時使用できる</t>
    </r>
    <r>
      <rPr>
        <sz val="12"/>
        <rFont val="メイリオ"/>
        <family val="3"/>
        <charset val="128"/>
      </rPr>
      <t>＜最大風量時</t>
    </r>
    <r>
      <rPr>
        <sz val="12"/>
        <color rgb="FFFF0000"/>
        <rFont val="メイリオ"/>
        <family val="3"/>
        <charset val="128"/>
      </rPr>
      <t>（強）</t>
    </r>
    <r>
      <rPr>
        <sz val="12"/>
        <rFont val="メイリオ"/>
        <family val="3"/>
        <charset val="128"/>
      </rPr>
      <t>の値＞を記入してください。</t>
    </r>
    <rPh sb="2" eb="4">
      <t>カンキ</t>
    </rPh>
    <rPh sb="4" eb="6">
      <t>セツビ</t>
    </rPh>
    <rPh sb="7" eb="9">
      <t>カンキ</t>
    </rPh>
    <rPh sb="9" eb="10">
      <t>リョウ</t>
    </rPh>
    <rPh sb="10" eb="11">
      <t>オヨ</t>
    </rPh>
    <rPh sb="12" eb="14">
      <t>ショウヒ</t>
    </rPh>
    <rPh sb="14" eb="16">
      <t>デンリョク</t>
    </rPh>
    <rPh sb="22" eb="23">
      <t>トウ</t>
    </rPh>
    <rPh sb="24" eb="26">
      <t>キサイ</t>
    </rPh>
    <rPh sb="29" eb="31">
      <t>ジョウジ</t>
    </rPh>
    <rPh sb="31" eb="33">
      <t>シヨウ</t>
    </rPh>
    <rPh sb="37" eb="39">
      <t>サイダイ</t>
    </rPh>
    <rPh sb="39" eb="41">
      <t>フウリョウ</t>
    </rPh>
    <rPh sb="41" eb="42">
      <t>ジ</t>
    </rPh>
    <rPh sb="43" eb="44">
      <t>キョウ</t>
    </rPh>
    <rPh sb="46" eb="47">
      <t>アタイ</t>
    </rPh>
    <rPh sb="49" eb="51">
      <t>キニュウ</t>
    </rPh>
    <phoneticPr fontId="2"/>
  </si>
  <si>
    <t>７．空調設備又は換気・空調一体型設備を記入する場合は、次の①～③の各項目から該当する要件を「設備要件」欄に記入してください。</t>
    <rPh sb="2" eb="4">
      <t>クウチョウ</t>
    </rPh>
    <rPh sb="4" eb="6">
      <t>セツビ</t>
    </rPh>
    <rPh sb="6" eb="7">
      <t>マタ</t>
    </rPh>
    <rPh sb="8" eb="10">
      <t>カンキ</t>
    </rPh>
    <rPh sb="11" eb="13">
      <t>クウチョウ</t>
    </rPh>
    <rPh sb="13" eb="16">
      <t>イッタイガタ</t>
    </rPh>
    <rPh sb="16" eb="18">
      <t>セツビ</t>
    </rPh>
    <rPh sb="19" eb="21">
      <t>キニュウ</t>
    </rPh>
    <rPh sb="23" eb="25">
      <t>バアイ</t>
    </rPh>
    <rPh sb="53" eb="55">
      <t>キニュウ</t>
    </rPh>
    <phoneticPr fontId="2"/>
  </si>
  <si>
    <t>８．中央熱源式空調機を更新する場合は、公社までご相談ください。</t>
    <rPh sb="2" eb="4">
      <t>チュウオウ</t>
    </rPh>
    <rPh sb="4" eb="6">
      <t>ネツゲン</t>
    </rPh>
    <rPh sb="6" eb="7">
      <t>シキ</t>
    </rPh>
    <rPh sb="7" eb="9">
      <t>クウチョウ</t>
    </rPh>
    <rPh sb="9" eb="10">
      <t>キ</t>
    </rPh>
    <rPh sb="11" eb="13">
      <t>コウシン</t>
    </rPh>
    <rPh sb="15" eb="17">
      <t>バアイ</t>
    </rPh>
    <rPh sb="19" eb="21">
      <t>コウシャ</t>
    </rPh>
    <rPh sb="24" eb="26">
      <t>ソウダン</t>
    </rPh>
    <phoneticPr fontId="2"/>
  </si>
  <si>
    <r>
      <t>　　なお、給気と排気の</t>
    </r>
    <r>
      <rPr>
        <sz val="12"/>
        <color rgb="FFFF0000"/>
        <rFont val="メイリオ"/>
        <family val="3"/>
        <charset val="128"/>
      </rPr>
      <t>換気量が相違する設備</t>
    </r>
    <r>
      <rPr>
        <sz val="12"/>
        <rFont val="メイリオ"/>
        <family val="3"/>
        <charset val="128"/>
      </rPr>
      <t>は、入力方法を公社にお問い合わせください。</t>
    </r>
    <rPh sb="5" eb="7">
      <t>キュウキ</t>
    </rPh>
    <rPh sb="8" eb="10">
      <t>ハイキ</t>
    </rPh>
    <rPh sb="11" eb="14">
      <t>カンキリョウ</t>
    </rPh>
    <rPh sb="15" eb="17">
      <t>ソウイ</t>
    </rPh>
    <rPh sb="19" eb="21">
      <t>セツビ</t>
    </rPh>
    <rPh sb="23" eb="25">
      <t>ニュウリョク</t>
    </rPh>
    <rPh sb="25" eb="27">
      <t>ホウホウ</t>
    </rPh>
    <rPh sb="28" eb="30">
      <t>コウシャ</t>
    </rPh>
    <rPh sb="32" eb="33">
      <t>ト</t>
    </rPh>
    <rPh sb="34" eb="35">
      <t>ア</t>
    </rPh>
    <phoneticPr fontId="2"/>
  </si>
  <si>
    <t>＜給気・排気＞を１の筐体で行う設備の各数値は、排気、給気の両方に加算されます。なお、補器の数値は加算されません。</t>
    <rPh sb="1" eb="3">
      <t>キュウキ</t>
    </rPh>
    <rPh sb="4" eb="6">
      <t>ハイキ</t>
    </rPh>
    <rPh sb="10" eb="12">
      <t>キョウタイ</t>
    </rPh>
    <rPh sb="13" eb="14">
      <t>オコナ</t>
    </rPh>
    <rPh sb="15" eb="17">
      <t>セツビ</t>
    </rPh>
    <rPh sb="18" eb="19">
      <t>カク</t>
    </rPh>
    <rPh sb="19" eb="21">
      <t>スウチ</t>
    </rPh>
    <rPh sb="23" eb="25">
      <t>ハイキ</t>
    </rPh>
    <rPh sb="26" eb="28">
      <t>キュウキ</t>
    </rPh>
    <rPh sb="29" eb="31">
      <t>リョウホウ</t>
    </rPh>
    <rPh sb="32" eb="34">
      <t>カサン</t>
    </rPh>
    <rPh sb="42" eb="44">
      <t>ホキ</t>
    </rPh>
    <rPh sb="45" eb="47">
      <t>スウチ</t>
    </rPh>
    <rPh sb="48" eb="50">
      <t>カサン</t>
    </rPh>
    <phoneticPr fontId="2"/>
  </si>
  <si>
    <t>換気量が既存設備より減少する場合、セルが＜黄色＞、文字が＜朱色＞になります。</t>
    <rPh sb="0" eb="3">
      <t>カンキリョウ</t>
    </rPh>
    <rPh sb="4" eb="6">
      <t>キゾン</t>
    </rPh>
    <rPh sb="6" eb="8">
      <t>セツビ</t>
    </rPh>
    <rPh sb="10" eb="12">
      <t>ゲンショウ</t>
    </rPh>
    <rPh sb="14" eb="16">
      <t>バアイ</t>
    </rPh>
    <rPh sb="21" eb="23">
      <t>キイロ</t>
    </rPh>
    <rPh sb="25" eb="27">
      <t>モジ</t>
    </rPh>
    <rPh sb="29" eb="31">
      <t>シュイロ</t>
    </rPh>
    <phoneticPr fontId="2"/>
  </si>
  <si>
    <t>年度を選択</t>
  </si>
  <si>
    <t>設置台数（給排気は、排気に加算）</t>
    <rPh sb="0" eb="2">
      <t>セッチ</t>
    </rPh>
    <rPh sb="2" eb="4">
      <t>ダイスウ</t>
    </rPh>
    <rPh sb="5" eb="8">
      <t>キュウハイキ</t>
    </rPh>
    <rPh sb="10" eb="12">
      <t>ハイキ</t>
    </rPh>
    <rPh sb="13" eb="15">
      <t>カサン</t>
    </rPh>
    <phoneticPr fontId="12"/>
  </si>
  <si>
    <t>＜給気・排気＞の台数は、排気設備に加算されます。なお、補器の台数は加算されません。</t>
    <rPh sb="1" eb="3">
      <t>キュウキ</t>
    </rPh>
    <rPh sb="4" eb="6">
      <t>ハイキ</t>
    </rPh>
    <rPh sb="8" eb="10">
      <t>ダイスウ</t>
    </rPh>
    <rPh sb="12" eb="14">
      <t>ハイキ</t>
    </rPh>
    <rPh sb="14" eb="16">
      <t>セツビ</t>
    </rPh>
    <rPh sb="17" eb="19">
      <t>カサン</t>
    </rPh>
    <rPh sb="27" eb="29">
      <t>ホキ</t>
    </rPh>
    <rPh sb="30" eb="32">
      <t>ダイスウ</t>
    </rPh>
    <rPh sb="33" eb="35">
      <t>カサン</t>
    </rPh>
    <phoneticPr fontId="2"/>
  </si>
  <si>
    <r>
      <t>１．建屋内で</t>
    </r>
    <r>
      <rPr>
        <sz val="12"/>
        <color rgb="FFFF0000"/>
        <rFont val="メイリオ"/>
        <family val="3"/>
        <charset val="128"/>
      </rPr>
      <t>壁等で区切られた部屋</t>
    </r>
    <r>
      <rPr>
        <sz val="12"/>
        <rFont val="メイリオ"/>
        <family val="3"/>
        <charset val="128"/>
      </rPr>
      <t>を＜</t>
    </r>
    <r>
      <rPr>
        <sz val="12"/>
        <color rgb="FFFF0000"/>
        <rFont val="メイリオ"/>
        <family val="3"/>
        <charset val="128"/>
      </rPr>
      <t>１室</t>
    </r>
    <r>
      <rPr>
        <sz val="12"/>
        <rFont val="メイリオ"/>
        <family val="3"/>
        <charset val="128"/>
      </rPr>
      <t>＞として記入してください。</t>
    </r>
    <rPh sb="6" eb="7">
      <t>カベ</t>
    </rPh>
    <rPh sb="7" eb="8">
      <t>トウ</t>
    </rPh>
    <phoneticPr fontId="2"/>
  </si>
  <si>
    <r>
      <t>２．＜</t>
    </r>
    <r>
      <rPr>
        <sz val="12"/>
        <color rgb="FFFF0000"/>
        <rFont val="メイリオ"/>
        <family val="3"/>
        <charset val="128"/>
      </rPr>
      <t>１室</t>
    </r>
    <r>
      <rPr>
        <sz val="12"/>
        <rFont val="メイリオ"/>
        <family val="3"/>
        <charset val="128"/>
      </rPr>
      <t>＞に複数の換気設備がある場合は、その合計を記入してください。</t>
    </r>
    <rPh sb="4" eb="5">
      <t>シツ</t>
    </rPh>
    <rPh sb="7" eb="9">
      <t>フクスウ</t>
    </rPh>
    <rPh sb="10" eb="12">
      <t>カンキ</t>
    </rPh>
    <rPh sb="12" eb="14">
      <t>セツビ</t>
    </rPh>
    <rPh sb="17" eb="19">
      <t>バアイ</t>
    </rPh>
    <rPh sb="23" eb="25">
      <t>ゴウケイ</t>
    </rPh>
    <rPh sb="26" eb="28">
      <t>キニュウ</t>
    </rPh>
    <phoneticPr fontId="2"/>
  </si>
  <si>
    <r>
      <t>　　なお、＜</t>
    </r>
    <r>
      <rPr>
        <sz val="12"/>
        <color rgb="FFFF0000"/>
        <rFont val="メイリオ"/>
        <family val="3"/>
        <charset val="128"/>
      </rPr>
      <t>１室</t>
    </r>
    <r>
      <rPr>
        <sz val="12"/>
        <rFont val="メイリオ"/>
        <family val="3"/>
        <charset val="128"/>
      </rPr>
      <t>＞に給気と排気の機械換気設備がある場合は</t>
    </r>
    <r>
      <rPr>
        <sz val="12"/>
        <color rgb="FFFF0000"/>
        <rFont val="メイリオ"/>
        <family val="3"/>
        <charset val="128"/>
      </rPr>
      <t>換気量の多い給気又は排気設備</t>
    </r>
    <r>
      <rPr>
        <sz val="12"/>
        <rFont val="メイリオ"/>
        <family val="3"/>
        <charset val="128"/>
      </rPr>
      <t>の有効換気量を記入してください。</t>
    </r>
    <rPh sb="28" eb="31">
      <t>カンキリョウ</t>
    </rPh>
    <rPh sb="32" eb="33">
      <t>オオ</t>
    </rPh>
    <rPh sb="34" eb="36">
      <t>キュウキ</t>
    </rPh>
    <rPh sb="36" eb="37">
      <t>マタ</t>
    </rPh>
    <rPh sb="38" eb="40">
      <t>ハイキ</t>
    </rPh>
    <rPh sb="40" eb="42">
      <t>セツビ</t>
    </rPh>
    <rPh sb="43" eb="45">
      <t>ユウコウ</t>
    </rPh>
    <rPh sb="45" eb="48">
      <t>カンキリョウ</t>
    </rPh>
    <rPh sb="49" eb="51">
      <t>キニュウ</t>
    </rPh>
    <phoneticPr fontId="2"/>
  </si>
  <si>
    <r>
      <t>２．＜</t>
    </r>
    <r>
      <rPr>
        <sz val="12"/>
        <color rgb="FFFF0000"/>
        <rFont val="メイリオ"/>
        <family val="3"/>
        <charset val="128"/>
      </rPr>
      <t>１の筐体</t>
    </r>
    <r>
      <rPr>
        <sz val="12"/>
        <rFont val="メイリオ"/>
        <family val="3"/>
        <charset val="128"/>
      </rPr>
      <t>＞で給気・排気の両方を行う設備の換気の方法は、＜</t>
    </r>
    <r>
      <rPr>
        <sz val="12"/>
        <color rgb="FFFF0000"/>
        <rFont val="メイリオ"/>
        <family val="3"/>
        <charset val="128"/>
      </rPr>
      <t>給気・排気</t>
    </r>
    <r>
      <rPr>
        <sz val="12"/>
        <rFont val="メイリオ"/>
        <family val="3"/>
        <charset val="128"/>
      </rPr>
      <t>＞を選択してください。</t>
    </r>
    <rPh sb="5" eb="7">
      <t>キョウタイ</t>
    </rPh>
    <rPh sb="9" eb="11">
      <t>キュウキ</t>
    </rPh>
    <rPh sb="12" eb="14">
      <t>ハイキ</t>
    </rPh>
    <rPh sb="15" eb="17">
      <t>リョウホウ</t>
    </rPh>
    <rPh sb="18" eb="19">
      <t>オコナ</t>
    </rPh>
    <rPh sb="20" eb="22">
      <t>セツビ</t>
    </rPh>
    <rPh sb="23" eb="25">
      <t>カンキ</t>
    </rPh>
    <rPh sb="26" eb="28">
      <t>ホウホウ</t>
    </rPh>
    <rPh sb="38" eb="40">
      <t>センタク</t>
    </rPh>
    <phoneticPr fontId="2"/>
  </si>
  <si>
    <r>
      <t>　・契約内容欄には、</t>
    </r>
    <r>
      <rPr>
        <sz val="10"/>
        <color rgb="FFFF0000"/>
        <rFont val="メイリオ"/>
        <family val="3"/>
        <charset val="128"/>
      </rPr>
      <t>契約のプラン名や種別</t>
    </r>
    <r>
      <rPr>
        <sz val="10"/>
        <rFont val="メイリオ"/>
        <family val="3"/>
        <charset val="128"/>
      </rPr>
      <t>（従量電灯、低圧電力、動力など）を記載すること。</t>
    </r>
    <rPh sb="2" eb="4">
      <t>ケイヤク</t>
    </rPh>
    <rPh sb="4" eb="6">
      <t>ナイヨウ</t>
    </rPh>
    <rPh sb="6" eb="7">
      <t>ラン</t>
    </rPh>
    <rPh sb="10" eb="12">
      <t>ケイヤク</t>
    </rPh>
    <rPh sb="16" eb="17">
      <t>ナ</t>
    </rPh>
    <rPh sb="18" eb="20">
      <t>シュベツ</t>
    </rPh>
    <rPh sb="21" eb="23">
      <t>ジュウリョウ</t>
    </rPh>
    <rPh sb="23" eb="25">
      <t>デントウ</t>
    </rPh>
    <rPh sb="26" eb="28">
      <t>テイアツ</t>
    </rPh>
    <rPh sb="28" eb="30">
      <t>デンリョク</t>
    </rPh>
    <rPh sb="31" eb="33">
      <t>ドウリョク</t>
    </rPh>
    <rPh sb="37" eb="39">
      <t>キサイ</t>
    </rPh>
    <phoneticPr fontId="2"/>
  </si>
  <si>
    <t>　・電気、ガス以外や同一種類のエネルギー使用がある場合は、「その他のエネルギー」欄に種別等を選択の上、入力すること。</t>
    <rPh sb="2" eb="4">
      <t>デンキ</t>
    </rPh>
    <rPh sb="7" eb="9">
      <t>イガイ</t>
    </rPh>
    <rPh sb="10" eb="12">
      <t>ドウイツ</t>
    </rPh>
    <rPh sb="12" eb="14">
      <t>シュルイ</t>
    </rPh>
    <rPh sb="20" eb="22">
      <t>シヨウ</t>
    </rPh>
    <rPh sb="25" eb="27">
      <t>バアイ</t>
    </rPh>
    <rPh sb="32" eb="33">
      <t>タ</t>
    </rPh>
    <rPh sb="40" eb="41">
      <t>ラン</t>
    </rPh>
    <rPh sb="42" eb="44">
      <t>シュベツ</t>
    </rPh>
    <rPh sb="44" eb="45">
      <t>トウ</t>
    </rPh>
    <rPh sb="46" eb="48">
      <t>センタク</t>
    </rPh>
    <rPh sb="49" eb="50">
      <t>ウエ</t>
    </rPh>
    <rPh sb="51" eb="53">
      <t>ニュウリョク</t>
    </rPh>
    <phoneticPr fontId="2"/>
  </si>
  <si>
    <t>実施を選択</t>
  </si>
  <si>
    <t>数式により自動計算するため、入力できません。また、エラーメッセージを表示します。</t>
    <rPh sb="0" eb="2">
      <t>スウシキ</t>
    </rPh>
    <rPh sb="5" eb="7">
      <t>ジドウ</t>
    </rPh>
    <rPh sb="7" eb="9">
      <t>ケイサン</t>
    </rPh>
    <rPh sb="14" eb="16">
      <t>ニュウリョク</t>
    </rPh>
    <rPh sb="34" eb="36">
      <t>ヒョウジ</t>
    </rPh>
    <phoneticPr fontId="2"/>
  </si>
  <si>
    <t>プルダウンメニューから該当するものを選択してください。</t>
    <rPh sb="11" eb="13">
      <t>ガイトウ</t>
    </rPh>
    <rPh sb="18" eb="20">
      <t>センタク</t>
    </rPh>
    <phoneticPr fontId="2"/>
  </si>
  <si>
    <r>
      <t>セルに適切な＜</t>
    </r>
    <r>
      <rPr>
        <sz val="12"/>
        <color rgb="FFFF0000"/>
        <rFont val="メイリオ"/>
        <family val="3"/>
        <charset val="128"/>
      </rPr>
      <t>数値</t>
    </r>
    <r>
      <rPr>
        <sz val="12"/>
        <color theme="1"/>
        <rFont val="メイリオ"/>
        <family val="3"/>
        <charset val="128"/>
      </rPr>
      <t>＞を入力してください。</t>
    </r>
    <rPh sb="3" eb="5">
      <t>テキセツ</t>
    </rPh>
    <rPh sb="7" eb="9">
      <t>スウチ</t>
    </rPh>
    <rPh sb="11" eb="13">
      <t>ニュウリョク</t>
    </rPh>
    <phoneticPr fontId="2"/>
  </si>
  <si>
    <r>
      <t>セルに適切な＜</t>
    </r>
    <r>
      <rPr>
        <sz val="12"/>
        <color rgb="FFFF0000"/>
        <rFont val="メイリオ"/>
        <family val="3"/>
        <charset val="128"/>
      </rPr>
      <t>月日、数値、金額等</t>
    </r>
    <r>
      <rPr>
        <sz val="12"/>
        <color theme="1"/>
        <rFont val="メイリオ"/>
        <family val="3"/>
        <charset val="128"/>
      </rPr>
      <t>＞を入力してください。</t>
    </r>
    <rPh sb="3" eb="5">
      <t>テキセツ</t>
    </rPh>
    <rPh sb="7" eb="9">
      <t>ツキヒ</t>
    </rPh>
    <rPh sb="10" eb="12">
      <t>スウチ</t>
    </rPh>
    <rPh sb="13" eb="15">
      <t>キンガク</t>
    </rPh>
    <rPh sb="15" eb="16">
      <t>トウ</t>
    </rPh>
    <rPh sb="18" eb="20">
      <t>ニュウリョク</t>
    </rPh>
    <phoneticPr fontId="2"/>
  </si>
  <si>
    <r>
      <t>セルに適切な＜</t>
    </r>
    <r>
      <rPr>
        <sz val="12"/>
        <color rgb="FFFF0000"/>
        <rFont val="メイリオ"/>
        <family val="3"/>
        <charset val="128"/>
      </rPr>
      <t>数値、型番等</t>
    </r>
    <r>
      <rPr>
        <sz val="12"/>
        <color theme="1"/>
        <rFont val="メイリオ"/>
        <family val="3"/>
        <charset val="128"/>
      </rPr>
      <t>＞を入力してください。</t>
    </r>
    <rPh sb="3" eb="5">
      <t>テキセツ</t>
    </rPh>
    <rPh sb="7" eb="9">
      <t>スウチ</t>
    </rPh>
    <rPh sb="10" eb="12">
      <t>カタバン</t>
    </rPh>
    <rPh sb="12" eb="13">
      <t>トウ</t>
    </rPh>
    <rPh sb="15" eb="17">
      <t>ニュウリョク</t>
    </rPh>
    <phoneticPr fontId="2"/>
  </si>
  <si>
    <t>年間総稼働時間</t>
    <rPh sb="0" eb="2">
      <t>ネンカン</t>
    </rPh>
    <rPh sb="2" eb="3">
      <t>ソウ</t>
    </rPh>
    <rPh sb="3" eb="5">
      <t>カドウ</t>
    </rPh>
    <rPh sb="5" eb="7">
      <t>ジカン</t>
    </rPh>
    <phoneticPr fontId="2"/>
  </si>
  <si>
    <t>※</t>
    <phoneticPr fontId="2"/>
  </si>
  <si>
    <t>年間総稼働時間の最大は、＜365日✕24時間/日＝8,760時間＞とする。</t>
    <rPh sb="8" eb="10">
      <t>サイダイ</t>
    </rPh>
    <rPh sb="16" eb="17">
      <t>ヒ</t>
    </rPh>
    <rPh sb="20" eb="22">
      <t>ジカン</t>
    </rPh>
    <rPh sb="23" eb="24">
      <t>ヒ</t>
    </rPh>
    <rPh sb="30" eb="32">
      <t>ジカン</t>
    </rPh>
    <phoneticPr fontId="2"/>
  </si>
  <si>
    <t>②基準達成率114%以上</t>
    <rPh sb="1" eb="3">
      <t>キジュン</t>
    </rPh>
    <rPh sb="3" eb="6">
      <t>タッセイリツ</t>
    </rPh>
    <rPh sb="10" eb="12">
      <t>イジョウ</t>
    </rPh>
    <phoneticPr fontId="2"/>
  </si>
  <si>
    <t>　　　②：省エネルギー基準達成率（JIS C9901）114％以上であるもの。</t>
    <rPh sb="31" eb="33">
      <t>イジョウ</t>
    </rPh>
    <phoneticPr fontId="2"/>
  </si>
  <si>
    <t>R4_Ver8.3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</si>
</sst>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
    <numFmt numFmtId="177" formatCode="#,##0_);[Red]\(#,##0\)"/>
    <numFmt numFmtId="178" formatCode="0.0%"/>
    <numFmt numFmtId="179" formatCode="0.00_);[Red]\(0.00\)"/>
    <numFmt numFmtId="180" formatCode="#,##0.00_ "/>
    <numFmt numFmtId="181" formatCode="#,##0_ ;[Red]\-#,##0\ "/>
    <numFmt numFmtId="182" formatCode="#,##0.000_);[Red]\(#,##0.000\)"/>
    <numFmt numFmtId="183" formatCode="#,##0.0000_);[Red]\(#,##0.0000\)"/>
    <numFmt numFmtId="184" formatCode="#,##0.00_);[Red]\(#,##0.00\)"/>
    <numFmt numFmtId="185" formatCode="#,##0.000000_);[Red]\(#,##0.000000\)"/>
    <numFmt numFmtId="186" formatCode="#,##0.0_);[Red]\(#,##0.0\)"/>
    <numFmt numFmtId="187" formatCode="#,##0_ "/>
    <numFmt numFmtId="188" formatCode="#,##0.0_ "/>
    <numFmt numFmtId="189" formatCode="#,##0.0_ ;[Red]\-#,##0.0\ "/>
    <numFmt numFmtId="190" formatCode="#,##0.00_ ;[Red]\-#,##0.00\ "/>
    <numFmt numFmtId="191" formatCode="0.00_ ;[Red]\-0.00\ "/>
    <numFmt numFmtId="192" formatCode="0.0##"/>
  </numFmts>
  <fonts count="42" x14ac:knownFonts="1">
    <font>
      <sz val="12"/>
      <color theme="1"/>
      <name val="メイリオ"/>
      <family val="2"/>
      <charset val="128"/>
    </font>
    <font>
      <sz val="12"/>
      <color theme="1"/>
      <name val="メイリオ"/>
      <family val="2"/>
      <charset val="128"/>
    </font>
    <font>
      <sz val="6"/>
      <name val="メイリオ"/>
      <family val="2"/>
      <charset val="128"/>
    </font>
    <font>
      <sz val="14"/>
      <color theme="1"/>
      <name val="メイリオ"/>
      <family val="2"/>
      <charset val="128"/>
    </font>
    <font>
      <sz val="10"/>
      <color theme="1"/>
      <name val="メイリオ"/>
      <family val="2"/>
      <charset val="128"/>
    </font>
    <font>
      <sz val="12"/>
      <name val="メイリオ"/>
      <family val="3"/>
      <charset val="128"/>
    </font>
    <font>
      <sz val="10"/>
      <color theme="1"/>
      <name val="メイリオ"/>
      <family val="3"/>
      <charset val="128"/>
    </font>
    <font>
      <sz val="12"/>
      <color theme="1"/>
      <name val="メイリオ"/>
      <family val="3"/>
      <charset val="128"/>
    </font>
    <font>
      <sz val="12"/>
      <name val="メイリオ"/>
      <family val="2"/>
      <charset val="128"/>
    </font>
    <font>
      <vertAlign val="superscript"/>
      <sz val="12"/>
      <color theme="1"/>
      <name val="メイリオ"/>
      <family val="3"/>
      <charset val="128"/>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1"/>
      <color rgb="FFFF0000"/>
      <name val="メイリオ"/>
      <family val="3"/>
      <charset val="128"/>
    </font>
    <font>
      <sz val="10"/>
      <color rgb="FFFF0000"/>
      <name val="メイリオ"/>
      <family val="3"/>
      <charset val="128"/>
    </font>
    <font>
      <sz val="9"/>
      <color theme="1"/>
      <name val="ＭＳ 明朝"/>
      <family val="1"/>
      <charset val="128"/>
    </font>
    <font>
      <sz val="12"/>
      <color rgb="FFFF0000"/>
      <name val="メイリオ"/>
      <family val="2"/>
      <charset val="128"/>
    </font>
    <font>
      <sz val="12"/>
      <color rgb="FFFF0000"/>
      <name val="メイリオ"/>
      <family val="3"/>
      <charset val="128"/>
    </font>
    <font>
      <sz val="11"/>
      <color theme="1"/>
      <name val="メイリオ"/>
      <family val="2"/>
      <charset val="128"/>
    </font>
    <font>
      <vertAlign val="superscript"/>
      <sz val="11"/>
      <color theme="1"/>
      <name val="メイリオ"/>
      <family val="3"/>
      <charset val="128"/>
    </font>
    <font>
      <sz val="14"/>
      <color theme="1"/>
      <name val="メイリオ"/>
      <family val="3"/>
      <charset val="128"/>
    </font>
    <font>
      <sz val="16"/>
      <name val="メイリオ"/>
      <family val="3"/>
      <charset val="128"/>
    </font>
    <font>
      <sz val="12"/>
      <color indexed="10"/>
      <name val="メイリオ"/>
      <family val="3"/>
      <charset val="128"/>
    </font>
    <font>
      <sz val="11"/>
      <color theme="0"/>
      <name val="メイリオ"/>
      <family val="3"/>
      <charset val="128"/>
    </font>
    <font>
      <sz val="12"/>
      <color indexed="81"/>
      <name val="メイリオ"/>
      <family val="3"/>
      <charset val="128"/>
    </font>
    <font>
      <sz val="9"/>
      <name val="メイリオ"/>
      <family val="3"/>
      <charset val="128"/>
    </font>
    <font>
      <sz val="14"/>
      <color rgb="FFFF0000"/>
      <name val="メイリオ"/>
      <family val="3"/>
      <charset val="128"/>
    </font>
    <font>
      <sz val="16"/>
      <color indexed="10"/>
      <name val="メイリオ"/>
      <family val="3"/>
      <charset val="128"/>
    </font>
    <font>
      <sz val="12"/>
      <color indexed="32"/>
      <name val="メイリオ"/>
      <family val="3"/>
      <charset val="128"/>
    </font>
    <font>
      <sz val="11"/>
      <name val="ＭＳ 明朝"/>
      <family val="1"/>
      <charset val="128"/>
    </font>
    <font>
      <b/>
      <sz val="14"/>
      <color rgb="FFFF0000"/>
      <name val="メイリオ"/>
      <family val="3"/>
      <charset val="128"/>
    </font>
    <font>
      <sz val="10"/>
      <name val="メイリオ"/>
      <family val="3"/>
      <charset val="128"/>
    </font>
    <font>
      <sz val="9"/>
      <color theme="1"/>
      <name val="メイリオ"/>
      <family val="3"/>
      <charset val="128"/>
    </font>
    <font>
      <sz val="20"/>
      <color theme="1"/>
      <name val="メイリオ"/>
      <family val="3"/>
      <charset val="128"/>
    </font>
    <font>
      <sz val="11"/>
      <color rgb="FFFF0000"/>
      <name val="ＭＳ 明朝"/>
      <family val="1"/>
      <charset val="128"/>
    </font>
    <font>
      <sz val="11"/>
      <color rgb="FFFF0000"/>
      <name val="游ゴシック"/>
      <family val="2"/>
      <charset val="128"/>
      <scheme val="minor"/>
    </font>
    <font>
      <b/>
      <sz val="10"/>
      <color rgb="FFFF0000"/>
      <name val="メイリオ"/>
      <family val="3"/>
      <charset val="128"/>
    </font>
    <font>
      <b/>
      <sz val="11"/>
      <color rgb="FFFF0000"/>
      <name val="メイリオ"/>
      <family val="3"/>
      <charset val="128"/>
    </font>
    <font>
      <b/>
      <sz val="9"/>
      <color rgb="FFFF0000"/>
      <name val="メイリオ"/>
      <family val="3"/>
      <charset val="128"/>
    </font>
    <font>
      <sz val="11"/>
      <name val="メイリオ"/>
      <family val="3"/>
      <charset val="128"/>
    </font>
    <font>
      <sz val="16"/>
      <color theme="1"/>
      <name val="メイリオ"/>
      <family val="3"/>
      <charset val="128"/>
    </font>
    <font>
      <sz val="18"/>
      <name val="メイリオ"/>
      <family val="3"/>
      <charset val="128"/>
    </font>
  </fonts>
  <fills count="1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
      <patternFill patternType="solid">
        <fgColor theme="0"/>
        <bgColor indexed="64"/>
      </patternFill>
    </fill>
    <fill>
      <patternFill patternType="solid">
        <fgColor theme="1" tint="0.499984740745262"/>
        <bgColor indexed="64"/>
      </patternFill>
    </fill>
    <fill>
      <patternFill patternType="solid">
        <fgColor rgb="FFCCFFCC"/>
        <bgColor indexed="64"/>
      </patternFill>
    </fill>
    <fill>
      <patternFill patternType="solid">
        <fgColor rgb="FFCCECFF"/>
        <bgColor indexed="64"/>
      </patternFill>
    </fill>
    <fill>
      <patternFill patternType="solid">
        <fgColor rgb="FF66FF33"/>
        <bgColor indexed="64"/>
      </patternFill>
    </fill>
    <fill>
      <patternFill patternType="solid">
        <fgColor rgb="FFFFFF99"/>
        <bgColor indexed="64"/>
      </patternFill>
    </fill>
    <fill>
      <patternFill patternType="solid">
        <fgColor rgb="FFD9FFFF"/>
        <bgColor indexed="64"/>
      </patternFill>
    </fill>
    <fill>
      <patternFill patternType="solid">
        <fgColor rgb="FFFFFFC5"/>
        <bgColor indexed="64"/>
      </patternFill>
    </fill>
    <fill>
      <patternFill patternType="solid">
        <fgColor rgb="FFFFBD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medium">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right style="thin">
        <color indexed="64"/>
      </right>
      <top/>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right/>
      <top style="thin">
        <color indexed="64"/>
      </top>
      <bottom/>
      <diagonal/>
    </border>
    <border>
      <left/>
      <right style="thin">
        <color indexed="64"/>
      </right>
      <top/>
      <bottom style="thin">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355">
    <xf numFmtId="0" fontId="0" fillId="0" borderId="0" xfId="0">
      <alignment vertical="center"/>
    </xf>
    <xf numFmtId="0" fontId="0" fillId="2" borderId="5" xfId="0" applyFill="1" applyBorder="1" applyAlignment="1" applyProtection="1">
      <alignment horizontal="center" vertical="center" shrinkToFit="1"/>
      <protection locked="0"/>
    </xf>
    <xf numFmtId="0" fontId="4" fillId="2" borderId="5" xfId="0" applyFont="1" applyFill="1" applyBorder="1" applyAlignment="1" applyProtection="1">
      <alignment vertical="center" wrapText="1"/>
      <protection locked="0"/>
    </xf>
    <xf numFmtId="0" fontId="11" fillId="0" borderId="0" xfId="3" applyFont="1">
      <alignment vertical="center"/>
    </xf>
    <xf numFmtId="0" fontId="11" fillId="2" borderId="21" xfId="3" applyFont="1" applyFill="1" applyBorder="1" applyAlignment="1" applyProtection="1">
      <alignment horizontal="center" vertical="center"/>
      <protection locked="0"/>
    </xf>
    <xf numFmtId="182" fontId="11" fillId="0" borderId="0" xfId="3" applyNumberFormat="1" applyFont="1">
      <alignment vertical="center"/>
    </xf>
    <xf numFmtId="184" fontId="11" fillId="0" borderId="0" xfId="3" applyNumberFormat="1" applyFont="1">
      <alignment vertical="center"/>
    </xf>
    <xf numFmtId="177" fontId="11" fillId="0" borderId="0" xfId="3" applyNumberFormat="1" applyFont="1">
      <alignment vertical="center"/>
    </xf>
    <xf numFmtId="183" fontId="11" fillId="0" borderId="0" xfId="3" applyNumberFormat="1" applyFont="1">
      <alignment vertical="center"/>
    </xf>
    <xf numFmtId="185" fontId="11" fillId="0" borderId="0" xfId="3" applyNumberFormat="1" applyFont="1">
      <alignment vertical="center"/>
    </xf>
    <xf numFmtId="184" fontId="11" fillId="0" borderId="23" xfId="3" applyNumberFormat="1" applyFont="1" applyBorder="1">
      <alignment vertical="center"/>
    </xf>
    <xf numFmtId="184" fontId="11" fillId="0" borderId="24" xfId="3" applyNumberFormat="1" applyFont="1" applyBorder="1">
      <alignment vertical="center"/>
    </xf>
    <xf numFmtId="186" fontId="11" fillId="0" borderId="0" xfId="3" applyNumberFormat="1" applyFont="1">
      <alignment vertical="center"/>
    </xf>
    <xf numFmtId="184" fontId="11" fillId="0" borderId="25" xfId="3" applyNumberFormat="1" applyFont="1" applyBorder="1">
      <alignment vertical="center"/>
    </xf>
    <xf numFmtId="184" fontId="11" fillId="0" borderId="8" xfId="3" applyNumberFormat="1" applyFont="1" applyBorder="1">
      <alignment vertical="center"/>
    </xf>
    <xf numFmtId="184" fontId="11" fillId="3" borderId="26" xfId="3" applyNumberFormat="1" applyFont="1" applyFill="1" applyBorder="1" applyAlignment="1">
      <alignment horizontal="center" vertical="center"/>
    </xf>
    <xf numFmtId="184" fontId="11" fillId="2" borderId="27" xfId="3" applyNumberFormat="1" applyFont="1" applyFill="1" applyBorder="1" applyAlignment="1">
      <alignment horizontal="center" vertical="center"/>
    </xf>
    <xf numFmtId="182" fontId="11" fillId="3" borderId="26" xfId="3" applyNumberFormat="1" applyFont="1" applyFill="1" applyBorder="1" applyAlignment="1">
      <alignment horizontal="center" vertical="center"/>
    </xf>
    <xf numFmtId="182" fontId="11" fillId="2" borderId="27" xfId="3" applyNumberFormat="1" applyFont="1" applyFill="1" applyBorder="1" applyAlignment="1">
      <alignment horizontal="center" vertical="center"/>
    </xf>
    <xf numFmtId="182" fontId="11" fillId="0" borderId="8" xfId="3" applyNumberFormat="1" applyFont="1" applyBorder="1">
      <alignment vertical="center"/>
    </xf>
    <xf numFmtId="182" fontId="11" fillId="0" borderId="0" xfId="3" applyNumberFormat="1" applyFont="1" applyAlignment="1">
      <alignment vertical="center"/>
    </xf>
    <xf numFmtId="0" fontId="0" fillId="2" borderId="5" xfId="0" applyNumberFormat="1" applyFill="1" applyBorder="1" applyAlignment="1" applyProtection="1">
      <alignment horizontal="center" vertical="center" shrinkToFit="1"/>
      <protection locked="0"/>
    </xf>
    <xf numFmtId="178" fontId="8" fillId="2" borderId="5" xfId="2" applyNumberFormat="1" applyFont="1" applyFill="1" applyBorder="1" applyAlignment="1" applyProtection="1">
      <alignment horizontal="center" vertical="center"/>
      <protection locked="0"/>
    </xf>
    <xf numFmtId="0" fontId="0" fillId="0" borderId="0" xfId="0" applyProtection="1">
      <alignment vertical="center"/>
      <protection hidden="1"/>
    </xf>
    <xf numFmtId="0" fontId="0" fillId="0" borderId="0" xfId="0" applyAlignment="1" applyProtection="1">
      <alignment vertical="center" wrapText="1"/>
      <protection hidden="1"/>
    </xf>
    <xf numFmtId="0" fontId="4" fillId="2"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0" fontId="0" fillId="3" borderId="1" xfId="0" applyFill="1" applyBorder="1" applyProtection="1">
      <alignment vertical="center"/>
      <protection hidden="1"/>
    </xf>
    <xf numFmtId="0" fontId="3" fillId="0" borderId="0" xfId="0" applyFont="1" applyAlignment="1" applyProtection="1">
      <alignment vertical="center"/>
      <protection hidden="1"/>
    </xf>
    <xf numFmtId="0" fontId="3" fillId="0" borderId="0" xfId="0" applyFont="1" applyAlignment="1" applyProtection="1">
      <alignment vertical="center" wrapText="1"/>
      <protection hidden="1"/>
    </xf>
    <xf numFmtId="0" fontId="1" fillId="0" borderId="0" xfId="0" applyFont="1" applyAlignment="1" applyProtection="1">
      <alignment vertical="center" wrapText="1"/>
      <protection hidden="1"/>
    </xf>
    <xf numFmtId="0" fontId="0" fillId="0" borderId="11" xfId="0" applyBorder="1" applyAlignment="1" applyProtection="1">
      <alignment horizontal="center" vertical="center"/>
      <protection hidden="1"/>
    </xf>
    <xf numFmtId="0" fontId="0" fillId="0" borderId="2" xfId="0" quotePrefix="1" applyBorder="1" applyAlignment="1" applyProtection="1">
      <alignment horizontal="center" vertical="center"/>
      <protection hidden="1"/>
    </xf>
    <xf numFmtId="179" fontId="0" fillId="3" borderId="5" xfId="1" applyNumberFormat="1" applyFont="1" applyFill="1" applyBorder="1" applyAlignment="1" applyProtection="1">
      <alignment horizontal="center" vertical="center"/>
      <protection hidden="1"/>
    </xf>
    <xf numFmtId="179" fontId="0" fillId="3" borderId="1" xfId="1" applyNumberFormat="1" applyFont="1" applyFill="1" applyBorder="1" applyAlignment="1" applyProtection="1">
      <alignment horizontal="center" vertical="center"/>
      <protection hidden="1"/>
    </xf>
    <xf numFmtId="0" fontId="0" fillId="0" borderId="1" xfId="0" quotePrefix="1" applyBorder="1" applyAlignment="1" applyProtection="1">
      <alignment horizontal="center"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vertical="center" wrapText="1"/>
      <protection hidden="1"/>
    </xf>
    <xf numFmtId="0" fontId="0" fillId="0" borderId="12" xfId="0" applyBorder="1" applyAlignment="1" applyProtection="1">
      <alignment horizontal="center" vertical="center"/>
      <protection hidden="1"/>
    </xf>
    <xf numFmtId="0" fontId="10" fillId="0" borderId="0" xfId="3" applyProtection="1">
      <alignment vertical="center"/>
      <protection hidden="1"/>
    </xf>
    <xf numFmtId="0" fontId="0" fillId="0" borderId="14" xfId="0" quotePrefix="1" applyBorder="1" applyAlignment="1" applyProtection="1">
      <alignment horizontal="center" vertical="center"/>
      <protection hidden="1"/>
    </xf>
    <xf numFmtId="0" fontId="0" fillId="0" borderId="0" xfId="0" applyBorder="1" applyAlignment="1" applyProtection="1">
      <alignment vertical="center" wrapText="1"/>
      <protection hidden="1"/>
    </xf>
    <xf numFmtId="176" fontId="0" fillId="0" borderId="0" xfId="0" applyNumberFormat="1" applyFill="1" applyBorder="1" applyProtection="1">
      <alignment vertical="center"/>
      <protection hidden="1"/>
    </xf>
    <xf numFmtId="0" fontId="0" fillId="0" borderId="0" xfId="0" applyNumberFormat="1" applyProtection="1">
      <alignment vertical="center"/>
      <protection hidden="1"/>
    </xf>
    <xf numFmtId="0" fontId="7" fillId="0" borderId="0" xfId="3" applyFont="1" applyProtection="1">
      <alignment vertical="center"/>
      <protection hidden="1"/>
    </xf>
    <xf numFmtId="177" fontId="0" fillId="0" borderId="0" xfId="0" applyNumberFormat="1" applyProtection="1">
      <alignment vertical="center"/>
      <protection hidden="1"/>
    </xf>
    <xf numFmtId="186" fontId="0" fillId="0" borderId="1" xfId="4"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xf numFmtId="177" fontId="10" fillId="0" borderId="1" xfId="3" applyNumberForma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7" fillId="0" borderId="0" xfId="3" applyFont="1" applyAlignment="1" applyProtection="1">
      <alignment vertical="center"/>
      <protection hidden="1"/>
    </xf>
    <xf numFmtId="0" fontId="11" fillId="0" borderId="0" xfId="0" applyFont="1" applyProtection="1">
      <alignment vertical="center"/>
      <protection hidden="1"/>
    </xf>
    <xf numFmtId="0" fontId="18" fillId="0" borderId="0" xfId="0" applyFont="1" applyAlignment="1" applyProtection="1">
      <alignment vertical="center"/>
      <protection hidden="1"/>
    </xf>
    <xf numFmtId="0" fontId="11" fillId="0" borderId="1" xfId="3" applyFont="1" applyBorder="1">
      <alignment vertical="center"/>
    </xf>
    <xf numFmtId="0" fontId="0" fillId="0" borderId="0" xfId="0" applyFont="1" applyAlignment="1" applyProtection="1">
      <alignment vertical="center"/>
      <protection hidden="1"/>
    </xf>
    <xf numFmtId="0" fontId="7" fillId="0" borderId="0" xfId="0" applyFont="1" applyProtection="1">
      <alignment vertical="center"/>
      <protection hidden="1"/>
    </xf>
    <xf numFmtId="0" fontId="7" fillId="2" borderId="1" xfId="0" applyFont="1" applyFill="1" applyBorder="1" applyAlignment="1" applyProtection="1">
      <alignment horizontal="center" vertical="center" wrapText="1"/>
      <protection hidden="1"/>
    </xf>
    <xf numFmtId="0" fontId="7" fillId="0" borderId="0" xfId="0" applyFont="1" applyAlignment="1" applyProtection="1">
      <alignment vertical="center" wrapText="1"/>
      <protection hidden="1"/>
    </xf>
    <xf numFmtId="0" fontId="7" fillId="4" borderId="1" xfId="0" applyFont="1" applyFill="1" applyBorder="1" applyAlignment="1" applyProtection="1">
      <alignment horizontal="center" vertical="center" wrapText="1"/>
      <protection hidden="1"/>
    </xf>
    <xf numFmtId="0" fontId="7" fillId="0" borderId="0" xfId="0" applyNumberFormat="1" applyFont="1" applyProtection="1">
      <alignment vertical="center"/>
      <protection hidden="1"/>
    </xf>
    <xf numFmtId="0" fontId="7" fillId="3" borderId="1" xfId="0" applyFont="1" applyFill="1" applyBorder="1" applyProtection="1">
      <alignment vertical="center"/>
      <protection hidden="1"/>
    </xf>
    <xf numFmtId="184" fontId="11" fillId="6" borderId="5" xfId="3" applyNumberFormat="1" applyFont="1" applyFill="1" applyBorder="1">
      <alignment vertical="center"/>
    </xf>
    <xf numFmtId="0" fontId="14" fillId="0" borderId="0" xfId="3" applyFont="1" applyProtection="1">
      <alignment vertical="center"/>
      <protection hidden="1"/>
    </xf>
    <xf numFmtId="0" fontId="11" fillId="0" borderId="0" xfId="3" applyFont="1" applyProtection="1">
      <alignment vertical="center"/>
      <protection hidden="1"/>
    </xf>
    <xf numFmtId="0" fontId="20" fillId="0" borderId="0" xfId="3" applyFont="1" applyProtection="1">
      <alignment vertical="center"/>
      <protection hidden="1"/>
    </xf>
    <xf numFmtId="0" fontId="13" fillId="0" borderId="0" xfId="3" applyFont="1" applyProtection="1">
      <alignment vertical="center"/>
      <protection hidden="1"/>
    </xf>
    <xf numFmtId="0" fontId="13" fillId="0" borderId="22" xfId="3" applyFont="1" applyBorder="1" applyAlignment="1" applyProtection="1">
      <alignment vertical="center"/>
      <protection hidden="1"/>
    </xf>
    <xf numFmtId="55" fontId="11" fillId="0" borderId="17" xfId="3" applyNumberFormat="1" applyFont="1" applyBorder="1" applyAlignment="1" applyProtection="1">
      <alignment horizontal="center" vertical="center" wrapText="1"/>
      <protection hidden="1"/>
    </xf>
    <xf numFmtId="0" fontId="11" fillId="0" borderId="17" xfId="3" applyFont="1" applyBorder="1" applyAlignment="1" applyProtection="1">
      <alignment horizontal="center" vertical="center"/>
      <protection hidden="1"/>
    </xf>
    <xf numFmtId="0" fontId="11" fillId="0" borderId="13" xfId="3" applyFont="1" applyBorder="1" applyAlignment="1" applyProtection="1">
      <alignment horizontal="center" vertical="center" wrapText="1"/>
      <protection hidden="1"/>
    </xf>
    <xf numFmtId="0" fontId="11" fillId="0" borderId="19" xfId="3" applyFont="1" applyFill="1" applyBorder="1" applyAlignment="1" applyProtection="1">
      <alignment horizontal="center" vertical="center" wrapText="1"/>
      <protection hidden="1"/>
    </xf>
    <xf numFmtId="0" fontId="11" fillId="0" borderId="31" xfId="3" applyFont="1" applyBorder="1" applyAlignment="1" applyProtection="1">
      <alignment horizontal="center" vertical="center" wrapText="1"/>
      <protection hidden="1"/>
    </xf>
    <xf numFmtId="0" fontId="11" fillId="0" borderId="16" xfId="3" applyFont="1" applyBorder="1" applyAlignment="1" applyProtection="1">
      <alignment horizontal="center" vertical="center"/>
      <protection hidden="1"/>
    </xf>
    <xf numFmtId="0" fontId="11" fillId="0" borderId="20" xfId="3" applyFont="1" applyBorder="1" applyAlignment="1" applyProtection="1">
      <alignment horizontal="center" vertical="center"/>
      <protection hidden="1"/>
    </xf>
    <xf numFmtId="181" fontId="11" fillId="3" borderId="30" xfId="4" applyNumberFormat="1" applyFont="1" applyFill="1" applyBorder="1" applyAlignment="1" applyProtection="1">
      <alignment vertical="center" shrinkToFit="1"/>
      <protection hidden="1"/>
    </xf>
    <xf numFmtId="0" fontId="11" fillId="0" borderId="0" xfId="3" applyNumberFormat="1" applyFont="1" applyProtection="1">
      <alignment vertical="center"/>
      <protection hidden="1"/>
    </xf>
    <xf numFmtId="38" fontId="11" fillId="0" borderId="0" xfId="3" applyNumberFormat="1" applyFont="1" applyProtection="1">
      <alignment vertical="center"/>
      <protection hidden="1"/>
    </xf>
    <xf numFmtId="0" fontId="11" fillId="2" borderId="22" xfId="3" applyFont="1" applyFill="1" applyBorder="1" applyAlignment="1" applyProtection="1">
      <alignment horizontal="center" vertical="center"/>
      <protection locked="0"/>
    </xf>
    <xf numFmtId="0" fontId="17" fillId="0" borderId="0" xfId="3" applyFont="1" applyProtection="1">
      <alignment vertical="center"/>
      <protection hidden="1"/>
    </xf>
    <xf numFmtId="0" fontId="0" fillId="0" borderId="42"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0" xfId="0" applyBorder="1" applyAlignment="1" applyProtection="1">
      <alignment horizontal="center" vertical="center" wrapText="1"/>
      <protection hidden="1"/>
    </xf>
    <xf numFmtId="0" fontId="0" fillId="0" borderId="10" xfId="0" applyFill="1" applyBorder="1" applyAlignment="1" applyProtection="1">
      <alignment horizontal="center" vertical="center" wrapText="1"/>
      <protection hidden="1"/>
    </xf>
    <xf numFmtId="182" fontId="10" fillId="0" borderId="0" xfId="3" applyNumberFormat="1" applyProtection="1">
      <alignment vertical="center"/>
      <protection hidden="1"/>
    </xf>
    <xf numFmtId="182" fontId="10" fillId="0" borderId="0" xfId="3" applyNumberFormat="1" applyAlignment="1" applyProtection="1">
      <alignment horizontal="right" vertical="center"/>
      <protection hidden="1"/>
    </xf>
    <xf numFmtId="0" fontId="0" fillId="0" borderId="41" xfId="0" applyBorder="1" applyAlignment="1" applyProtection="1">
      <alignment horizontal="center" vertical="center"/>
      <protection hidden="1"/>
    </xf>
    <xf numFmtId="182" fontId="11" fillId="0" borderId="0" xfId="3" applyNumberFormat="1" applyFont="1" applyAlignment="1">
      <alignment horizontal="right" vertical="center"/>
    </xf>
    <xf numFmtId="0" fontId="11" fillId="4" borderId="15" xfId="3" applyNumberFormat="1" applyFont="1" applyFill="1" applyBorder="1" applyAlignment="1" applyProtection="1">
      <alignment horizontal="center" vertical="center" shrinkToFit="1"/>
      <protection locked="0"/>
    </xf>
    <xf numFmtId="0" fontId="11" fillId="4" borderId="36" xfId="3" applyNumberFormat="1" applyFont="1" applyFill="1" applyBorder="1" applyAlignment="1" applyProtection="1">
      <alignment horizontal="center" vertical="center" shrinkToFit="1"/>
      <protection locked="0"/>
    </xf>
    <xf numFmtId="0" fontId="4" fillId="2" borderId="5" xfId="0" applyFont="1" applyFill="1" applyBorder="1" applyAlignment="1" applyProtection="1">
      <alignment horizontal="left" vertical="center" wrapText="1"/>
      <protection locked="0"/>
    </xf>
    <xf numFmtId="0" fontId="0" fillId="0" borderId="1" xfId="0" applyFont="1" applyBorder="1" applyAlignment="1" applyProtection="1">
      <alignment horizontal="center" vertical="center" wrapText="1" shrinkToFi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shrinkToFit="1"/>
      <protection hidden="1"/>
    </xf>
    <xf numFmtId="0" fontId="7" fillId="0" borderId="0" xfId="3" applyFont="1" applyFill="1" applyProtection="1">
      <alignment vertical="center"/>
      <protection hidden="1"/>
    </xf>
    <xf numFmtId="0" fontId="18" fillId="0" borderId="0" xfId="0" applyFont="1" applyAlignment="1" applyProtection="1">
      <alignment vertical="center" shrinkToFit="1"/>
      <protection hidden="1"/>
    </xf>
    <xf numFmtId="0" fontId="7" fillId="0" borderId="0" xfId="0" applyFont="1" applyAlignment="1" applyProtection="1">
      <alignment horizontal="right" vertical="center" shrinkToFit="1"/>
      <protection hidden="1"/>
    </xf>
    <xf numFmtId="0" fontId="20" fillId="0" borderId="28" xfId="3" applyFont="1" applyBorder="1" applyAlignment="1" applyProtection="1">
      <alignment vertical="center"/>
      <protection hidden="1"/>
    </xf>
    <xf numFmtId="0" fontId="20" fillId="0" borderId="0" xfId="3" applyFont="1" applyBorder="1" applyAlignment="1" applyProtection="1">
      <alignment vertical="center"/>
      <protection hidden="1"/>
    </xf>
    <xf numFmtId="0" fontId="7" fillId="3" borderId="1" xfId="3" applyFont="1" applyFill="1" applyBorder="1" applyAlignment="1" applyProtection="1">
      <alignment horizontal="center" vertical="center"/>
      <protection hidden="1"/>
    </xf>
    <xf numFmtId="0" fontId="0" fillId="0" borderId="0" xfId="0" applyBorder="1" applyAlignment="1" applyProtection="1">
      <alignment vertical="center"/>
      <protection hidden="1"/>
    </xf>
    <xf numFmtId="0" fontId="11" fillId="0" borderId="0" xfId="3" applyFont="1" applyAlignment="1" applyProtection="1">
      <alignment horizontal="center" vertical="center"/>
      <protection hidden="1"/>
    </xf>
    <xf numFmtId="0" fontId="7" fillId="2" borderId="1" xfId="3" applyFont="1" applyFill="1" applyBorder="1" applyAlignment="1" applyProtection="1">
      <alignment horizontal="center" vertical="center" wrapText="1" shrinkToFit="1"/>
      <protection locked="0"/>
    </xf>
    <xf numFmtId="0" fontId="7" fillId="2" borderId="1" xfId="3" applyFont="1" applyFill="1" applyBorder="1" applyAlignment="1" applyProtection="1">
      <alignment horizontal="center" vertical="center"/>
      <protection locked="0"/>
    </xf>
    <xf numFmtId="187" fontId="7" fillId="4" borderId="1" xfId="3" applyNumberFormat="1" applyFont="1" applyFill="1" applyBorder="1" applyAlignment="1" applyProtection="1">
      <alignment horizontal="right" vertical="center"/>
      <protection locked="0"/>
    </xf>
    <xf numFmtId="186" fontId="20" fillId="0" borderId="0" xfId="3" applyNumberFormat="1" applyFont="1">
      <alignment vertical="center"/>
    </xf>
    <xf numFmtId="0" fontId="11" fillId="0" borderId="1" xfId="3" applyFont="1" applyBorder="1" applyAlignment="1" applyProtection="1">
      <alignment vertical="center"/>
      <protection hidden="1"/>
    </xf>
    <xf numFmtId="0" fontId="16" fillId="0" borderId="0" xfId="0" applyFont="1" applyBorder="1" applyAlignment="1" applyProtection="1">
      <alignment vertical="center"/>
      <protection hidden="1"/>
    </xf>
    <xf numFmtId="0" fontId="0" fillId="0" borderId="0" xfId="0" applyBorder="1" applyAlignment="1" applyProtection="1">
      <alignment horizontal="center" vertical="center" wrapText="1"/>
      <protection hidden="1"/>
    </xf>
    <xf numFmtId="0" fontId="16" fillId="0" borderId="0" xfId="0" applyFont="1" applyAlignment="1" applyProtection="1">
      <alignment vertical="center"/>
      <protection hidden="1"/>
    </xf>
    <xf numFmtId="0" fontId="0" fillId="0" borderId="0" xfId="0" applyBorder="1" applyAlignment="1" applyProtection="1">
      <alignment horizontal="center" vertical="center" shrinkToFit="1"/>
      <protection hidden="1"/>
    </xf>
    <xf numFmtId="0" fontId="11" fillId="0" borderId="0" xfId="3" applyFont="1" applyFill="1" applyProtection="1">
      <alignment vertical="center"/>
      <protection hidden="1"/>
    </xf>
    <xf numFmtId="0" fontId="23" fillId="0" borderId="40" xfId="3" applyFont="1" applyBorder="1" applyAlignment="1" applyProtection="1">
      <alignment horizontal="center" vertical="center"/>
      <protection hidden="1"/>
    </xf>
    <xf numFmtId="0" fontId="16" fillId="0" borderId="0" xfId="0" applyFont="1" applyBorder="1" applyAlignment="1" applyProtection="1">
      <alignment horizontal="center" vertical="center" wrapText="1"/>
      <protection hidden="1"/>
    </xf>
    <xf numFmtId="0" fontId="16" fillId="0" borderId="0" xfId="0" applyFont="1" applyBorder="1" applyAlignment="1" applyProtection="1">
      <alignment vertical="top" wrapText="1"/>
      <protection hidden="1"/>
    </xf>
    <xf numFmtId="0" fontId="23" fillId="0" borderId="0" xfId="3" applyFont="1" applyProtection="1">
      <alignment vertical="center"/>
      <protection hidden="1"/>
    </xf>
    <xf numFmtId="0" fontId="0" fillId="0" borderId="0" xfId="0" applyAlignment="1" applyProtection="1">
      <alignment horizontal="left" vertical="center"/>
      <protection hidden="1"/>
    </xf>
    <xf numFmtId="182" fontId="11" fillId="8" borderId="0" xfId="3" applyNumberFormat="1" applyFont="1" applyFill="1">
      <alignment vertical="center"/>
    </xf>
    <xf numFmtId="0" fontId="11" fillId="0" borderId="1" xfId="3" applyFont="1" applyBorder="1" applyAlignment="1">
      <alignment vertical="center"/>
    </xf>
    <xf numFmtId="0" fontId="20" fillId="0" borderId="28" xfId="3" applyFont="1" applyBorder="1" applyAlignment="1" applyProtection="1">
      <alignment horizontal="right"/>
      <protection hidden="1"/>
    </xf>
    <xf numFmtId="0" fontId="0" fillId="0" borderId="0" xfId="0" applyAlignment="1" applyProtection="1">
      <alignment horizontal="right"/>
      <protection hidden="1"/>
    </xf>
    <xf numFmtId="0" fontId="18" fillId="0" borderId="0" xfId="0" applyFont="1" applyAlignment="1" applyProtection="1">
      <alignment horizontal="right" vertical="top"/>
      <protection hidden="1"/>
    </xf>
    <xf numFmtId="0" fontId="11" fillId="0" borderId="0" xfId="3" applyFont="1" applyBorder="1" applyAlignment="1" applyProtection="1">
      <alignment horizontal="right" vertical="top"/>
      <protection hidden="1"/>
    </xf>
    <xf numFmtId="0" fontId="18" fillId="0" borderId="0" xfId="0" applyFont="1" applyBorder="1" applyAlignment="1" applyProtection="1">
      <alignment horizontal="right" vertical="top"/>
      <protection hidden="1"/>
    </xf>
    <xf numFmtId="0" fontId="11" fillId="7" borderId="0" xfId="3" applyFont="1" applyFill="1" applyProtection="1">
      <alignment vertical="center"/>
      <protection hidden="1"/>
    </xf>
    <xf numFmtId="0" fontId="0" fillId="7" borderId="0" xfId="0" applyFill="1" applyProtection="1">
      <alignment vertical="center"/>
      <protection hidden="1"/>
    </xf>
    <xf numFmtId="0" fontId="5" fillId="0" borderId="0" xfId="3" applyFont="1" applyProtection="1">
      <alignment vertical="center"/>
      <protection hidden="1"/>
    </xf>
    <xf numFmtId="0" fontId="0" fillId="6" borderId="0" xfId="0" applyFill="1" applyBorder="1" applyAlignment="1" applyProtection="1">
      <alignment horizontal="center" vertical="center" wrapText="1"/>
      <protection hidden="1"/>
    </xf>
    <xf numFmtId="0" fontId="7" fillId="0" borderId="0" xfId="0" applyFont="1" applyBorder="1" applyAlignment="1" applyProtection="1">
      <alignment horizontal="left" vertical="center" wrapText="1" shrinkToFit="1"/>
      <protection hidden="1"/>
    </xf>
    <xf numFmtId="0" fontId="7" fillId="0" borderId="0" xfId="0" applyFont="1" applyBorder="1" applyAlignment="1" applyProtection="1">
      <alignment horizontal="center" vertical="center" wrapText="1" shrinkToFit="1"/>
      <protection hidden="1"/>
    </xf>
    <xf numFmtId="0" fontId="0" fillId="0" borderId="0" xfId="0" applyAlignment="1" applyProtection="1">
      <alignment horizontal="center" vertical="center"/>
      <protection hidden="1"/>
    </xf>
    <xf numFmtId="0" fontId="7" fillId="6" borderId="0" xfId="0" applyFont="1" applyFill="1" applyBorder="1" applyAlignment="1" applyProtection="1">
      <alignment horizontal="left" vertical="center" wrapText="1" shrinkToFit="1"/>
      <protection hidden="1"/>
    </xf>
    <xf numFmtId="0" fontId="7" fillId="6" borderId="0" xfId="0" applyFont="1" applyFill="1" applyBorder="1" applyAlignment="1" applyProtection="1">
      <alignment horizontal="center" vertical="center" wrapText="1" shrinkToFit="1"/>
      <protection hidden="1"/>
    </xf>
    <xf numFmtId="0" fontId="29" fillId="0" borderId="0" xfId="0" applyFont="1" applyFill="1" applyProtection="1">
      <alignment vertical="center"/>
      <protection hidden="1"/>
    </xf>
    <xf numFmtId="0" fontId="30" fillId="0" borderId="0" xfId="0" applyFont="1" applyFill="1" applyAlignment="1" applyProtection="1">
      <alignment vertical="center"/>
      <protection hidden="1"/>
    </xf>
    <xf numFmtId="0" fontId="0" fillId="0" borderId="0" xfId="0" applyFill="1" applyProtection="1">
      <alignment vertical="center"/>
      <protection hidden="1"/>
    </xf>
    <xf numFmtId="0" fontId="7" fillId="0" borderId="0" xfId="0" quotePrefix="1" applyFont="1" applyProtection="1">
      <alignment vertical="center"/>
      <protection hidden="1"/>
    </xf>
    <xf numFmtId="0" fontId="0" fillId="0" borderId="28" xfId="0"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Border="1" applyAlignment="1" applyProtection="1">
      <alignment horizontal="center" vertical="center" shrinkToFit="1"/>
    </xf>
    <xf numFmtId="0" fontId="0" fillId="0" borderId="47" xfId="0"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7" fillId="0" borderId="1" xfId="3" quotePrefix="1" applyFont="1" applyBorder="1" applyAlignment="1" applyProtection="1">
      <alignment horizontal="center" vertical="center"/>
      <protection hidden="1"/>
    </xf>
    <xf numFmtId="0" fontId="20" fillId="0" borderId="0" xfId="3" applyFont="1" applyFill="1" applyBorder="1" applyAlignment="1" applyProtection="1">
      <alignment horizontal="center" vertical="center"/>
      <protection hidden="1"/>
    </xf>
    <xf numFmtId="0" fontId="17" fillId="0" borderId="0" xfId="0" applyFont="1" applyProtection="1">
      <alignment vertical="center"/>
      <protection hidden="1"/>
    </xf>
    <xf numFmtId="0" fontId="0" fillId="0" borderId="0" xfId="0" applyBorder="1" applyAlignment="1" applyProtection="1">
      <alignment horizontal="center" vertical="center"/>
      <protection hidden="1"/>
    </xf>
    <xf numFmtId="0" fontId="4" fillId="2" borderId="11" xfId="0" applyFont="1" applyFill="1" applyBorder="1" applyAlignment="1" applyProtection="1">
      <alignment vertical="center" wrapText="1"/>
      <protection locked="0"/>
    </xf>
    <xf numFmtId="0" fontId="0" fillId="2" borderId="51" xfId="0" applyNumberFormat="1" applyFill="1" applyBorder="1" applyAlignment="1" applyProtection="1">
      <alignment horizontal="center" vertical="center" shrinkToFit="1"/>
      <protection locked="0"/>
    </xf>
    <xf numFmtId="0" fontId="0" fillId="0" borderId="28" xfId="0" applyBorder="1" applyAlignment="1" applyProtection="1">
      <alignment horizontal="center" vertical="center" wrapText="1"/>
      <protection hidden="1"/>
    </xf>
    <xf numFmtId="0" fontId="0" fillId="0" borderId="28" xfId="0" applyFill="1" applyBorder="1" applyAlignment="1" applyProtection="1">
      <alignment horizontal="center" vertical="center" wrapText="1"/>
      <protection hidden="1"/>
    </xf>
    <xf numFmtId="0" fontId="0" fillId="0" borderId="36" xfId="0" applyFill="1" applyBorder="1" applyAlignment="1" applyProtection="1">
      <alignment vertical="center"/>
      <protection hidden="1"/>
    </xf>
    <xf numFmtId="0" fontId="0" fillId="0" borderId="36" xfId="0" applyFill="1" applyBorder="1" applyAlignment="1" applyProtection="1">
      <alignment horizontal="left" vertical="center" shrinkToFit="1"/>
      <protection locked="0"/>
    </xf>
    <xf numFmtId="0" fontId="0" fillId="0" borderId="0" xfId="0" applyFill="1" applyBorder="1" applyProtection="1">
      <alignment vertical="center"/>
      <protection hidden="1"/>
    </xf>
    <xf numFmtId="184" fontId="11" fillId="0" borderId="0" xfId="3" applyNumberFormat="1" applyFont="1" applyBorder="1">
      <alignment vertical="center"/>
    </xf>
    <xf numFmtId="186" fontId="0" fillId="0" borderId="50" xfId="4" applyNumberFormat="1" applyFont="1" applyBorder="1" applyProtection="1">
      <alignment vertical="center"/>
      <protection hidden="1"/>
    </xf>
    <xf numFmtId="0" fontId="11" fillId="0" borderId="18" xfId="3" applyFont="1" applyFill="1" applyBorder="1" applyAlignment="1" applyProtection="1">
      <alignment horizontal="center" vertical="center"/>
      <protection hidden="1"/>
    </xf>
    <xf numFmtId="0" fontId="5" fillId="0" borderId="0" xfId="3" applyFont="1" applyAlignment="1" applyProtection="1">
      <alignment vertical="center"/>
      <protection hidden="1"/>
    </xf>
    <xf numFmtId="0" fontId="5" fillId="7" borderId="0" xfId="3" applyFont="1" applyFill="1" applyProtection="1">
      <alignment vertical="center"/>
      <protection hidden="1"/>
    </xf>
    <xf numFmtId="0" fontId="31" fillId="0" borderId="0" xfId="3" applyFont="1" applyProtection="1">
      <alignment vertical="center"/>
      <protection hidden="1"/>
    </xf>
    <xf numFmtId="0" fontId="31" fillId="0" borderId="0" xfId="3" applyFont="1" applyFill="1" applyProtection="1">
      <alignment vertical="center"/>
      <protection hidden="1"/>
    </xf>
    <xf numFmtId="0" fontId="11" fillId="0" borderId="18" xfId="3" applyFont="1" applyBorder="1" applyAlignment="1" applyProtection="1">
      <alignment horizontal="center" vertical="center" wrapText="1"/>
      <protection hidden="1"/>
    </xf>
    <xf numFmtId="0" fontId="11" fillId="0" borderId="20" xfId="3" applyFont="1" applyFill="1" applyBorder="1" applyAlignment="1" applyProtection="1">
      <alignment vertical="center"/>
      <protection hidden="1"/>
    </xf>
    <xf numFmtId="181" fontId="11" fillId="4" borderId="32" xfId="4" applyNumberFormat="1" applyFont="1" applyFill="1" applyBorder="1" applyAlignment="1" applyProtection="1">
      <alignment horizontal="right" vertical="center" shrinkToFit="1"/>
      <protection locked="0"/>
    </xf>
    <xf numFmtId="181" fontId="11" fillId="4" borderId="34" xfId="4" applyNumberFormat="1" applyFont="1" applyFill="1" applyBorder="1" applyAlignment="1" applyProtection="1">
      <alignment horizontal="right" vertical="center" shrinkToFit="1"/>
      <protection locked="0"/>
    </xf>
    <xf numFmtId="181" fontId="11" fillId="4" borderId="38" xfId="4" applyNumberFormat="1" applyFont="1" applyFill="1" applyBorder="1" applyAlignment="1" applyProtection="1">
      <alignment horizontal="right" vertical="center" shrinkToFit="1"/>
      <protection locked="0"/>
    </xf>
    <xf numFmtId="181" fontId="11" fillId="3" borderId="30" xfId="4" applyNumberFormat="1" applyFont="1" applyFill="1" applyBorder="1" applyAlignment="1" applyProtection="1">
      <alignment horizontal="right" vertical="center" shrinkToFit="1"/>
      <protection hidden="1"/>
    </xf>
    <xf numFmtId="181" fontId="23" fillId="7" borderId="40" xfId="3" applyNumberFormat="1" applyFont="1" applyFill="1" applyBorder="1" applyAlignment="1" applyProtection="1">
      <alignment horizontal="right" vertical="center"/>
      <protection hidden="1"/>
    </xf>
    <xf numFmtId="189" fontId="0" fillId="4" borderId="5" xfId="0" applyNumberFormat="1" applyFill="1" applyBorder="1" applyProtection="1">
      <alignment vertical="center"/>
      <protection locked="0"/>
    </xf>
    <xf numFmtId="181" fontId="0" fillId="3" borderId="12" xfId="0" applyNumberFormat="1" applyFill="1" applyBorder="1" applyProtection="1">
      <alignment vertical="center"/>
      <protection hidden="1"/>
    </xf>
    <xf numFmtId="191" fontId="0" fillId="4" borderId="1" xfId="0" applyNumberFormat="1" applyFill="1" applyBorder="1" applyProtection="1">
      <alignment vertical="center"/>
      <protection locked="0"/>
    </xf>
    <xf numFmtId="0" fontId="5" fillId="0" borderId="0" xfId="3" applyFont="1" applyFill="1" applyProtection="1">
      <alignment vertical="center"/>
      <protection hidden="1"/>
    </xf>
    <xf numFmtId="0" fontId="0" fillId="9" borderId="0" xfId="0" applyFill="1" applyAlignment="1" applyProtection="1">
      <alignment horizontal="center" vertical="center"/>
      <protection hidden="1"/>
    </xf>
    <xf numFmtId="0" fontId="7" fillId="0" borderId="0" xfId="0" applyFont="1" applyFill="1" applyBorder="1" applyAlignment="1" applyProtection="1">
      <alignment horizontal="left" vertical="center" wrapText="1" shrinkToFit="1"/>
      <protection hidden="1"/>
    </xf>
    <xf numFmtId="0" fontId="7" fillId="0" borderId="0" xfId="0" applyFont="1" applyFill="1" applyBorder="1" applyAlignment="1" applyProtection="1">
      <alignment horizontal="center" vertical="center" wrapText="1" shrinkToFit="1"/>
      <protection hidden="1"/>
    </xf>
    <xf numFmtId="190" fontId="0" fillId="3" borderId="1" xfId="4" applyNumberFormat="1" applyFont="1" applyFill="1" applyBorder="1" applyAlignment="1" applyProtection="1">
      <alignment horizontal="right" vertical="center" shrinkToFit="1"/>
      <protection hidden="1"/>
    </xf>
    <xf numFmtId="190" fontId="0" fillId="3" borderId="4" xfId="0" applyNumberFormat="1" applyFill="1" applyBorder="1" applyAlignment="1" applyProtection="1">
      <alignment vertical="center" shrinkToFit="1"/>
      <protection hidden="1"/>
    </xf>
    <xf numFmtId="190" fontId="8" fillId="3" borderId="5" xfId="2" applyNumberFormat="1" applyFont="1" applyFill="1" applyBorder="1" applyAlignment="1" applyProtection="1">
      <alignment horizontal="right" vertical="center" shrinkToFit="1"/>
      <protection hidden="1"/>
    </xf>
    <xf numFmtId="190" fontId="0" fillId="3" borderId="9" xfId="0" applyNumberFormat="1" applyFill="1" applyBorder="1" applyAlignment="1" applyProtection="1">
      <alignment vertical="center" shrinkToFit="1"/>
      <protection hidden="1"/>
    </xf>
    <xf numFmtId="190" fontId="0" fillId="3" borderId="5" xfId="4" applyNumberFormat="1" applyFont="1" applyFill="1" applyBorder="1" applyAlignment="1" applyProtection="1">
      <alignment horizontal="right" vertical="center" shrinkToFit="1"/>
      <protection hidden="1"/>
    </xf>
    <xf numFmtId="0" fontId="3" fillId="0" borderId="0" xfId="0" applyFont="1" applyProtection="1">
      <alignment vertical="center"/>
      <protection hidden="1"/>
    </xf>
    <xf numFmtId="0" fontId="34" fillId="0" borderId="0" xfId="0" applyFont="1" applyFill="1" applyAlignment="1" applyProtection="1">
      <alignment horizontal="center" vertical="center"/>
      <protection hidden="1"/>
    </xf>
    <xf numFmtId="0" fontId="34" fillId="0" borderId="0" xfId="0" applyFont="1" applyFill="1" applyProtection="1">
      <alignment vertical="center"/>
      <protection hidden="1"/>
    </xf>
    <xf numFmtId="0" fontId="16" fillId="0" borderId="0" xfId="0" applyFont="1" applyProtection="1">
      <alignment vertical="center"/>
      <protection hidden="1"/>
    </xf>
    <xf numFmtId="0" fontId="35" fillId="0" borderId="0" xfId="3" applyFont="1" applyProtection="1">
      <alignment vertical="center"/>
      <protection hidden="1"/>
    </xf>
    <xf numFmtId="0" fontId="16" fillId="0" borderId="0" xfId="0" applyFont="1" applyAlignment="1" applyProtection="1">
      <alignment horizontal="center" vertical="center"/>
      <protection hidden="1"/>
    </xf>
    <xf numFmtId="181" fontId="11" fillId="0" borderId="0" xfId="3" applyNumberFormat="1" applyFont="1" applyProtection="1">
      <alignment vertical="center"/>
      <protection hidden="1"/>
    </xf>
    <xf numFmtId="0" fontId="11" fillId="0" borderId="0" xfId="3" applyFont="1" applyBorder="1" applyAlignment="1" applyProtection="1">
      <alignment horizontal="center" vertical="center" wrapText="1"/>
      <protection hidden="1"/>
    </xf>
    <xf numFmtId="0" fontId="11" fillId="10" borderId="0" xfId="3" applyFont="1" applyFill="1" applyBorder="1" applyAlignment="1" applyProtection="1">
      <alignment horizontal="center" vertical="center" wrapText="1"/>
      <protection hidden="1"/>
    </xf>
    <xf numFmtId="181" fontId="11" fillId="0" borderId="0" xfId="3" applyNumberFormat="1" applyFont="1" applyBorder="1" applyAlignment="1" applyProtection="1">
      <alignment horizontal="center" vertical="center" wrapText="1"/>
      <protection hidden="1"/>
    </xf>
    <xf numFmtId="0" fontId="0" fillId="0" borderId="0" xfId="0" quotePrefix="1" applyProtection="1">
      <alignment vertical="center"/>
      <protection hidden="1"/>
    </xf>
    <xf numFmtId="182" fontId="11" fillId="5" borderId="0" xfId="3" applyNumberFormat="1" applyFont="1" applyFill="1">
      <alignment vertical="center"/>
    </xf>
    <xf numFmtId="182" fontId="11" fillId="6" borderId="0" xfId="3" applyNumberFormat="1" applyFont="1" applyFill="1">
      <alignment vertical="center"/>
    </xf>
    <xf numFmtId="0" fontId="0" fillId="9" borderId="0" xfId="0" applyFill="1" applyBorder="1" applyAlignment="1" applyProtection="1">
      <alignment horizontal="center" vertical="center" wrapText="1"/>
      <protection hidden="1"/>
    </xf>
    <xf numFmtId="0" fontId="39" fillId="0" borderId="0" xfId="3" applyFont="1" applyProtection="1">
      <alignment vertical="center"/>
      <protection hidden="1"/>
    </xf>
    <xf numFmtId="181" fontId="0" fillId="4" borderId="5" xfId="0" applyNumberFormat="1" applyFill="1" applyBorder="1" applyAlignment="1" applyProtection="1">
      <alignment horizontal="right" vertical="center" shrinkToFit="1"/>
      <protection locked="0"/>
    </xf>
    <xf numFmtId="181" fontId="0" fillId="4" borderId="5" xfId="0" applyNumberFormat="1" applyFill="1" applyBorder="1" applyAlignment="1" applyProtection="1">
      <alignment horizontal="right" vertical="center"/>
      <protection locked="0"/>
    </xf>
    <xf numFmtId="0" fontId="7" fillId="0" borderId="0" xfId="3" applyFont="1" applyAlignment="1" applyProtection="1">
      <alignment horizontal="center" vertical="center"/>
      <protection hidden="1"/>
    </xf>
    <xf numFmtId="0" fontId="7" fillId="12" borderId="0" xfId="3" applyFont="1" applyFill="1" applyAlignment="1" applyProtection="1">
      <alignment horizontal="center" vertical="center"/>
      <protection hidden="1"/>
    </xf>
    <xf numFmtId="188" fontId="7" fillId="3" borderId="1" xfId="3" applyNumberFormat="1" applyFont="1" applyFill="1" applyBorder="1" applyAlignment="1" applyProtection="1">
      <alignment horizontal="center" vertical="center"/>
      <protection hidden="1"/>
    </xf>
    <xf numFmtId="0" fontId="5" fillId="0" borderId="0" xfId="3" applyFont="1" applyAlignment="1" applyProtection="1">
      <alignment horizontal="center" vertical="center"/>
      <protection hidden="1"/>
    </xf>
    <xf numFmtId="181" fontId="0" fillId="3" borderId="21" xfId="0" applyNumberFormat="1" applyFill="1" applyBorder="1" applyProtection="1">
      <alignment vertical="center"/>
      <protection hidden="1"/>
    </xf>
    <xf numFmtId="181" fontId="0" fillId="3" borderId="58" xfId="0" applyNumberFormat="1" applyFill="1" applyBorder="1" applyProtection="1">
      <alignment vertical="center"/>
      <protection hidden="1"/>
    </xf>
    <xf numFmtId="189" fontId="0" fillId="4" borderId="10" xfId="0" applyNumberFormat="1" applyFill="1" applyBorder="1" applyProtection="1">
      <alignment vertical="center"/>
      <protection locked="0"/>
    </xf>
    <xf numFmtId="0" fontId="0" fillId="0" borderId="50" xfId="0" applyBorder="1" applyAlignment="1" applyProtection="1">
      <alignment horizontal="center" vertical="center"/>
      <protection hidden="1"/>
    </xf>
    <xf numFmtId="0" fontId="4" fillId="2" borderId="10" xfId="0" applyFont="1" applyFill="1" applyBorder="1" applyAlignment="1" applyProtection="1">
      <alignment horizontal="left" vertical="center" wrapText="1"/>
      <protection locked="0"/>
    </xf>
    <xf numFmtId="181" fontId="0" fillId="4" borderId="10" xfId="0" applyNumberFormat="1" applyFill="1" applyBorder="1" applyAlignment="1" applyProtection="1">
      <alignment horizontal="right" vertical="center"/>
      <protection locked="0"/>
    </xf>
    <xf numFmtId="0" fontId="0" fillId="0" borderId="61" xfId="0" quotePrefix="1" applyBorder="1" applyAlignment="1" applyProtection="1">
      <alignment horizontal="center" vertical="center"/>
      <protection hidden="1"/>
    </xf>
    <xf numFmtId="0" fontId="0" fillId="0" borderId="62" xfId="0" quotePrefix="1" applyBorder="1" applyAlignment="1" applyProtection="1">
      <alignment horizontal="center" vertical="center"/>
      <protection hidden="1"/>
    </xf>
    <xf numFmtId="0" fontId="0" fillId="3" borderId="21" xfId="0" applyFill="1" applyBorder="1" applyAlignment="1" applyProtection="1">
      <alignment horizontal="center" vertical="center"/>
      <protection hidden="1"/>
    </xf>
    <xf numFmtId="0" fontId="0" fillId="3" borderId="58" xfId="0" applyFill="1" applyBorder="1" applyAlignment="1" applyProtection="1">
      <alignment horizontal="center" vertical="center"/>
      <protection hidden="1"/>
    </xf>
    <xf numFmtId="0" fontId="0" fillId="0" borderId="59" xfId="0" quotePrefix="1" applyBorder="1" applyAlignment="1" applyProtection="1">
      <alignment horizontal="center" vertical="center"/>
      <protection hidden="1"/>
    </xf>
    <xf numFmtId="0" fontId="0" fillId="0" borderId="60" xfId="0" quotePrefix="1" applyBorder="1" applyAlignment="1" applyProtection="1">
      <alignment horizontal="center" vertical="center"/>
      <protection hidden="1"/>
    </xf>
    <xf numFmtId="0" fontId="0" fillId="0" borderId="21" xfId="0" quotePrefix="1" applyBorder="1" applyAlignment="1" applyProtection="1">
      <alignment horizontal="center" vertical="center"/>
      <protection hidden="1"/>
    </xf>
    <xf numFmtId="0" fontId="0" fillId="0" borderId="58" xfId="0" quotePrefix="1" applyBorder="1" applyAlignment="1" applyProtection="1">
      <alignment horizontal="center" vertical="center"/>
      <protection hidden="1"/>
    </xf>
    <xf numFmtId="0" fontId="0" fillId="2" borderId="5" xfId="0" applyFont="1" applyFill="1" applyBorder="1" applyAlignment="1" applyProtection="1">
      <alignment horizontal="center" vertical="center" shrinkToFit="1"/>
      <protection locked="0"/>
    </xf>
    <xf numFmtId="0" fontId="17" fillId="0" borderId="0" xfId="3" applyFont="1" applyAlignment="1" applyProtection="1">
      <alignment vertical="center"/>
      <protection hidden="1"/>
    </xf>
    <xf numFmtId="182" fontId="11" fillId="13" borderId="0" xfId="3" applyNumberFormat="1" applyFont="1" applyFill="1">
      <alignment vertical="center"/>
    </xf>
    <xf numFmtId="181" fontId="0" fillId="0" borderId="19" xfId="0" quotePrefix="1" applyNumberFormat="1" applyBorder="1" applyAlignment="1" applyProtection="1">
      <alignment horizontal="right" vertical="center"/>
      <protection hidden="1"/>
    </xf>
    <xf numFmtId="181" fontId="0" fillId="0" borderId="63" xfId="0" quotePrefix="1" applyNumberFormat="1" applyBorder="1" applyAlignment="1" applyProtection="1">
      <alignment horizontal="right" vertical="center"/>
      <protection hidden="1"/>
    </xf>
    <xf numFmtId="181" fontId="0" fillId="0" borderId="61" xfId="0" quotePrefix="1" applyNumberFormat="1" applyBorder="1" applyAlignment="1" applyProtection="1">
      <alignment horizontal="right" vertical="center"/>
      <protection hidden="1"/>
    </xf>
    <xf numFmtId="181" fontId="0" fillId="0" borderId="62" xfId="0" quotePrefix="1" applyNumberFormat="1" applyBorder="1" applyAlignment="1" applyProtection="1">
      <alignment horizontal="right" vertical="center"/>
      <protection hidden="1"/>
    </xf>
    <xf numFmtId="0" fontId="0" fillId="13" borderId="0" xfId="0"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182" fontId="13" fillId="0" borderId="0" xfId="3" applyNumberFormat="1" applyFont="1">
      <alignment vertical="center"/>
    </xf>
    <xf numFmtId="189" fontId="0" fillId="3" borderId="59" xfId="0" applyNumberFormat="1" applyFill="1" applyBorder="1" applyProtection="1">
      <alignment vertical="center"/>
      <protection hidden="1"/>
    </xf>
    <xf numFmtId="189" fontId="0" fillId="3" borderId="60" xfId="0" applyNumberFormat="1" applyFill="1" applyBorder="1" applyProtection="1">
      <alignment vertical="center"/>
      <protection hidden="1"/>
    </xf>
    <xf numFmtId="189" fontId="0" fillId="3" borderId="61" xfId="0" applyNumberFormat="1" applyFill="1" applyBorder="1" applyProtection="1">
      <alignment vertical="center"/>
      <protection hidden="1"/>
    </xf>
    <xf numFmtId="189" fontId="0" fillId="3" borderId="62" xfId="0" applyNumberFormat="1" applyFill="1" applyBorder="1" applyProtection="1">
      <alignment vertical="center"/>
      <protection hidden="1"/>
    </xf>
    <xf numFmtId="0" fontId="8" fillId="15" borderId="0" xfId="0" applyFont="1" applyFill="1" applyProtection="1">
      <alignment vertical="center"/>
      <protection hidden="1"/>
    </xf>
    <xf numFmtId="0" fontId="5" fillId="15" borderId="0" xfId="0" applyFont="1" applyFill="1" applyProtection="1">
      <alignment vertical="center"/>
      <protection hidden="1"/>
    </xf>
    <xf numFmtId="192" fontId="0" fillId="4" borderId="5" xfId="0" applyNumberFormat="1" applyFill="1" applyBorder="1" applyProtection="1">
      <alignment vertical="center"/>
      <protection locked="0"/>
    </xf>
    <xf numFmtId="192" fontId="0" fillId="4" borderId="10" xfId="0" applyNumberFormat="1" applyFill="1" applyBorder="1" applyProtection="1">
      <alignment vertical="center"/>
      <protection locked="0"/>
    </xf>
    <xf numFmtId="192" fontId="0" fillId="4" borderId="5" xfId="1" applyNumberFormat="1" applyFont="1" applyFill="1" applyBorder="1" applyProtection="1">
      <alignment vertical="center"/>
      <protection locked="0"/>
    </xf>
    <xf numFmtId="192" fontId="0" fillId="4" borderId="1" xfId="1" applyNumberFormat="1" applyFont="1" applyFill="1" applyBorder="1" applyProtection="1">
      <alignment vertical="center"/>
      <protection locked="0"/>
    </xf>
    <xf numFmtId="192" fontId="0" fillId="4" borderId="3" xfId="1" applyNumberFormat="1" applyFont="1" applyFill="1" applyBorder="1" applyProtection="1">
      <alignment vertical="center"/>
      <protection locked="0"/>
    </xf>
    <xf numFmtId="192" fontId="8" fillId="4" borderId="5" xfId="2" applyNumberFormat="1" applyFont="1" applyFill="1" applyBorder="1" applyProtection="1">
      <alignment vertical="center"/>
      <protection locked="0"/>
    </xf>
    <xf numFmtId="192" fontId="8" fillId="4" borderId="1" xfId="2" applyNumberFormat="1" applyFont="1" applyFill="1" applyBorder="1" applyProtection="1">
      <alignment vertical="center"/>
      <protection locked="0"/>
    </xf>
    <xf numFmtId="192" fontId="0" fillId="4" borderId="1" xfId="0" applyNumberFormat="1" applyFill="1" applyBorder="1" applyProtection="1">
      <alignment vertical="center"/>
      <protection locked="0"/>
    </xf>
    <xf numFmtId="192" fontId="0" fillId="4" borderId="14" xfId="0" applyNumberFormat="1" applyFill="1" applyBorder="1" applyProtection="1">
      <alignment vertical="center"/>
      <protection locked="0"/>
    </xf>
    <xf numFmtId="192" fontId="0" fillId="4" borderId="2" xfId="0" applyNumberFormat="1" applyFill="1" applyBorder="1" applyProtection="1">
      <alignment vertical="center"/>
      <protection locked="0"/>
    </xf>
    <xf numFmtId="192" fontId="7" fillId="4" borderId="1" xfId="3" applyNumberFormat="1" applyFont="1" applyFill="1" applyBorder="1" applyProtection="1">
      <alignment vertical="center"/>
      <protection locked="0"/>
    </xf>
    <xf numFmtId="192" fontId="7" fillId="4" borderId="1" xfId="3" applyNumberFormat="1" applyFont="1" applyFill="1" applyBorder="1" applyAlignment="1" applyProtection="1">
      <alignment horizontal="right" vertical="center"/>
      <protection locked="0"/>
    </xf>
    <xf numFmtId="182" fontId="11" fillId="5" borderId="22" xfId="3" applyNumberFormat="1" applyFont="1" applyFill="1" applyBorder="1" applyAlignment="1">
      <alignment horizontal="center" vertical="center"/>
    </xf>
    <xf numFmtId="177" fontId="10" fillId="0" borderId="3" xfId="3" applyNumberFormat="1" applyBorder="1" applyAlignment="1" applyProtection="1">
      <alignment horizontal="center" vertical="center"/>
      <protection hidden="1"/>
    </xf>
    <xf numFmtId="177" fontId="10" fillId="0" borderId="10" xfId="3" applyNumberFormat="1" applyBorder="1" applyAlignment="1" applyProtection="1">
      <alignment horizontal="center" vertical="center"/>
      <protection hidden="1"/>
    </xf>
    <xf numFmtId="177" fontId="10" fillId="0" borderId="5" xfId="3" applyNumberFormat="1" applyBorder="1" applyAlignment="1" applyProtection="1">
      <alignment horizontal="center" vertical="center"/>
      <protection hidden="1"/>
    </xf>
    <xf numFmtId="177" fontId="10" fillId="0" borderId="1" xfId="3" applyNumberFormat="1" applyBorder="1" applyAlignment="1" applyProtection="1">
      <alignment horizontal="center" vertical="center"/>
      <protection hidden="1"/>
    </xf>
    <xf numFmtId="0" fontId="7" fillId="11" borderId="0" xfId="3" applyFont="1" applyFill="1" applyBorder="1" applyAlignment="1" applyProtection="1">
      <alignment horizontal="right" vertical="center"/>
      <protection hidden="1"/>
    </xf>
    <xf numFmtId="0" fontId="7" fillId="10" borderId="0" xfId="3" applyFont="1" applyFill="1" applyBorder="1" applyAlignment="1" applyProtection="1">
      <alignment horizontal="right" vertical="center"/>
      <protection hidden="1"/>
    </xf>
    <xf numFmtId="0" fontId="7" fillId="10" borderId="50" xfId="3" applyFont="1" applyFill="1" applyBorder="1" applyAlignment="1" applyProtection="1">
      <alignment horizontal="right" vertical="center"/>
      <protection hidden="1"/>
    </xf>
    <xf numFmtId="0" fontId="7" fillId="12" borderId="0" xfId="3" applyFont="1" applyFill="1" applyBorder="1" applyAlignment="1" applyProtection="1">
      <alignment horizontal="right" vertical="center"/>
      <protection hidden="1"/>
    </xf>
    <xf numFmtId="0" fontId="7" fillId="0" borderId="3" xfId="3" applyFont="1" applyBorder="1" applyAlignment="1" applyProtection="1">
      <alignment horizontal="center" vertical="center" wrapText="1"/>
      <protection hidden="1"/>
    </xf>
    <xf numFmtId="0" fontId="7" fillId="0" borderId="10" xfId="3" applyFont="1" applyBorder="1" applyAlignment="1" applyProtection="1">
      <alignment horizontal="center" vertical="center" wrapText="1"/>
      <protection hidden="1"/>
    </xf>
    <xf numFmtId="0" fontId="7" fillId="0" borderId="5" xfId="3" applyFont="1" applyBorder="1" applyAlignment="1" applyProtection="1">
      <alignment horizontal="center" vertical="center" wrapText="1"/>
      <protection hidden="1"/>
    </xf>
    <xf numFmtId="0" fontId="7" fillId="0" borderId="1" xfId="3" applyFont="1" applyBorder="1" applyAlignment="1" applyProtection="1">
      <alignment horizontal="center" vertical="center"/>
      <protection hidden="1"/>
    </xf>
    <xf numFmtId="0" fontId="7" fillId="0" borderId="1" xfId="3" applyFont="1" applyBorder="1" applyAlignment="1" applyProtection="1">
      <alignment horizontal="center" vertical="center" wrapText="1"/>
      <protection hidden="1"/>
    </xf>
    <xf numFmtId="0" fontId="33" fillId="3" borderId="3" xfId="3" applyFont="1" applyFill="1" applyBorder="1" applyAlignment="1" applyProtection="1">
      <alignment horizontal="center" vertical="center"/>
      <protection hidden="1"/>
    </xf>
    <xf numFmtId="0" fontId="33" fillId="3" borderId="10" xfId="3" applyFont="1" applyFill="1" applyBorder="1" applyAlignment="1" applyProtection="1">
      <alignment horizontal="center" vertical="center"/>
      <protection hidden="1"/>
    </xf>
    <xf numFmtId="0" fontId="33" fillId="3" borderId="5" xfId="3" applyFont="1" applyFill="1" applyBorder="1" applyAlignment="1" applyProtection="1">
      <alignment horizontal="center" vertical="center"/>
      <protection hidden="1"/>
    </xf>
    <xf numFmtId="0" fontId="7" fillId="3" borderId="3" xfId="3" applyFont="1" applyFill="1" applyBorder="1" applyAlignment="1" applyProtection="1">
      <alignment horizontal="center" vertical="center" wrapText="1"/>
      <protection hidden="1"/>
    </xf>
    <xf numFmtId="0" fontId="7" fillId="3" borderId="5" xfId="3" applyFont="1" applyFill="1" applyBorder="1" applyAlignment="1" applyProtection="1">
      <alignment horizontal="center" vertical="center" wrapText="1"/>
      <protection hidden="1"/>
    </xf>
    <xf numFmtId="0" fontId="7" fillId="0" borderId="2" xfId="3" applyFont="1" applyBorder="1" applyAlignment="1" applyProtection="1">
      <alignment horizontal="center" vertical="center" wrapText="1"/>
      <protection hidden="1"/>
    </xf>
    <xf numFmtId="0" fontId="7" fillId="0" borderId="14" xfId="3" applyFont="1" applyBorder="1" applyAlignment="1" applyProtection="1">
      <alignment horizontal="center" vertical="center" wrapText="1"/>
      <protection hidden="1"/>
    </xf>
    <xf numFmtId="0" fontId="40" fillId="3" borderId="3" xfId="3" applyFont="1" applyFill="1" applyBorder="1" applyAlignment="1" applyProtection="1">
      <alignment horizontal="center" vertical="center"/>
      <protection hidden="1"/>
    </xf>
    <xf numFmtId="0" fontId="40" fillId="3" borderId="10" xfId="3" applyFont="1" applyFill="1" applyBorder="1" applyAlignment="1" applyProtection="1">
      <alignment horizontal="center" vertical="center"/>
      <protection hidden="1"/>
    </xf>
    <xf numFmtId="0" fontId="40" fillId="3" borderId="5" xfId="3" applyFont="1" applyFill="1" applyBorder="1" applyAlignment="1" applyProtection="1">
      <alignment horizontal="center" vertical="center"/>
      <protection hidden="1"/>
    </xf>
    <xf numFmtId="0" fontId="20" fillId="3" borderId="3" xfId="3" applyFont="1" applyFill="1" applyBorder="1" applyAlignment="1" applyProtection="1">
      <alignment horizontal="center" vertical="center"/>
      <protection hidden="1"/>
    </xf>
    <xf numFmtId="0" fontId="20" fillId="3" borderId="10" xfId="3" applyFont="1" applyFill="1" applyBorder="1" applyAlignment="1" applyProtection="1">
      <alignment horizontal="center" vertical="center"/>
      <protection hidden="1"/>
    </xf>
    <xf numFmtId="0" fontId="20" fillId="3" borderId="5" xfId="3" applyFont="1" applyFill="1" applyBorder="1" applyAlignment="1" applyProtection="1">
      <alignment horizontal="center" vertical="center"/>
      <protection hidden="1"/>
    </xf>
    <xf numFmtId="0" fontId="0" fillId="5" borderId="54" xfId="0" applyFill="1" applyBorder="1" applyAlignment="1" applyProtection="1">
      <alignment horizontal="left" vertical="center" shrinkToFit="1"/>
      <protection locked="0"/>
    </xf>
    <xf numFmtId="0" fontId="0" fillId="5" borderId="55" xfId="0" applyFill="1" applyBorder="1" applyAlignment="1" applyProtection="1">
      <alignment horizontal="left" vertical="center" shrinkToFit="1"/>
      <protection locked="0"/>
    </xf>
    <xf numFmtId="0" fontId="0" fillId="5" borderId="56" xfId="0" applyFill="1" applyBorder="1" applyAlignment="1" applyProtection="1">
      <alignment horizontal="left" vertical="center" shrinkToFit="1"/>
      <protection locked="0"/>
    </xf>
    <xf numFmtId="0" fontId="0" fillId="5" borderId="57" xfId="0" applyFill="1" applyBorder="1" applyAlignment="1" applyProtection="1">
      <alignment horizontal="left" vertical="center" shrinkToFit="1"/>
      <protection locked="0"/>
    </xf>
    <xf numFmtId="0" fontId="0" fillId="4" borderId="48" xfId="0" applyFill="1" applyBorder="1" applyAlignment="1" applyProtection="1">
      <alignment horizontal="left" vertical="center" shrinkToFit="1"/>
      <protection locked="0"/>
    </xf>
    <xf numFmtId="0" fontId="0" fillId="4" borderId="49" xfId="0" applyFill="1" applyBorder="1" applyAlignment="1" applyProtection="1">
      <alignment horizontal="left" vertical="center" shrinkToFit="1"/>
      <protection locked="0"/>
    </xf>
    <xf numFmtId="0" fontId="0" fillId="0" borderId="3"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5" borderId="52" xfId="0" applyFill="1" applyBorder="1" applyAlignment="1" applyProtection="1">
      <alignment horizontal="left" vertical="center" shrinkToFit="1"/>
      <protection locked="0"/>
    </xf>
    <xf numFmtId="0" fontId="0" fillId="5" borderId="53" xfId="0" applyFill="1" applyBorder="1" applyAlignment="1" applyProtection="1">
      <alignment horizontal="left" vertical="center" shrinkToFit="1"/>
      <protection locked="0"/>
    </xf>
    <xf numFmtId="0" fontId="0" fillId="4" borderId="47" xfId="0" applyFill="1" applyBorder="1" applyAlignment="1" applyProtection="1">
      <alignment horizontal="left" vertical="center" shrinkToFit="1"/>
      <protection locked="0"/>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187" fontId="6" fillId="0" borderId="3" xfId="3" applyNumberFormat="1" applyFont="1" applyFill="1" applyBorder="1" applyAlignment="1" applyProtection="1">
      <alignment horizontal="center" vertical="center" wrapText="1" shrinkToFit="1"/>
      <protection hidden="1"/>
    </xf>
    <xf numFmtId="187" fontId="6" fillId="0" borderId="5" xfId="3" applyNumberFormat="1" applyFont="1" applyFill="1" applyBorder="1" applyAlignment="1" applyProtection="1">
      <alignment horizontal="center" vertical="center" shrinkToFit="1"/>
      <protection hidden="1"/>
    </xf>
    <xf numFmtId="0" fontId="0" fillId="0" borderId="1" xfId="0"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0" fillId="0" borderId="1" xfId="0" applyFont="1" applyBorder="1" applyAlignment="1" applyProtection="1">
      <alignment horizontal="center" vertical="center" wrapText="1"/>
      <protection hidden="1"/>
    </xf>
    <xf numFmtId="0" fontId="0" fillId="0" borderId="1" xfId="0" applyBorder="1" applyAlignment="1" applyProtection="1">
      <alignment horizontal="left" vertical="center" wrapText="1"/>
      <protection hidden="1"/>
    </xf>
    <xf numFmtId="0" fontId="0" fillId="0" borderId="1" xfId="0" applyFont="1" applyBorder="1" applyAlignment="1" applyProtection="1">
      <alignment vertical="center" wrapText="1" shrinkToFit="1"/>
      <protection hidden="1"/>
    </xf>
    <xf numFmtId="0" fontId="7" fillId="0" borderId="1" xfId="0" applyFont="1" applyBorder="1" applyAlignment="1" applyProtection="1">
      <alignment vertical="center" wrapText="1" shrinkToFit="1"/>
      <protection hidden="1"/>
    </xf>
    <xf numFmtId="0" fontId="5" fillId="0" borderId="44" xfId="0" applyFont="1" applyBorder="1" applyAlignment="1" applyProtection="1">
      <alignment horizontal="center" vertical="center"/>
      <protection hidden="1"/>
    </xf>
    <xf numFmtId="0" fontId="5" fillId="0" borderId="45" xfId="0" applyFont="1" applyBorder="1" applyAlignment="1" applyProtection="1">
      <alignment horizontal="center" vertical="center"/>
      <protection hidden="1"/>
    </xf>
    <xf numFmtId="0" fontId="5" fillId="0" borderId="46" xfId="0" applyFont="1" applyBorder="1" applyAlignment="1" applyProtection="1">
      <alignment horizontal="center" vertical="center"/>
      <protection hidden="1"/>
    </xf>
    <xf numFmtId="0" fontId="0" fillId="0" borderId="3" xfId="0" applyFont="1" applyBorder="1" applyAlignment="1" applyProtection="1">
      <alignment vertical="center" wrapText="1" shrinkToFit="1"/>
      <protection hidden="1"/>
    </xf>
    <xf numFmtId="0" fontId="0" fillId="0" borderId="5" xfId="0" applyFont="1" applyBorder="1" applyAlignment="1" applyProtection="1">
      <alignment vertical="center" wrapText="1" shrinkToFit="1"/>
      <protection hidden="1"/>
    </xf>
    <xf numFmtId="0" fontId="7" fillId="0" borderId="2"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3" xfId="0" applyFont="1" applyBorder="1" applyAlignment="1" applyProtection="1">
      <alignment vertical="center" wrapText="1" shrinkToFit="1"/>
      <protection hidden="1"/>
    </xf>
    <xf numFmtId="0" fontId="7" fillId="0" borderId="5" xfId="0" applyFont="1" applyBorder="1" applyAlignment="1" applyProtection="1">
      <alignment vertical="center" wrapText="1" shrinkToFit="1"/>
      <protection hidden="1"/>
    </xf>
    <xf numFmtId="0" fontId="5" fillId="0" borderId="1" xfId="0" applyFont="1" applyBorder="1" applyAlignment="1" applyProtection="1">
      <alignment vertical="center" wrapText="1"/>
      <protection hidden="1"/>
    </xf>
    <xf numFmtId="0" fontId="0" fillId="0" borderId="3" xfId="0" applyBorder="1" applyAlignment="1" applyProtection="1">
      <alignment vertical="center" wrapText="1"/>
      <protection hidden="1"/>
    </xf>
    <xf numFmtId="0" fontId="0" fillId="0" borderId="5" xfId="0" applyBorder="1" applyAlignment="1" applyProtection="1">
      <alignment vertical="center" wrapText="1"/>
      <protection hidden="1"/>
    </xf>
    <xf numFmtId="0" fontId="0" fillId="0" borderId="1" xfId="0" applyBorder="1" applyAlignment="1" applyProtection="1">
      <alignment vertical="center" shrinkToFit="1"/>
      <protection hidden="1"/>
    </xf>
    <xf numFmtId="0" fontId="0" fillId="0" borderId="3" xfId="0"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7" fillId="0" borderId="3" xfId="0" applyFont="1" applyBorder="1" applyAlignment="1" applyProtection="1">
      <alignment horizontal="center" vertical="center"/>
      <protection hidden="1"/>
    </xf>
    <xf numFmtId="0" fontId="0" fillId="2" borderId="44"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0" borderId="2" xfId="0" applyFont="1" applyBorder="1" applyAlignment="1" applyProtection="1">
      <alignment horizontal="left" vertical="center" wrapText="1" shrinkToFit="1"/>
      <protection hidden="1"/>
    </xf>
    <xf numFmtId="0" fontId="0" fillId="0" borderId="14" xfId="0" applyFont="1" applyBorder="1" applyAlignment="1" applyProtection="1">
      <alignment horizontal="left" vertical="center" wrapText="1" shrinkToFit="1"/>
      <protection hidden="1"/>
    </xf>
    <xf numFmtId="0" fontId="7" fillId="0" borderId="2" xfId="0" applyFont="1" applyBorder="1" applyAlignment="1" applyProtection="1">
      <alignment horizontal="left" vertical="center" wrapText="1" shrinkToFit="1"/>
      <protection hidden="1"/>
    </xf>
    <xf numFmtId="0" fontId="7" fillId="0" borderId="14" xfId="0" applyFont="1" applyBorder="1" applyAlignment="1" applyProtection="1">
      <alignment horizontal="left" vertical="center" wrapText="1" shrinkToFit="1"/>
      <protection hidden="1"/>
    </xf>
    <xf numFmtId="0" fontId="7" fillId="0" borderId="3" xfId="0" applyFont="1" applyBorder="1" applyAlignment="1" applyProtection="1">
      <alignment vertical="center" shrinkToFit="1"/>
      <protection hidden="1"/>
    </xf>
    <xf numFmtId="0" fontId="7" fillId="0" borderId="5" xfId="0" applyFont="1" applyBorder="1" applyAlignment="1" applyProtection="1">
      <alignment vertical="center" shrinkToFit="1"/>
      <protection hidden="1"/>
    </xf>
    <xf numFmtId="0" fontId="0" fillId="0" borderId="2" xfId="0"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0" fillId="0" borderId="15" xfId="0" applyBorder="1" applyAlignment="1" applyProtection="1">
      <alignment horizontal="left" vertical="center" wrapText="1"/>
      <protection hidden="1"/>
    </xf>
    <xf numFmtId="189" fontId="11" fillId="4" borderId="29" xfId="4" applyNumberFormat="1" applyFont="1" applyFill="1" applyBorder="1" applyAlignment="1" applyProtection="1">
      <alignment horizontal="right" vertical="center" shrinkToFit="1"/>
      <protection locked="0"/>
    </xf>
    <xf numFmtId="189" fontId="11" fillId="4" borderId="37" xfId="4" applyNumberFormat="1" applyFont="1" applyFill="1" applyBorder="1" applyAlignment="1" applyProtection="1">
      <alignment horizontal="right" vertical="center" shrinkToFit="1"/>
      <protection locked="0"/>
    </xf>
    <xf numFmtId="0" fontId="11" fillId="0" borderId="22" xfId="3" applyFont="1" applyBorder="1" applyAlignment="1" applyProtection="1">
      <alignment horizontal="right" vertical="center"/>
      <protection hidden="1"/>
    </xf>
    <xf numFmtId="0" fontId="39" fillId="0" borderId="22" xfId="3" applyFont="1" applyFill="1" applyBorder="1" applyAlignment="1" applyProtection="1">
      <alignment horizontal="left" vertical="center"/>
      <protection locked="0"/>
    </xf>
    <xf numFmtId="180" fontId="11" fillId="3" borderId="6" xfId="3" applyNumberFormat="1" applyFont="1" applyFill="1" applyBorder="1" applyAlignment="1" applyProtection="1">
      <alignment horizontal="center" vertical="center" wrapText="1"/>
      <protection hidden="1"/>
    </xf>
    <xf numFmtId="180" fontId="11" fillId="3" borderId="33" xfId="3" applyNumberFormat="1" applyFont="1" applyFill="1" applyBorder="1" applyAlignment="1" applyProtection="1">
      <alignment horizontal="center" vertical="center" wrapText="1"/>
      <protection hidden="1"/>
    </xf>
    <xf numFmtId="0" fontId="11" fillId="2" borderId="22" xfId="3" applyFont="1" applyFill="1" applyBorder="1" applyAlignment="1" applyProtection="1">
      <alignment horizontal="center" vertical="center" shrinkToFit="1"/>
      <protection locked="0"/>
    </xf>
    <xf numFmtId="189" fontId="11" fillId="4" borderId="2" xfId="4" applyNumberFormat="1" applyFont="1" applyFill="1" applyBorder="1" applyAlignment="1" applyProtection="1">
      <alignment horizontal="right" vertical="center" shrinkToFit="1"/>
      <protection locked="0"/>
    </xf>
    <xf numFmtId="189" fontId="11" fillId="4" borderId="35" xfId="4" applyNumberFormat="1" applyFont="1" applyFill="1" applyBorder="1" applyAlignment="1" applyProtection="1">
      <alignment horizontal="right" vertical="center" shrinkToFit="1"/>
      <protection locked="0"/>
    </xf>
    <xf numFmtId="189" fontId="11" fillId="3" borderId="7" xfId="4" applyNumberFormat="1" applyFont="1" applyFill="1" applyBorder="1" applyAlignment="1" applyProtection="1">
      <alignment horizontal="right" vertical="center" shrinkToFit="1"/>
      <protection hidden="1"/>
    </xf>
    <xf numFmtId="189" fontId="11" fillId="3" borderId="39" xfId="4" applyNumberFormat="1" applyFont="1" applyFill="1" applyBorder="1" applyAlignment="1" applyProtection="1">
      <alignment horizontal="right" vertical="center" shrinkToFit="1"/>
      <protection hidden="1"/>
    </xf>
    <xf numFmtId="189" fontId="11" fillId="4" borderId="15" xfId="4" applyNumberFormat="1" applyFont="1" applyFill="1" applyBorder="1" applyAlignment="1" applyProtection="1">
      <alignment horizontal="right" vertical="center" shrinkToFit="1"/>
      <protection locked="0"/>
    </xf>
    <xf numFmtId="190" fontId="11" fillId="3" borderId="6" xfId="3" applyNumberFormat="1" applyFont="1" applyFill="1" applyBorder="1" applyAlignment="1" applyProtection="1">
      <alignment horizontal="center" vertical="center" wrapText="1"/>
      <protection hidden="1"/>
    </xf>
    <xf numFmtId="190" fontId="11" fillId="3" borderId="33" xfId="3" applyNumberFormat="1" applyFont="1" applyFill="1" applyBorder="1" applyAlignment="1" applyProtection="1">
      <alignment horizontal="center" vertical="center" wrapText="1"/>
      <protection hidden="1"/>
    </xf>
    <xf numFmtId="180" fontId="11" fillId="3" borderId="18" xfId="3" applyNumberFormat="1" applyFont="1" applyFill="1" applyBorder="1" applyAlignment="1" applyProtection="1">
      <alignment horizontal="center" vertical="center" wrapText="1"/>
      <protection hidden="1"/>
    </xf>
    <xf numFmtId="187" fontId="6" fillId="0" borderId="1" xfId="3" applyNumberFormat="1" applyFont="1" applyBorder="1" applyAlignment="1" applyProtection="1">
      <alignment horizontal="center" vertical="center" wrapText="1" shrinkToFit="1"/>
      <protection hidden="1"/>
    </xf>
    <xf numFmtId="1" fontId="41" fillId="3" borderId="3" xfId="3" applyNumberFormat="1" applyFont="1" applyFill="1" applyBorder="1" applyAlignment="1" applyProtection="1">
      <alignment horizontal="center" vertical="center" shrinkToFit="1"/>
      <protection hidden="1"/>
    </xf>
    <xf numFmtId="1" fontId="41" fillId="3" borderId="10" xfId="3" applyNumberFormat="1" applyFont="1" applyFill="1" applyBorder="1" applyAlignment="1" applyProtection="1">
      <alignment horizontal="center" vertical="center" shrinkToFit="1"/>
      <protection hidden="1"/>
    </xf>
    <xf numFmtId="1" fontId="41" fillId="3" borderId="5" xfId="3" applyNumberFormat="1" applyFont="1" applyFill="1" applyBorder="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18" fillId="0" borderId="43" xfId="0" applyFont="1" applyBorder="1" applyAlignment="1" applyProtection="1">
      <alignment horizontal="center" vertical="center" shrinkToFit="1"/>
      <protection hidden="1"/>
    </xf>
    <xf numFmtId="0" fontId="11" fillId="0" borderId="1" xfId="3" applyFont="1" applyBorder="1" applyAlignment="1" applyProtection="1">
      <alignment horizontal="left" vertical="center" indent="1"/>
      <protection hidden="1"/>
    </xf>
    <xf numFmtId="0" fontId="11" fillId="3" borderId="1" xfId="3" applyFont="1" applyFill="1" applyBorder="1" applyAlignment="1" applyProtection="1">
      <alignment horizontal="center" vertical="center"/>
      <protection hidden="1"/>
    </xf>
    <xf numFmtId="192" fontId="11" fillId="4" borderId="1" xfId="3" applyNumberFormat="1" applyFont="1" applyFill="1" applyBorder="1" applyAlignment="1" applyProtection="1">
      <alignment horizontal="center" vertical="center"/>
      <protection locked="0"/>
    </xf>
    <xf numFmtId="0" fontId="11" fillId="0" borderId="1" xfId="3" applyFont="1" applyBorder="1" applyAlignment="1" applyProtection="1">
      <alignment horizontal="left" vertical="center" wrapText="1" indent="1"/>
      <protection hidden="1"/>
    </xf>
    <xf numFmtId="0" fontId="20" fillId="2" borderId="1" xfId="3" applyFont="1" applyFill="1" applyBorder="1" applyAlignment="1" applyProtection="1">
      <alignment horizontal="center" vertical="center"/>
      <protection locked="0"/>
    </xf>
    <xf numFmtId="188" fontId="11" fillId="4" borderId="1" xfId="3" applyNumberFormat="1" applyFont="1" applyFill="1" applyBorder="1" applyAlignment="1" applyProtection="1">
      <alignment horizontal="center" vertical="center"/>
      <protection locked="0"/>
    </xf>
    <xf numFmtId="188" fontId="11" fillId="3" borderId="1" xfId="3" applyNumberFormat="1" applyFont="1" applyFill="1" applyBorder="1" applyAlignment="1" applyProtection="1">
      <alignment horizontal="center" vertical="center"/>
      <protection hidden="1"/>
    </xf>
    <xf numFmtId="1" fontId="21" fillId="3" borderId="1" xfId="3" applyNumberFormat="1" applyFont="1" applyFill="1" applyBorder="1" applyAlignment="1" applyProtection="1">
      <alignment horizontal="center" vertical="center" shrinkToFit="1"/>
      <protection hidden="1"/>
    </xf>
    <xf numFmtId="0" fontId="3" fillId="2" borderId="3" xfId="0" applyFont="1" applyFill="1" applyBorder="1" applyAlignment="1" applyProtection="1">
      <alignment horizontal="center" vertical="center" shrinkToFit="1"/>
      <protection locked="0"/>
    </xf>
    <xf numFmtId="0" fontId="20" fillId="2" borderId="5" xfId="0" applyFont="1" applyFill="1" applyBorder="1" applyAlignment="1" applyProtection="1">
      <alignment horizontal="center" vertical="center" shrinkToFit="1"/>
      <protection locked="0"/>
    </xf>
    <xf numFmtId="0" fontId="16" fillId="0" borderId="0" xfId="0" applyFont="1" applyBorder="1" applyAlignment="1" applyProtection="1">
      <alignment horizontal="center" vertical="center" wrapText="1"/>
      <protection hidden="1"/>
    </xf>
    <xf numFmtId="0" fontId="16" fillId="0" borderId="43" xfId="0" applyFont="1" applyBorder="1" applyAlignment="1" applyProtection="1">
      <alignment horizontal="center" vertical="center" wrapText="1"/>
      <protection hidden="1"/>
    </xf>
    <xf numFmtId="0" fontId="25" fillId="0" borderId="0" xfId="0" applyFont="1" applyBorder="1" applyAlignment="1" applyProtection="1">
      <alignment vertical="top" wrapText="1"/>
      <protection hidden="1"/>
    </xf>
  </cellXfs>
  <cellStyles count="5">
    <cellStyle name="パーセント" xfId="2" builtinId="5"/>
    <cellStyle name="桁区切り" xfId="1" builtinId="6"/>
    <cellStyle name="桁区切り 2" xfId="4"/>
    <cellStyle name="標準" xfId="0" builtinId="0"/>
    <cellStyle name="標準 2" xfId="3"/>
  </cellStyles>
  <dxfs count="95">
    <dxf>
      <fill>
        <patternFill>
          <bgColor theme="1"/>
        </patternFill>
      </fill>
    </dxf>
    <dxf>
      <fill>
        <patternFill>
          <bgColor theme="1"/>
        </patternFill>
      </fill>
    </dxf>
    <dxf>
      <fill>
        <patternFill>
          <bgColor theme="1"/>
        </patternFill>
      </fill>
    </dxf>
    <dxf>
      <fill>
        <patternFill>
          <bgColor rgb="FFFFFF00"/>
        </patternFill>
      </fill>
    </dxf>
    <dxf>
      <fill>
        <patternFill>
          <bgColor theme="0" tint="-4.9989318521683403E-2"/>
        </patternFill>
      </fill>
    </dxf>
    <dxf>
      <font>
        <b/>
        <i val="0"/>
        <color rgb="FFFF0000"/>
      </font>
      <fill>
        <patternFill>
          <bgColor rgb="FFE0FFC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C5"/>
        </patternFill>
      </fill>
    </dxf>
    <dxf>
      <fill>
        <patternFill>
          <bgColor rgb="FFFFFF00"/>
        </patternFill>
      </fill>
    </dxf>
    <dxf>
      <fill>
        <patternFill>
          <bgColor rgb="FFFFFF00"/>
        </patternFill>
      </fill>
    </dxf>
    <dxf>
      <fill>
        <patternFill>
          <bgColor rgb="FFFFFF00"/>
        </patternFill>
      </fill>
    </dxf>
    <dxf>
      <fill>
        <patternFill>
          <bgColor theme="1"/>
        </patternFill>
      </fill>
    </dxf>
    <dxf>
      <font>
        <b/>
        <i val="0"/>
        <color rgb="FFFF0000"/>
      </font>
      <fill>
        <patternFill>
          <bgColor rgb="FFFFFF85"/>
        </patternFill>
      </fill>
    </dxf>
    <dxf>
      <font>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FFBDFF"/>
        </patternFill>
      </fill>
    </dxf>
    <dxf>
      <fill>
        <patternFill>
          <bgColor rgb="FFD9FFB3"/>
        </patternFill>
      </fill>
    </dxf>
    <dxf>
      <fill>
        <patternFill>
          <bgColor theme="0" tint="-0.24994659260841701"/>
        </patternFill>
      </fill>
    </dxf>
    <dxf>
      <fill>
        <patternFill>
          <bgColor rgb="FFD9FFB3"/>
        </patternFill>
      </fill>
    </dxf>
    <dxf>
      <fill>
        <patternFill>
          <bgColor rgb="FFFFBDFF"/>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B3"/>
        </patternFill>
      </fill>
    </dxf>
    <dxf>
      <fill>
        <patternFill>
          <bgColor theme="1"/>
        </patternFill>
      </fill>
    </dxf>
    <dxf>
      <fill>
        <patternFill>
          <bgColor rgb="FFFFFF00"/>
        </patternFill>
      </fill>
    </dxf>
    <dxf>
      <fill>
        <patternFill>
          <bgColor theme="7"/>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ont>
        <b/>
        <i val="0"/>
        <color rgb="FFFF0000"/>
      </font>
      <fill>
        <patternFill>
          <bgColor rgb="FFF7FECE"/>
        </patternFill>
      </fill>
    </dxf>
    <dxf>
      <font>
        <b/>
        <i val="0"/>
        <color rgb="FFFF0000"/>
      </font>
      <fill>
        <patternFill>
          <bgColor theme="7" tint="0.79998168889431442"/>
        </patternFill>
      </fill>
    </dxf>
    <dxf>
      <font>
        <b/>
        <i val="0"/>
        <color rgb="FFFF0000"/>
      </font>
      <fill>
        <patternFill>
          <bgColor rgb="FFCDFFFF"/>
        </patternFill>
      </fill>
    </dxf>
    <dxf>
      <font>
        <color rgb="FFFF0000"/>
      </font>
      <fill>
        <patternFill patternType="solid">
          <bgColor rgb="FFFFFF00"/>
        </patternFill>
      </fill>
    </dxf>
    <dxf>
      <font>
        <color theme="1"/>
      </font>
      <fill>
        <patternFill>
          <bgColor theme="0" tint="-4.9989318521683403E-2"/>
        </patternFill>
      </fill>
    </dxf>
    <dxf>
      <font>
        <color rgb="FFFF0000"/>
      </font>
      <fill>
        <patternFill patternType="solid">
          <bgColor rgb="FFFFFF00"/>
        </patternFill>
      </fill>
    </dxf>
    <dxf>
      <font>
        <color theme="1"/>
      </font>
      <fill>
        <patternFill>
          <bgColor theme="0" tint="-4.9989318521683403E-2"/>
        </patternFill>
      </fill>
    </dxf>
    <dxf>
      <font>
        <color rgb="FFFF0000"/>
      </font>
      <fill>
        <patternFill patternType="solid">
          <bgColor theme="7" tint="0.79998168889431442"/>
        </patternFill>
      </fill>
    </dxf>
    <dxf>
      <font>
        <strike val="0"/>
        <color theme="1"/>
      </font>
      <fill>
        <patternFill>
          <bgColor theme="7" tint="0.79998168889431442"/>
        </patternFill>
      </fill>
    </dxf>
    <dxf>
      <fill>
        <patternFill>
          <bgColor rgb="FFFFFF00"/>
        </patternFill>
      </fill>
    </dxf>
    <dxf>
      <font>
        <b/>
        <i val="0"/>
        <color rgb="FFFF0000"/>
      </font>
      <fill>
        <patternFill>
          <bgColor rgb="FFE0FFC1"/>
        </patternFill>
      </fill>
    </dxf>
    <dxf>
      <font>
        <color rgb="FFFF0000"/>
      </font>
      <fill>
        <patternFill>
          <bgColor rgb="FFFFFF00"/>
        </patternFill>
      </fill>
    </dxf>
    <dxf>
      <font>
        <strike val="0"/>
        <color rgb="FFFF0000"/>
      </font>
      <fill>
        <patternFill>
          <bgColor rgb="FFFFFF00"/>
        </patternFill>
      </fill>
    </dxf>
    <dxf>
      <font>
        <color rgb="FFFF0000"/>
      </font>
      <fill>
        <patternFill>
          <bgColor rgb="FFFFFF00"/>
        </patternFill>
      </fill>
    </dxf>
    <dxf>
      <font>
        <strike val="0"/>
        <color rgb="FFFF0000"/>
      </font>
    </dxf>
    <dxf>
      <font>
        <color rgb="FFFF0000"/>
      </font>
    </dxf>
    <dxf>
      <font>
        <b/>
        <i val="0"/>
        <color rgb="FFFF0000"/>
      </font>
      <fill>
        <patternFill>
          <bgColor rgb="FFD9FFFF"/>
        </patternFill>
      </fill>
    </dxf>
    <dxf>
      <font>
        <b/>
        <i val="0"/>
        <color rgb="FFFF0000"/>
      </font>
      <fill>
        <patternFill>
          <bgColor rgb="FFFFFFC5"/>
        </patternFill>
      </fill>
    </dxf>
    <dxf>
      <font>
        <color rgb="FFFF0000"/>
      </font>
      <fill>
        <patternFill>
          <bgColor rgb="FFFFFF00"/>
        </patternFill>
      </fill>
    </dxf>
    <dxf>
      <font>
        <color rgb="FFFF0000"/>
      </font>
    </dxf>
    <dxf>
      <font>
        <color rgb="FFFF0000"/>
      </font>
    </dxf>
    <dxf>
      <font>
        <color rgb="FFFF0000"/>
      </font>
      <fill>
        <patternFill>
          <bgColor rgb="FFFFFF00"/>
        </patternFill>
      </fill>
    </dxf>
  </dxfs>
  <tableStyles count="0" defaultTableStyle="TableStyleMedium2" defaultPivotStyle="PivotStyleLight16"/>
  <colors>
    <mruColors>
      <color rgb="FFFFBDFF"/>
      <color rgb="FFD9FFB3"/>
      <color rgb="FFECB7FF"/>
      <color rgb="FFE9ABFF"/>
      <color rgb="FFE7A3FF"/>
      <color rgb="FFFFFFC5"/>
      <color rgb="FFCCFF99"/>
      <color rgb="FFFFFF85"/>
      <color rgb="FFD9FFFF"/>
      <color rgb="FFE0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39121</xdr:colOff>
      <xdr:row>48</xdr:row>
      <xdr:rowOff>23812</xdr:rowOff>
    </xdr:from>
    <xdr:to>
      <xdr:col>26</xdr:col>
      <xdr:colOff>285749</xdr:colOff>
      <xdr:row>50</xdr:row>
      <xdr:rowOff>333374</xdr:rowOff>
    </xdr:to>
    <xdr:sp macro="" textlink="">
      <xdr:nvSpPr>
        <xdr:cNvPr id="2" name="右中かっこ 1"/>
        <xdr:cNvSpPr/>
      </xdr:nvSpPr>
      <xdr:spPr>
        <a:xfrm>
          <a:off x="20446434" y="14597062"/>
          <a:ext cx="246628" cy="10001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71436</xdr:colOff>
      <xdr:row>30</xdr:row>
      <xdr:rowOff>59531</xdr:rowOff>
    </xdr:from>
    <xdr:to>
      <xdr:col>26</xdr:col>
      <xdr:colOff>369093</xdr:colOff>
      <xdr:row>31</xdr:row>
      <xdr:rowOff>285750</xdr:rowOff>
    </xdr:to>
    <xdr:sp macro="" textlink="">
      <xdr:nvSpPr>
        <xdr:cNvPr id="3" name="右中かっこ 2"/>
        <xdr:cNvSpPr/>
      </xdr:nvSpPr>
      <xdr:spPr>
        <a:xfrm>
          <a:off x="20478749" y="7631906"/>
          <a:ext cx="297657" cy="1023938"/>
        </a:xfrm>
        <a:prstGeom prst="rightBrace">
          <a:avLst>
            <a:gd name="adj1" fmla="val 8333"/>
            <a:gd name="adj2" fmla="val 30523"/>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26</xdr:col>
      <xdr:colOff>39121</xdr:colOff>
      <xdr:row>41</xdr:row>
      <xdr:rowOff>23812</xdr:rowOff>
    </xdr:from>
    <xdr:to>
      <xdr:col>26</xdr:col>
      <xdr:colOff>369093</xdr:colOff>
      <xdr:row>44</xdr:row>
      <xdr:rowOff>345280</xdr:rowOff>
    </xdr:to>
    <xdr:sp macro="" textlink="">
      <xdr:nvSpPr>
        <xdr:cNvPr id="4" name="右中かっこ 3"/>
        <xdr:cNvSpPr/>
      </xdr:nvSpPr>
      <xdr:spPr>
        <a:xfrm>
          <a:off x="20446434" y="11739562"/>
          <a:ext cx="329972" cy="1797843"/>
        </a:xfrm>
        <a:prstGeom prst="rightBrace">
          <a:avLst>
            <a:gd name="adj1" fmla="val 12076"/>
            <a:gd name="adj2" fmla="val 5104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71436</xdr:colOff>
      <xdr:row>32</xdr:row>
      <xdr:rowOff>35719</xdr:rowOff>
    </xdr:from>
    <xdr:to>
      <xdr:col>26</xdr:col>
      <xdr:colOff>357187</xdr:colOff>
      <xdr:row>34</xdr:row>
      <xdr:rowOff>333375</xdr:rowOff>
    </xdr:to>
    <xdr:sp macro="" textlink="">
      <xdr:nvSpPr>
        <xdr:cNvPr id="5" name="右中かっこ 4"/>
        <xdr:cNvSpPr/>
      </xdr:nvSpPr>
      <xdr:spPr>
        <a:xfrm>
          <a:off x="20478749" y="8739188"/>
          <a:ext cx="285751" cy="988218"/>
        </a:xfrm>
        <a:prstGeom prst="rightBrace">
          <a:avLst>
            <a:gd name="adj1" fmla="val 8333"/>
            <a:gd name="adj2" fmla="val 48137"/>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26</xdr:col>
      <xdr:colOff>39121</xdr:colOff>
      <xdr:row>45</xdr:row>
      <xdr:rowOff>23812</xdr:rowOff>
    </xdr:from>
    <xdr:to>
      <xdr:col>26</xdr:col>
      <xdr:colOff>285749</xdr:colOff>
      <xdr:row>47</xdr:row>
      <xdr:rowOff>333374</xdr:rowOff>
    </xdr:to>
    <xdr:sp macro="" textlink="">
      <xdr:nvSpPr>
        <xdr:cNvPr id="6" name="右中かっこ 5"/>
        <xdr:cNvSpPr/>
      </xdr:nvSpPr>
      <xdr:spPr>
        <a:xfrm>
          <a:off x="20446434" y="13561218"/>
          <a:ext cx="246628" cy="10001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E76"/>
  <sheetViews>
    <sheetView topLeftCell="U1" zoomScale="90" zoomScaleNormal="90" workbookViewId="0">
      <selection activeCell="V8" sqref="V8"/>
    </sheetView>
  </sheetViews>
  <sheetFormatPr defaultColWidth="8.796875" defaultRowHeight="18.75" x14ac:dyDescent="0.45"/>
  <cols>
    <col min="1" max="1" width="8.796875" style="5"/>
    <col min="2" max="2" width="22.19921875" style="5" customWidth="1"/>
    <col min="3" max="3" width="10.296875" style="5" customWidth="1"/>
    <col min="4" max="4" width="8.59765625" style="5" bestFit="1" customWidth="1"/>
    <col min="5" max="5" width="10.5" style="8" bestFit="1" customWidth="1"/>
    <col min="6" max="6" width="11.3984375" style="5" bestFit="1" customWidth="1"/>
    <col min="7" max="7" width="7" style="5" customWidth="1"/>
    <col min="8" max="9" width="5.296875" style="5" customWidth="1"/>
    <col min="10" max="10" width="7.8984375" style="5" customWidth="1"/>
    <col min="11" max="11" width="9.3984375" style="5" bestFit="1" customWidth="1"/>
    <col min="12" max="13" width="8.796875" style="5"/>
    <col min="14" max="14" width="13.8984375" style="5" customWidth="1"/>
    <col min="15" max="15" width="11.8984375" style="5" customWidth="1"/>
    <col min="16" max="16" width="19.09765625" style="5" customWidth="1"/>
    <col min="17" max="17" width="16.09765625" style="5" customWidth="1"/>
    <col min="18" max="19" width="19.3984375" style="5" customWidth="1"/>
    <col min="20" max="20" width="14.296875" style="5" customWidth="1"/>
    <col min="21" max="21" width="23" style="5" customWidth="1"/>
    <col min="22" max="22" width="11.19921875" style="5" customWidth="1"/>
    <col min="23" max="23" width="8.796875" style="5"/>
    <col min="24" max="24" width="13.796875" style="5" customWidth="1"/>
    <col min="25" max="25" width="15.19921875" style="5" customWidth="1"/>
    <col min="26" max="26" width="16.8984375" style="5" customWidth="1"/>
    <col min="27" max="27" width="12.19921875" style="5" customWidth="1"/>
    <col min="28" max="28" width="12.296875" style="5" customWidth="1"/>
    <col min="29" max="30" width="8.796875" style="5"/>
    <col min="31" max="31" width="11.296875" style="5" bestFit="1" customWidth="1"/>
    <col min="32" max="16384" width="8.796875" style="5"/>
  </cols>
  <sheetData>
    <row r="1" spans="1:31" ht="19.5" thickBot="1" x14ac:dyDescent="0.5">
      <c r="J1" s="244" t="s">
        <v>161</v>
      </c>
      <c r="K1" s="244"/>
    </row>
    <row r="2" spans="1:31" x14ac:dyDescent="0.45">
      <c r="B2" s="5" t="s">
        <v>82</v>
      </c>
      <c r="C2" s="5" t="s">
        <v>81</v>
      </c>
      <c r="I2" s="88" t="s">
        <v>446</v>
      </c>
      <c r="J2" s="18" t="s">
        <v>20</v>
      </c>
      <c r="K2" s="17" t="s">
        <v>19</v>
      </c>
      <c r="N2" s="5" t="s">
        <v>80</v>
      </c>
      <c r="Q2" s="218" t="s">
        <v>514</v>
      </c>
      <c r="Y2" s="118" t="s">
        <v>262</v>
      </c>
      <c r="Z2" s="5" t="s">
        <v>269</v>
      </c>
    </row>
    <row r="3" spans="1:31" x14ac:dyDescent="0.45">
      <c r="B3" s="5" t="s">
        <v>79</v>
      </c>
      <c r="C3" s="6">
        <v>9.76</v>
      </c>
      <c r="D3" s="5" t="s">
        <v>78</v>
      </c>
      <c r="E3" s="5">
        <v>0.48899999999999999</v>
      </c>
      <c r="F3" s="5" t="s">
        <v>77</v>
      </c>
      <c r="I3" s="88" t="s">
        <v>448</v>
      </c>
      <c r="J3" s="19" t="str">
        <f>IF(ISERROR('4.エネルギー使用量'!$O$24/1000*$C$3*$C$7),"",ROUND('4.エネルギー使用量'!$O$24/1000*$C$3*$C$7,2))</f>
        <v/>
      </c>
      <c r="K3" s="13" t="str">
        <f>IF(ISERROR('4.エネルギー使用量'!$O$24/1000*$E$3),"",ROUND('4.エネルギー使用量'!$O$24/1000*$E$3,2))</f>
        <v/>
      </c>
      <c r="N3" s="5" t="s">
        <v>76</v>
      </c>
      <c r="O3" s="5" t="s">
        <v>177</v>
      </c>
      <c r="Q3" s="5" t="s">
        <v>258</v>
      </c>
      <c r="R3" s="5" t="s">
        <v>104</v>
      </c>
      <c r="S3" s="5" t="s">
        <v>104</v>
      </c>
      <c r="T3" s="5" t="s">
        <v>105</v>
      </c>
      <c r="U3" s="3" t="s">
        <v>104</v>
      </c>
      <c r="V3" s="3" t="s">
        <v>211</v>
      </c>
      <c r="X3" s="5" t="s">
        <v>106</v>
      </c>
      <c r="Y3" s="118" t="s">
        <v>107</v>
      </c>
      <c r="Z3" s="5" t="s">
        <v>107</v>
      </c>
      <c r="AA3" s="5" t="s">
        <v>76</v>
      </c>
      <c r="AB3" s="5" t="s">
        <v>226</v>
      </c>
      <c r="AC3" s="5" t="s">
        <v>241</v>
      </c>
      <c r="AE3" s="5" t="s">
        <v>549</v>
      </c>
    </row>
    <row r="4" spans="1:31" ht="23.25" thickBot="1" x14ac:dyDescent="0.5">
      <c r="A4" s="225" t="s">
        <v>501</v>
      </c>
      <c r="B4" s="5" t="s">
        <v>502</v>
      </c>
      <c r="C4" s="6">
        <v>1.36</v>
      </c>
      <c r="D4" s="5" t="s">
        <v>75</v>
      </c>
      <c r="E4" s="5">
        <v>5.7000000000000002E-2</v>
      </c>
      <c r="F4" s="5" t="s">
        <v>74</v>
      </c>
      <c r="N4" s="5" t="s">
        <v>73</v>
      </c>
      <c r="O4" s="5" t="s">
        <v>175</v>
      </c>
      <c r="Q4" s="5" t="s">
        <v>513</v>
      </c>
      <c r="R4" s="5" t="s">
        <v>192</v>
      </c>
      <c r="S4" s="5" t="s">
        <v>192</v>
      </c>
      <c r="T4" s="5" t="s">
        <v>83</v>
      </c>
      <c r="U4" s="3" t="s">
        <v>14</v>
      </c>
      <c r="V4" s="5" t="s">
        <v>244</v>
      </c>
      <c r="X4" s="5" t="s">
        <v>163</v>
      </c>
      <c r="Y4" s="118" t="s">
        <v>90</v>
      </c>
      <c r="Z4" s="5" t="s">
        <v>90</v>
      </c>
      <c r="AA4" s="5" t="s">
        <v>89</v>
      </c>
      <c r="AB4" s="5" t="s">
        <v>227</v>
      </c>
      <c r="AC4" s="106">
        <v>0.9</v>
      </c>
      <c r="AE4" s="12">
        <v>1</v>
      </c>
    </row>
    <row r="5" spans="1:31" ht="22.5" x14ac:dyDescent="0.45">
      <c r="B5" s="20" t="s">
        <v>503</v>
      </c>
      <c r="C5" s="6">
        <v>1.02</v>
      </c>
      <c r="D5" s="5" t="s">
        <v>72</v>
      </c>
      <c r="E5" s="5">
        <v>0.06</v>
      </c>
      <c r="F5" s="5" t="s">
        <v>71</v>
      </c>
      <c r="I5" s="88" t="s">
        <v>447</v>
      </c>
      <c r="J5" s="18" t="s">
        <v>20</v>
      </c>
      <c r="K5" s="17" t="s">
        <v>19</v>
      </c>
      <c r="N5" s="5" t="s">
        <v>70</v>
      </c>
      <c r="O5" s="5" t="s">
        <v>176</v>
      </c>
      <c r="Q5" s="5" t="s">
        <v>440</v>
      </c>
      <c r="R5" s="5" t="s">
        <v>193</v>
      </c>
      <c r="T5" s="5" t="s">
        <v>84</v>
      </c>
      <c r="U5" s="3" t="s">
        <v>15</v>
      </c>
      <c r="V5" s="5" t="s">
        <v>552</v>
      </c>
      <c r="X5" s="5" t="s">
        <v>171</v>
      </c>
      <c r="Y5" s="118" t="s">
        <v>101</v>
      </c>
      <c r="Z5" s="5" t="s">
        <v>101</v>
      </c>
      <c r="AA5" s="5" t="s">
        <v>73</v>
      </c>
      <c r="AB5" s="5" t="s">
        <v>228</v>
      </c>
      <c r="AC5" s="106">
        <v>2.6</v>
      </c>
      <c r="AE5" s="7">
        <f>365*24</f>
        <v>8760</v>
      </c>
    </row>
    <row r="6" spans="1:31" ht="22.5" x14ac:dyDescent="0.45">
      <c r="B6" s="20" t="s">
        <v>504</v>
      </c>
      <c r="C6" s="6">
        <v>1.36</v>
      </c>
      <c r="D6" s="5" t="s">
        <v>72</v>
      </c>
      <c r="E6" s="5">
        <v>5.7000000000000002E-2</v>
      </c>
      <c r="F6" s="5" t="s">
        <v>71</v>
      </c>
      <c r="I6" s="88" t="s">
        <v>452</v>
      </c>
      <c r="J6" s="14" t="str">
        <f>IF(ISERROR('4.エネルギー使用量'!$O$36/1000*$C$10*$C$7*$C$15),"",ROUND('4.エネルギー使用量'!$O$36/1000*$C$10*$C$7*$C$15,2))</f>
        <v/>
      </c>
      <c r="K6" s="13" t="str">
        <f>IF(ISERROR('4.エネルギー使用量'!$O$36/1000*$C$10*$E$10*$E$7),"",ROUND('4.エネルギー使用量'!$O$36/1000*$C$10*$E$10*$E$7,2))</f>
        <v/>
      </c>
      <c r="L6" s="5" t="s">
        <v>453</v>
      </c>
      <c r="N6" s="5" t="s">
        <v>41</v>
      </c>
      <c r="O6" s="192" t="s">
        <v>440</v>
      </c>
      <c r="Q6" s="5" t="s">
        <v>491</v>
      </c>
      <c r="R6" s="5" t="s">
        <v>6</v>
      </c>
      <c r="S6" s="5" t="s">
        <v>6</v>
      </c>
      <c r="T6" s="5" t="s">
        <v>85</v>
      </c>
      <c r="U6" s="3" t="s">
        <v>17</v>
      </c>
      <c r="V6" s="5" t="s">
        <v>245</v>
      </c>
      <c r="X6" s="5" t="s">
        <v>94</v>
      </c>
      <c r="Y6" s="118" t="s">
        <v>100</v>
      </c>
      <c r="Z6" s="5" t="s">
        <v>100</v>
      </c>
      <c r="AA6" s="5" t="s">
        <v>70</v>
      </c>
      <c r="AB6" s="5" t="s">
        <v>229</v>
      </c>
      <c r="AC6" s="106">
        <v>1.5</v>
      </c>
    </row>
    <row r="7" spans="1:31" ht="22.5" x14ac:dyDescent="0.45">
      <c r="B7" s="5" t="s">
        <v>69</v>
      </c>
      <c r="C7" s="8">
        <v>2.58E-2</v>
      </c>
      <c r="D7" s="5" t="s">
        <v>68</v>
      </c>
      <c r="E7" s="5">
        <f>44/12</f>
        <v>3.6666666666666665</v>
      </c>
      <c r="F7" s="5" t="s">
        <v>67</v>
      </c>
      <c r="I7" s="88" t="s">
        <v>450</v>
      </c>
      <c r="J7" s="14" t="str">
        <f>IF(ISERROR('4.エネルギー使用量'!$O$36/$G$11*$C$11*$C$7),"",ROUND('4.エネルギー使用量'!$O$36/$G$11*$C$11*$C$7,2))</f>
        <v/>
      </c>
      <c r="K7" s="13" t="str">
        <f>IF(ISERROR('4.エネルギー使用量'!$O$36/$G$11*$C$11*$E$11*$E$7),"",ROUND('4.エネルギー使用量'!$O$36/$G$11*$C$11*$E$11*$E$7,2))</f>
        <v/>
      </c>
      <c r="L7" s="62" t="str">
        <f>IF(ISERROR('4.エネルギー使用量'!$O$36/1000*$C$11*$C$7),"",'4.エネルギー使用量'!$O$36/1000*$C$11*$C$7)</f>
        <v/>
      </c>
      <c r="M7" s="5" t="s">
        <v>255</v>
      </c>
      <c r="N7" s="5" t="s">
        <v>66</v>
      </c>
      <c r="O7" s="5" t="s">
        <v>177</v>
      </c>
      <c r="Q7" s="5" t="s">
        <v>492</v>
      </c>
      <c r="R7" s="5" t="s">
        <v>194</v>
      </c>
      <c r="S7" s="5" t="s">
        <v>194</v>
      </c>
      <c r="T7" s="3" t="s">
        <v>86</v>
      </c>
      <c r="Y7" s="118" t="s">
        <v>99</v>
      </c>
      <c r="Z7" s="5" t="s">
        <v>99</v>
      </c>
      <c r="AA7" s="5" t="s">
        <v>41</v>
      </c>
      <c r="AB7" s="5" t="s">
        <v>230</v>
      </c>
      <c r="AC7" s="106">
        <v>1</v>
      </c>
    </row>
    <row r="8" spans="1:31" ht="22.5" x14ac:dyDescent="0.45">
      <c r="I8" s="88" t="s">
        <v>451</v>
      </c>
      <c r="J8" s="14" t="str">
        <f>IF(ISERROR('4.エネルギー使用量'!$O$36*$C$28*$C$12*$C$7),"",ROUND('4.エネルギー使用量'!$O$36*$C$28*$C$12*$C$7,2))</f>
        <v/>
      </c>
      <c r="K8" s="13" t="str">
        <f>IF(ISERROR('4.エネルギー使用量'!$O$36*$C$28*$C$12*$E$12*$E$7),"",ROUND('4.エネルギー使用量'!$O$36*$C$28*$C$12*$E$12*$E$7,2))</f>
        <v/>
      </c>
      <c r="N8" s="5" t="s">
        <v>42</v>
      </c>
      <c r="O8" s="5" t="s">
        <v>441</v>
      </c>
      <c r="Q8" s="5" t="s">
        <v>493</v>
      </c>
      <c r="R8" s="5" t="s">
        <v>195</v>
      </c>
      <c r="S8" s="5" t="s">
        <v>195</v>
      </c>
      <c r="Y8" s="118" t="s">
        <v>98</v>
      </c>
      <c r="Z8" s="5" t="s">
        <v>263</v>
      </c>
      <c r="AA8" s="5" t="s">
        <v>66</v>
      </c>
      <c r="AB8" s="5" t="s">
        <v>11</v>
      </c>
      <c r="AC8" s="106">
        <v>1.2</v>
      </c>
    </row>
    <row r="9" spans="1:31" x14ac:dyDescent="0.45">
      <c r="C9" s="5" t="s">
        <v>65</v>
      </c>
      <c r="I9" s="88" t="s">
        <v>454</v>
      </c>
      <c r="J9" s="14" t="str">
        <f>IF(ISERROR('4.エネルギー使用量'!$O$36/1000*$C$13*$C$7),"",ROUND('4.エネルギー使用量'!$O$36/1000*$C$13*$C$7,2))</f>
        <v/>
      </c>
      <c r="K9" s="13" t="str">
        <f>IF(ISERROR('4.エネルギー使用量'!$O$36/1000*$C$12*$E$12*$E$7),"",ROUND('4.エネルギー使用量'!$O$36/1000*$C$12*$E$12*$E$7,2))</f>
        <v/>
      </c>
      <c r="O9" s="193" t="s">
        <v>449</v>
      </c>
      <c r="Q9" s="5" t="s">
        <v>494</v>
      </c>
      <c r="Y9" s="118" t="s">
        <v>97</v>
      </c>
      <c r="Z9" s="5" t="s">
        <v>266</v>
      </c>
      <c r="AA9" s="5" t="s">
        <v>42</v>
      </c>
    </row>
    <row r="10" spans="1:31" ht="19.5" thickBot="1" x14ac:dyDescent="0.5">
      <c r="B10" s="5" t="s">
        <v>64</v>
      </c>
      <c r="C10" s="12">
        <v>45</v>
      </c>
      <c r="D10" s="5" t="s">
        <v>57</v>
      </c>
      <c r="E10" s="8">
        <v>1.3599999999999999E-2</v>
      </c>
      <c r="F10" s="5" t="s">
        <v>54</v>
      </c>
      <c r="I10" s="88" t="s">
        <v>455</v>
      </c>
      <c r="J10" s="11" t="str">
        <f>IF(ISERROR('4.エネルギー使用量'!$O$36/1000*$C$14*$C$7),"",ROUND('4.エネルギー使用量'!$O$36/1000*$C$14*$C$7,2))</f>
        <v/>
      </c>
      <c r="K10" s="10" t="str">
        <f>IF(ISERROR('4.エネルギー使用量'!$O$36/1000*$C$14*$E$14*$E$7),"",ROUND('4.エネルギー使用量'!$O$36/1000*$C$14*$E$14*$E$7,2))</f>
        <v/>
      </c>
      <c r="O10" s="5" t="s">
        <v>177</v>
      </c>
      <c r="Q10" s="5" t="s">
        <v>495</v>
      </c>
      <c r="Y10" s="118" t="s">
        <v>96</v>
      </c>
      <c r="Z10" s="5" t="s">
        <v>97</v>
      </c>
    </row>
    <row r="11" spans="1:31" x14ac:dyDescent="0.45">
      <c r="B11" s="5" t="s">
        <v>63</v>
      </c>
      <c r="C11" s="12">
        <v>50.8</v>
      </c>
      <c r="D11" s="5" t="s">
        <v>60</v>
      </c>
      <c r="E11" s="8">
        <v>1.61E-2</v>
      </c>
      <c r="F11" s="5" t="s">
        <v>54</v>
      </c>
      <c r="G11" s="7">
        <v>482</v>
      </c>
      <c r="H11" s="5" t="s">
        <v>62</v>
      </c>
      <c r="O11" s="5" t="s">
        <v>441</v>
      </c>
      <c r="Q11" s="5" t="s">
        <v>496</v>
      </c>
      <c r="Y11" s="118" t="s">
        <v>95</v>
      </c>
      <c r="Z11" s="5" t="s">
        <v>96</v>
      </c>
    </row>
    <row r="12" spans="1:31" x14ac:dyDescent="0.45">
      <c r="B12" s="5" t="s">
        <v>61</v>
      </c>
      <c r="C12" s="12">
        <v>54.6</v>
      </c>
      <c r="D12" s="5" t="s">
        <v>60</v>
      </c>
      <c r="E12" s="8">
        <v>1.35E-2</v>
      </c>
      <c r="F12" s="5" t="s">
        <v>54</v>
      </c>
      <c r="G12" s="5">
        <f>1000/G11</f>
        <v>2.0746887966804981</v>
      </c>
      <c r="O12" s="5" t="s">
        <v>460</v>
      </c>
      <c r="Q12" s="5" t="s">
        <v>497</v>
      </c>
      <c r="Z12" s="5" t="s">
        <v>264</v>
      </c>
    </row>
    <row r="13" spans="1:31" ht="19.5" x14ac:dyDescent="0.45">
      <c r="B13" s="5" t="s">
        <v>59</v>
      </c>
      <c r="C13" s="12">
        <v>44.9</v>
      </c>
      <c r="D13" s="5" t="s">
        <v>57</v>
      </c>
      <c r="E13" s="8">
        <v>1.4200000000000001E-2</v>
      </c>
      <c r="F13" s="5" t="s">
        <v>54</v>
      </c>
      <c r="G13" s="45" t="s">
        <v>169</v>
      </c>
      <c r="N13" s="3" t="s">
        <v>103</v>
      </c>
      <c r="O13" s="3"/>
      <c r="P13" s="3"/>
      <c r="Z13" s="5" t="s">
        <v>265</v>
      </c>
    </row>
    <row r="14" spans="1:31" ht="19.5" x14ac:dyDescent="0.45">
      <c r="B14" s="5" t="s">
        <v>58</v>
      </c>
      <c r="C14" s="12">
        <v>43.5</v>
      </c>
      <c r="D14" s="5" t="s">
        <v>57</v>
      </c>
      <c r="E14" s="8">
        <v>1.3899999999999999E-2</v>
      </c>
      <c r="F14" s="5" t="s">
        <v>54</v>
      </c>
      <c r="G14" s="45" t="s">
        <v>170</v>
      </c>
      <c r="N14" s="119" t="s">
        <v>102</v>
      </c>
      <c r="O14" s="119"/>
      <c r="P14" s="119"/>
      <c r="Z14" s="5" t="s">
        <v>95</v>
      </c>
    </row>
    <row r="15" spans="1:31" ht="20.25" thickBot="1" x14ac:dyDescent="0.5">
      <c r="B15" s="5" t="s">
        <v>247</v>
      </c>
      <c r="C15" s="5">
        <v>0.9666547347078589</v>
      </c>
      <c r="J15" s="6"/>
      <c r="K15" s="6"/>
      <c r="N15" s="54"/>
      <c r="O15" s="54" t="s">
        <v>93</v>
      </c>
      <c r="P15" s="54" t="s">
        <v>92</v>
      </c>
      <c r="Q15" s="3"/>
      <c r="R15" s="51" t="s">
        <v>172</v>
      </c>
      <c r="U15" s="44" t="s">
        <v>105</v>
      </c>
    </row>
    <row r="16" spans="1:31" ht="19.5" x14ac:dyDescent="0.45">
      <c r="I16" s="88" t="s">
        <v>456</v>
      </c>
      <c r="J16" s="16" t="s">
        <v>20</v>
      </c>
      <c r="K16" s="15" t="s">
        <v>19</v>
      </c>
      <c r="N16" s="54" t="s">
        <v>90</v>
      </c>
      <c r="O16" s="54">
        <v>800</v>
      </c>
      <c r="P16" s="54">
        <v>400</v>
      </c>
      <c r="Q16" s="3"/>
      <c r="U16" s="44" t="s">
        <v>83</v>
      </c>
    </row>
    <row r="17" spans="2:30" ht="19.5" x14ac:dyDescent="0.45">
      <c r="B17" s="5" t="s">
        <v>56</v>
      </c>
      <c r="C17" s="12">
        <v>38.200000000000003</v>
      </c>
      <c r="D17" s="5" t="s">
        <v>55</v>
      </c>
      <c r="E17" s="8">
        <v>1.8700000000000001E-2</v>
      </c>
      <c r="F17" s="5" t="s">
        <v>54</v>
      </c>
      <c r="I17" s="88" t="s">
        <v>89</v>
      </c>
      <c r="J17" s="19" t="str">
        <f>IF(ISERROR('4.エネルギー使用量'!$O$47/1000*$C$3*$C$7),"",ROUND('4.エネルギー使用量'!$O$47/1000*$C$3*$C$7,2))</f>
        <v/>
      </c>
      <c r="K17" s="13" t="str">
        <f>IF(ISERROR('4.エネルギー使用量'!$O$24/1000*$E$3),"",ROUND('4.エネルギー使用量'!$O$24/1000*$E$3,2))</f>
        <v/>
      </c>
      <c r="N17" s="54" t="s">
        <v>101</v>
      </c>
      <c r="O17" s="54">
        <v>900</v>
      </c>
      <c r="P17" s="54">
        <v>400</v>
      </c>
      <c r="Q17" s="3"/>
      <c r="R17" s="51" t="s">
        <v>128</v>
      </c>
      <c r="S17" s="44"/>
      <c r="T17" s="44" t="s">
        <v>129</v>
      </c>
      <c r="U17" s="44" t="s">
        <v>84</v>
      </c>
    </row>
    <row r="18" spans="2:30" ht="19.5" x14ac:dyDescent="0.45">
      <c r="B18" s="5" t="s">
        <v>53</v>
      </c>
      <c r="C18" s="12">
        <v>36.700000000000003</v>
      </c>
      <c r="D18" s="5" t="s">
        <v>49</v>
      </c>
      <c r="E18" s="8">
        <v>1.8499999999999999E-2</v>
      </c>
      <c r="F18" s="5" t="s">
        <v>48</v>
      </c>
      <c r="I18" s="88" t="s">
        <v>452</v>
      </c>
      <c r="J18" s="14" t="str">
        <f>IF(ISERROR('4.エネルギー使用量'!$O$47/1000*$C$10*$C$7*$C$15),"",ROUND('4.エネルギー使用量'!$O$47/1000*$C$10*$C$7*$C$15,2))</f>
        <v/>
      </c>
      <c r="K18" s="13" t="str">
        <f>IF(ISERROR('4.エネルギー使用量'!$O$36/1000*$C$10*$E$10*$E$7),"",ROUND('4.エネルギー使用量'!$O$36/1000*$C$10*$E$10*$E$7,2))</f>
        <v/>
      </c>
      <c r="L18" s="5" t="s">
        <v>453</v>
      </c>
      <c r="N18" s="54" t="s">
        <v>100</v>
      </c>
      <c r="O18" s="54">
        <v>1000</v>
      </c>
      <c r="P18" s="54">
        <v>500</v>
      </c>
      <c r="Q18" s="3"/>
      <c r="R18" s="51" t="s">
        <v>131</v>
      </c>
      <c r="S18" s="44"/>
      <c r="T18" s="44" t="s">
        <v>132</v>
      </c>
      <c r="U18" s="44" t="s">
        <v>85</v>
      </c>
    </row>
    <row r="19" spans="2:30" ht="19.5" x14ac:dyDescent="0.45">
      <c r="B19" s="5" t="s">
        <v>52</v>
      </c>
      <c r="C19" s="12">
        <v>37.700000000000003</v>
      </c>
      <c r="D19" s="5" t="s">
        <v>49</v>
      </c>
      <c r="E19" s="8">
        <v>1.8700000000000001E-2</v>
      </c>
      <c r="F19" s="5" t="s">
        <v>48</v>
      </c>
      <c r="I19" s="88" t="s">
        <v>186</v>
      </c>
      <c r="J19" s="19" t="str">
        <f>IF(ISERROR('4.エネルギー使用量'!$O$47/1000*$C$4*$C$7),"",ROUND('4.エネルギー使用量'!$O$47/1000*$C$4*$C$7,2))</f>
        <v/>
      </c>
      <c r="K19" s="13" t="str">
        <f>IF(ISERROR('4.エネルギー使用量'!$O$47/1000*$C$4*$E$4),"",ROUND('4.エネルギー使用量'!$O$47/1000*$C$4*$E$4,2))</f>
        <v/>
      </c>
      <c r="L19" s="88"/>
      <c r="N19" s="54" t="s">
        <v>99</v>
      </c>
      <c r="O19" s="54">
        <v>1000</v>
      </c>
      <c r="P19" s="54">
        <v>1200</v>
      </c>
      <c r="Q19" s="3"/>
      <c r="R19" s="51" t="s">
        <v>134</v>
      </c>
      <c r="S19" s="44"/>
      <c r="T19" s="44"/>
      <c r="U19" s="44" t="s">
        <v>86</v>
      </c>
    </row>
    <row r="20" spans="2:30" ht="19.5" x14ac:dyDescent="0.45">
      <c r="B20" s="5" t="s">
        <v>51</v>
      </c>
      <c r="C20" s="12">
        <v>39.1</v>
      </c>
      <c r="D20" s="5" t="s">
        <v>49</v>
      </c>
      <c r="E20" s="8">
        <v>1.89E-2</v>
      </c>
      <c r="F20" s="5" t="s">
        <v>48</v>
      </c>
      <c r="I20" s="88" t="s">
        <v>187</v>
      </c>
      <c r="J20" s="19" t="str">
        <f>IF(ISERROR('4.エネルギー使用量'!$O$47/1000*$C$5*$C$7),"",ROUND('4.エネルギー使用量'!$O$47/1000*$C$5*$C$7,2))</f>
        <v/>
      </c>
      <c r="K20" s="13" t="str">
        <f>IF(ISERROR('4.エネルギー使用量'!$O$47/1000*$C$5*$E$5),"",ROUND('4.エネルギー使用量'!$O$47/1000*$C$5*$E$5,2))</f>
        <v/>
      </c>
      <c r="N20" s="54" t="s">
        <v>263</v>
      </c>
      <c r="O20" s="54">
        <v>400</v>
      </c>
      <c r="P20" s="54">
        <v>500</v>
      </c>
      <c r="Q20" s="3"/>
      <c r="R20" s="51" t="s">
        <v>135</v>
      </c>
      <c r="S20" s="44"/>
      <c r="T20" s="44" t="s">
        <v>482</v>
      </c>
      <c r="U20" s="44" t="s">
        <v>489</v>
      </c>
    </row>
    <row r="21" spans="2:30" ht="19.5" x14ac:dyDescent="0.45">
      <c r="B21" s="5" t="s">
        <v>50</v>
      </c>
      <c r="C21" s="12">
        <v>41.9</v>
      </c>
      <c r="D21" s="5" t="s">
        <v>49</v>
      </c>
      <c r="E21" s="8">
        <v>1.95E-2</v>
      </c>
      <c r="F21" s="5" t="s">
        <v>48</v>
      </c>
      <c r="I21" s="88" t="s">
        <v>188</v>
      </c>
      <c r="J21" s="19" t="str">
        <f>IF(ISERROR('4.エネルギー使用量'!$O$47/1000*$C$6*$C$7),"",ROUND('4.エネルギー使用量'!$O$47/1000*$C$6*$C$7,2))</f>
        <v/>
      </c>
      <c r="K21" s="13" t="str">
        <f>IF(ISERROR('4.エネルギー使用量'!$O$47/1000*$C$6*$E$6),"",'4.エネルギー使用量'!$O$47/1000*$C$6*$E$6)</f>
        <v/>
      </c>
      <c r="N21" s="54" t="s">
        <v>266</v>
      </c>
      <c r="O21" s="54">
        <v>400</v>
      </c>
      <c r="P21" s="54">
        <v>500</v>
      </c>
      <c r="Q21" s="3"/>
      <c r="R21" s="51" t="s">
        <v>137</v>
      </c>
      <c r="S21" s="44"/>
      <c r="T21" s="44" t="s">
        <v>483</v>
      </c>
      <c r="U21" s="44"/>
    </row>
    <row r="22" spans="2:30" ht="19.5" x14ac:dyDescent="0.45">
      <c r="I22" s="88" t="s">
        <v>182</v>
      </c>
      <c r="J22" s="14" t="str">
        <f>IF(ISERROR('4.エネルギー使用量'!$O$47/1000*$C$18*$C$7),"",ROUND('4.エネルギー使用量'!$O$47/1000*$C$18*$C$7,2))</f>
        <v/>
      </c>
      <c r="K22" s="13" t="str">
        <f>IF(ISERROR('4.エネルギー使用量'!$O$47/1000*$C$18*$E$18*$E$7),"",ROUND('4.エネルギー使用量'!$O$47/1000*$C$18*$E$18*$E$7,2))</f>
        <v/>
      </c>
      <c r="N22" s="54" t="s">
        <v>97</v>
      </c>
      <c r="O22" s="54">
        <v>1000</v>
      </c>
      <c r="P22" s="54">
        <v>900</v>
      </c>
      <c r="Q22" s="3"/>
      <c r="R22" s="51" t="s">
        <v>138</v>
      </c>
      <c r="S22" s="44"/>
      <c r="T22" s="44" t="s">
        <v>524</v>
      </c>
      <c r="U22" s="44"/>
    </row>
    <row r="23" spans="2:30" ht="19.5" x14ac:dyDescent="0.45">
      <c r="B23" s="5" t="s">
        <v>47</v>
      </c>
      <c r="C23" s="5" t="s">
        <v>46</v>
      </c>
      <c r="I23" s="88" t="s">
        <v>183</v>
      </c>
      <c r="J23" s="14" t="str">
        <f>IF(ISERROR('4.エネルギー使用量'!$O$47/1000*$C$19*$C$7),"",ROUND('4.エネルギー使用量'!$O$47/1000*$C$19*$C$7,2))</f>
        <v/>
      </c>
      <c r="K23" s="13" t="str">
        <f>IF(ISERROR('4.エネルギー使用量'!$O$47/1000*$C$19*$E$19*$E$7),"",ROUND('4.エネルギー使用量'!$O$47/1000*$C$19*$E$19*$E$7,2))</f>
        <v/>
      </c>
      <c r="N23" s="54" t="s">
        <v>96</v>
      </c>
      <c r="O23" s="54">
        <v>1000</v>
      </c>
      <c r="P23" s="54">
        <v>500</v>
      </c>
      <c r="Q23" s="3"/>
      <c r="R23" s="51" t="s">
        <v>139</v>
      </c>
      <c r="S23" s="44"/>
      <c r="T23" s="44" t="s">
        <v>505</v>
      </c>
    </row>
    <row r="24" spans="2:30" ht="19.5" x14ac:dyDescent="0.45">
      <c r="B24" s="5" t="s">
        <v>45</v>
      </c>
      <c r="C24" s="9">
        <f>1/502</f>
        <v>1.9920318725099601E-3</v>
      </c>
      <c r="D24" s="5" t="s">
        <v>39</v>
      </c>
      <c r="I24" s="88" t="s">
        <v>184</v>
      </c>
      <c r="J24" s="14" t="str">
        <f>IF(ISERROR('4.エネルギー使用量'!$O$47/1000*$C$20*$C$7),"",ROUND('4.エネルギー使用量'!$O$47/1000*$C$20*$C$7,2))</f>
        <v/>
      </c>
      <c r="K24" s="13" t="str">
        <f>IF(ISERROR('4.エネルギー使用量'!$O$47/1000*$C$20*$E$20*$E$7),"",ROUND('4.エネルギー使用量'!$O$47/1000*$C$20*$E$20*$E$7,2))</f>
        <v/>
      </c>
      <c r="N24" s="54" t="s">
        <v>270</v>
      </c>
      <c r="O24" s="54">
        <v>800</v>
      </c>
      <c r="P24" s="54">
        <v>400</v>
      </c>
      <c r="Q24" s="3"/>
      <c r="R24" s="51" t="s">
        <v>127</v>
      </c>
      <c r="S24" s="44"/>
      <c r="T24" s="44" t="s">
        <v>506</v>
      </c>
    </row>
    <row r="25" spans="2:30" ht="19.5" thickBot="1" x14ac:dyDescent="0.5">
      <c r="B25" s="5" t="s">
        <v>44</v>
      </c>
      <c r="C25" s="9">
        <f>1/355</f>
        <v>2.8169014084507044E-3</v>
      </c>
      <c r="D25" s="5" t="s">
        <v>39</v>
      </c>
      <c r="I25" s="88" t="s">
        <v>185</v>
      </c>
      <c r="J25" s="11" t="str">
        <f>IF(ISERROR('4.エネルギー使用量'!$O$47/1000*$C$21*$C$7),"",ROUND('4.エネルギー使用量'!$O$47/1000*$C$21*$C$7,2))</f>
        <v/>
      </c>
      <c r="K25" s="10" t="str">
        <f>IF(ISERROR('4.エネルギー使用量'!$O$47/1000*$C$21*$E$21*$E$7),"",ROUND('4.エネルギー使用量'!$O$47/1000*$C$21*$E$21*$E$7,2))</f>
        <v/>
      </c>
      <c r="N25" s="54" t="s">
        <v>265</v>
      </c>
      <c r="O25" s="54">
        <v>800</v>
      </c>
      <c r="P25" s="54">
        <v>400</v>
      </c>
      <c r="Q25" s="3"/>
      <c r="R25" s="3"/>
    </row>
    <row r="26" spans="2:30" ht="20.25" thickBot="1" x14ac:dyDescent="0.5">
      <c r="B26" s="5" t="s">
        <v>43</v>
      </c>
      <c r="C26" s="9">
        <f>1/458</f>
        <v>2.1834061135371178E-3</v>
      </c>
      <c r="D26" s="5" t="s">
        <v>39</v>
      </c>
      <c r="N26" s="54" t="s">
        <v>95</v>
      </c>
      <c r="O26" s="54">
        <v>800</v>
      </c>
      <c r="P26" s="54">
        <v>400</v>
      </c>
      <c r="Q26" s="3"/>
      <c r="T26" s="44" t="s">
        <v>208</v>
      </c>
    </row>
    <row r="27" spans="2:30" x14ac:dyDescent="0.45">
      <c r="B27" s="5" t="s">
        <v>42</v>
      </c>
      <c r="C27" s="9">
        <f>1/1220</f>
        <v>8.1967213114754098E-4</v>
      </c>
      <c r="D27" s="5" t="s">
        <v>39</v>
      </c>
      <c r="E27" s="6">
        <f>C33/C32</f>
        <v>1208.955223880597</v>
      </c>
      <c r="F27" s="5" t="s">
        <v>38</v>
      </c>
      <c r="I27" s="88" t="s">
        <v>457</v>
      </c>
      <c r="J27" s="16" t="s">
        <v>20</v>
      </c>
      <c r="K27" s="15" t="s">
        <v>19</v>
      </c>
      <c r="N27" s="3"/>
      <c r="O27" s="3"/>
      <c r="P27" s="3"/>
      <c r="Q27" s="3"/>
    </row>
    <row r="28" spans="2:30" ht="19.5" x14ac:dyDescent="0.45">
      <c r="B28" s="5" t="s">
        <v>41</v>
      </c>
      <c r="C28" s="9">
        <f>1/E28</f>
        <v>4.557823129251701E-4</v>
      </c>
      <c r="D28" s="5" t="s">
        <v>39</v>
      </c>
      <c r="E28" s="6">
        <f>C31/C32*1000</f>
        <v>2194.0298507462685</v>
      </c>
      <c r="F28" s="5" t="s">
        <v>38</v>
      </c>
      <c r="I28" s="88" t="s">
        <v>89</v>
      </c>
      <c r="J28" s="19" t="str">
        <f>IF(ISERROR('4.エネルギー使用量'!$O$58/1000*$C$3*$C$7),"",ROUND('4.エネルギー使用量'!$O$58/1000*$C$3*$C$7,2))</f>
        <v/>
      </c>
      <c r="K28" s="13" t="str">
        <f>IF(ISERROR('4.エネルギー使用量'!$O$24/1000*$E$3),"",ROUND('4.エネルギー使用量'!$O$24/1000*$E$3,2))</f>
        <v/>
      </c>
      <c r="N28" s="23"/>
      <c r="O28" s="23"/>
      <c r="P28" s="245" t="s">
        <v>162</v>
      </c>
      <c r="Q28" s="246"/>
      <c r="R28" s="246"/>
      <c r="S28" s="246"/>
      <c r="T28" s="246"/>
      <c r="U28" s="246"/>
      <c r="V28" s="246"/>
      <c r="W28" s="246"/>
      <c r="X28" s="246"/>
      <c r="Y28" s="246"/>
      <c r="Z28" s="246"/>
      <c r="AA28" s="246"/>
      <c r="AB28" s="246"/>
      <c r="AC28" s="246"/>
      <c r="AD28" s="247"/>
    </row>
    <row r="29" spans="2:30" ht="19.5" x14ac:dyDescent="0.45">
      <c r="I29" s="88" t="s">
        <v>452</v>
      </c>
      <c r="J29" s="14" t="str">
        <f>IF(ISERROR('4.エネルギー使用量'!$O$58/1000*$C$10*$C$7*$C$15),"",ROUND('4.エネルギー使用量'!$O$58/1000*$C$10*$C$7*$C$15,2))</f>
        <v/>
      </c>
      <c r="K29" s="13" t="str">
        <f>IF(ISERROR('4.エネルギー使用量'!$O$36/1000*$C$10*$E$10*$E$7),"",ROUND('4.エネルギー使用量'!$O$36/1000*$C$10*$E$10*$E$7,2))</f>
        <v/>
      </c>
      <c r="L29" s="5" t="s">
        <v>453</v>
      </c>
      <c r="N29" s="23"/>
      <c r="O29" s="23"/>
      <c r="P29" s="248" t="s">
        <v>165</v>
      </c>
      <c r="Q29" s="248"/>
      <c r="R29" s="248"/>
      <c r="S29" s="248" t="s">
        <v>164</v>
      </c>
      <c r="T29" s="248"/>
      <c r="U29" s="248"/>
      <c r="V29" s="248" t="s">
        <v>109</v>
      </c>
      <c r="W29" s="248"/>
      <c r="X29" s="248"/>
      <c r="Y29" s="248" t="s">
        <v>110</v>
      </c>
      <c r="Z29" s="248"/>
      <c r="AA29" s="248"/>
      <c r="AB29" s="248" t="s">
        <v>111</v>
      </c>
      <c r="AC29" s="248"/>
      <c r="AD29" s="248"/>
    </row>
    <row r="30" spans="2:30" ht="19.5" x14ac:dyDescent="0.45">
      <c r="B30" s="5" t="s">
        <v>40</v>
      </c>
      <c r="I30" s="88" t="s">
        <v>186</v>
      </c>
      <c r="J30" s="19" t="str">
        <f>IF(ISERROR('4.エネルギー使用量'!$O$58/1000*$C$4*$C$7),"",ROUND('4.エネルギー使用量'!$O$58/1000*$C$4*$C$7,2))</f>
        <v/>
      </c>
      <c r="K30" s="13" t="str">
        <f>IF(ISERROR('4.エネルギー使用量'!$O$58/1000*$C$4*$E$4),"",ROUND('4.エネルギー使用量'!$O$58/1000*$C$4*$E$4,2))</f>
        <v/>
      </c>
      <c r="N30" s="23"/>
      <c r="O30" s="23"/>
      <c r="P30" s="49" t="s">
        <v>93</v>
      </c>
      <c r="Q30" s="49" t="s">
        <v>92</v>
      </c>
      <c r="R30" s="49" t="s">
        <v>91</v>
      </c>
      <c r="S30" s="49" t="s">
        <v>93</v>
      </c>
      <c r="T30" s="49" t="s">
        <v>92</v>
      </c>
      <c r="U30" s="49" t="s">
        <v>91</v>
      </c>
      <c r="V30" s="49" t="s">
        <v>93</v>
      </c>
      <c r="W30" s="49" t="s">
        <v>92</v>
      </c>
      <c r="X30" s="49" t="s">
        <v>91</v>
      </c>
      <c r="Y30" s="49" t="s">
        <v>93</v>
      </c>
      <c r="Z30" s="49" t="s">
        <v>92</v>
      </c>
      <c r="AA30" s="49" t="s">
        <v>91</v>
      </c>
      <c r="AB30" s="49" t="s">
        <v>93</v>
      </c>
      <c r="AC30" s="49" t="s">
        <v>92</v>
      </c>
      <c r="AD30" s="49" t="s">
        <v>91</v>
      </c>
    </row>
    <row r="31" spans="2:30" ht="19.5" x14ac:dyDescent="0.45">
      <c r="C31" s="7">
        <f>147000</f>
        <v>147000</v>
      </c>
      <c r="D31" s="5" t="s">
        <v>38</v>
      </c>
      <c r="I31" s="88" t="s">
        <v>187</v>
      </c>
      <c r="J31" s="19" t="str">
        <f>IF(ISERROR('4.エネルギー使用量'!$O$58/1000*$C$5*$C$7),"",ROUND('4.エネルギー使用量'!$O$58/1000*$C$5*$C$7,2))</f>
        <v/>
      </c>
      <c r="K31" s="13" t="str">
        <f>IF(ISERROR('4.エネルギー使用量'!$O$58/1000*$C$5*$E$5),"",ROUND('4.エネルギー使用量'!$O$58/1000*$C$5*$E$5,2))</f>
        <v/>
      </c>
      <c r="N31" s="86" t="s">
        <v>141</v>
      </c>
      <c r="O31" s="39" t="str">
        <f>IF(AND('2-3.設備仕様入力'!D$124="電気",'2-3.設備仕様入力'!D$130="kW"),1,IF(AND('2-3.設備仕様入力'!D$124="都市ガス",'2-3.設備仕様入力'!D$130="kW"),2,IF(AND('2-3.設備仕様入力'!D$124="都市ガス",'2-3.設備仕様入力'!D$130="ｍ3N/h"),3,IF(AND('2-3.設備仕様入力'!D$124="LPG",'2-3.設備仕様入力'!D$130="kW"),4,IF(AND('2-3.設備仕様入力'!D$124="LPG",'2-3.設備仕様入力'!D$130="kg/h"),5,"")))))</f>
        <v/>
      </c>
      <c r="P31" s="46" t="str">
        <f>IF(OR('2-3.設備仕様入力'!$D$122="電気式パッケージ形空調機",'2-3.設備仕様入力'!$D$122="ルームエアコン"),ROUND('2-3.設備仕様入力'!$D$128*'2-3.設備仕様入力'!$D$123*計算!$C$3*VLOOKUP('2-3.設備仕様入力'!$D$125,計算!$N$16:$P$26,2,FALSE)/1000,1),"")</f>
        <v/>
      </c>
      <c r="Q31" s="46" t="str">
        <f>IF(OR('2-3.設備仕様入力'!$D$122="電気式パッケージ形空調機",'2-3.設備仕様入力'!$D$122="ルームエアコン"),ROUND('2-3.設備仕様入力'!$D$129*'2-3.設備仕様入力'!$D$123*計算!$C$3*VLOOKUP('2-3.設備仕様入力'!$D$125,計算!$N$16:$P$26,3,FALSE)/1000,1),"")</f>
        <v/>
      </c>
      <c r="R31" s="46" t="str">
        <f t="shared" ref="R31:R40" si="0">IF(AND(P31="",Q31=""),"",P31+Q31)</f>
        <v/>
      </c>
      <c r="S31" s="46" t="str">
        <f>IF('2-3.設備仕様入力'!$D$122="ガスヒートポンプ式空調機",IF('2-3.設備仕様入力'!$D$124="都市ガス",IF('2-3.設備仕様入力'!$D$130="kW",ROUND('2-3.設備仕様入力'!$D$123*'2-3.設備仕様入力'!$D$128*3.6/1000*VLOOKUP('2-3.設備仕様入力'!$D$125,計算!$N$16:$P$26,2,FALSE),1),""),""),"")</f>
        <v/>
      </c>
      <c r="T31" s="46" t="str">
        <f>IF('2-3.設備仕様入力'!$D$122="ガスヒートポンプ式空調機",IF('2-3.設備仕様入力'!$D$124="都市ガス",IF('2-3.設備仕様入力'!$D$130="kW",ROUND('2-3.設備仕様入力'!$D$123*'2-3.設備仕様入力'!$D$129*3.6/1000*VLOOKUP('2-3.設備仕様入力'!$D$125,計算!$N$16:$P$26,3,FALSE),1),""),""),"")</f>
        <v/>
      </c>
      <c r="U31" s="46" t="str">
        <f t="shared" ref="U31:U40" si="1">IF(AND(S31="",T31=""),"",S31+T31)</f>
        <v/>
      </c>
      <c r="V31" s="46" t="str">
        <f>IF('2-3.設備仕様入力'!$D$122="ガスヒートポンプ式空調機",IF('2-3.設備仕様入力'!$D$130="ｍ3N/h",ROUND('2-3.設備仕様入力'!$D$123*'2-3.設備仕様入力'!$D$128*計算!$C$10/1000*VLOOKUP('2-3.設備仕様入力'!$D$125,計算!$N$16:$P$26,2,FALSE),1),""),"")</f>
        <v/>
      </c>
      <c r="W31" s="46" t="str">
        <f>IF('2-3.設備仕様入力'!$D$122="ガスヒートポンプ式空調機",IF('2-3.設備仕様入力'!$D$130="ｍ3N/h",ROUND('2-3.設備仕様入力'!$D$123*'2-3.設備仕様入力'!$D$129*計算!$C$10/1000*VLOOKUP('2-3.設備仕様入力'!$D$125,計算!$N$16:$P$26,3,FALSE),1),""),"")</f>
        <v/>
      </c>
      <c r="X31" s="46" t="str">
        <f t="shared" ref="X31:X40" si="2">IF(AND(V31="",W31=""),"",V31+W31)</f>
        <v/>
      </c>
      <c r="Y31" s="46" t="str">
        <f>IF('2-3.設備仕様入力'!$D$122="ガスヒートポンプ式空調機",IF('2-3.設備仕様入力'!$D$124="LPG",IF('2-3.設備仕様入力'!$D$130="kW",ROUND('2-3.設備仕様入力'!$D$123*'2-3.設備仕様入力'!$D$128*3.6/1000*VLOOKUP('2-3.設備仕様入力'!$D$125,計算!$N$16:$P$26,2,FALSE),1),""),""),"")</f>
        <v/>
      </c>
      <c r="Z31" s="46" t="str">
        <f>IF('2-3.設備仕様入力'!$D$122="ガスヒートポンプ式空調機",IF('2-3.設備仕様入力'!$D$124="LPG",IF('2-3.設備仕様入力'!$D$130="kW",ROUND('2-3.設備仕様入力'!$D$123*'2-3.設備仕様入力'!$D$129*3.6/1000*VLOOKUP('2-3.設備仕様入力'!$D$125,計算!$N$16:$P$26,3,FALSE),1),""),""),"")</f>
        <v/>
      </c>
      <c r="AA31" s="46" t="str">
        <f t="shared" ref="AA31:AA40" si="3">IF(AND(Y31="",Z31=""),"",Y31+Z31)</f>
        <v/>
      </c>
      <c r="AB31" s="46" t="str">
        <f>IF('2-3.設備仕様入力'!$D$122="ガスヒートポンプ式空調機",IF('2-3.設備仕様入力'!$D$124="LPG",IF('2-3.設備仕様入力'!$D$130="kg/h",ROUND('2-3.設備仕様入力'!$D$123*'2-3.設備仕様入力'!$D$128*計算!$C$11/1000*VLOOKUP('2-3.設備仕様入力'!$D$125,計算!$N$16:$P$26,2,FALSE),1),""),""),"")</f>
        <v/>
      </c>
      <c r="AC31" s="46" t="str">
        <f>IF('2-3.設備仕様入力'!$D$122="ガスヒートポンプ式空調機",IF('2-3.設備仕様入力'!$D$124="LPG",IF('2-3.設備仕様入力'!$D$130="kg/h",ROUND('2-3.設備仕様入力'!$D$123*'2-3.設備仕様入力'!$D$129*計算!$C$11/1000*VLOOKUP('2-3.設備仕様入力'!$D$125,計算!$N$16:$P$26,3,FALSE),1),""),""),"")</f>
        <v/>
      </c>
      <c r="AD31" s="46" t="str">
        <f t="shared" ref="AD31:AD40" si="4">IF(AND(AB31="",AC31=""),"",AB31+AC31)</f>
        <v/>
      </c>
    </row>
    <row r="32" spans="2:30" ht="19.5" x14ac:dyDescent="0.45">
      <c r="C32" s="7">
        <f>67000</f>
        <v>67000</v>
      </c>
      <c r="D32" s="5" t="s">
        <v>39</v>
      </c>
      <c r="I32" s="88" t="s">
        <v>188</v>
      </c>
      <c r="J32" s="19" t="str">
        <f>IF(ISERROR('4.エネルギー使用量'!$O$58/1000*$C$6*$C$7),"",ROUND('4.エネルギー使用量'!$O$58/1000*$C$6*$C$7,2))</f>
        <v/>
      </c>
      <c r="K32" s="13" t="str">
        <f>IF(ISERROR('4.エネルギー使用量'!$O$58/1000*$C$6*$E$6),"",ROUND('4.エネルギー使用量'!$O$58/1000*$C$6*$E$6,2))</f>
        <v/>
      </c>
      <c r="N32" s="86" t="s">
        <v>112</v>
      </c>
      <c r="O32" s="39" t="str">
        <f>IF(AND('2-3.設備仕様入力'!E$124="電気",'2-3.設備仕様入力'!E$130="kW"),1,IF(AND('2-3.設備仕様入力'!E$124="都市ガス",'2-3.設備仕様入力'!E$130="kW"),2,IF(AND('2-3.設備仕様入力'!E$124="都市ガス",'2-3.設備仕様入力'!E$130="ｍ3N/h"),3,IF(AND('2-3.設備仕様入力'!E$124="LPG",'2-3.設備仕様入力'!E$130="kW"),4,IF(AND('2-3.設備仕様入力'!E$124="LPG",'2-3.設備仕様入力'!E$130="kg/h"),5,"")))))</f>
        <v/>
      </c>
      <c r="P32" s="46" t="str">
        <f>IF(OR('2-3.設備仕様入力'!$E$122="電気式パッケージ形空調機",'2-3.設備仕様入力'!$E$122="ルームエアコン"),ROUND('2-3.設備仕様入力'!$E$128*'2-3.設備仕様入力'!$E$123*計算!$C$3*VLOOKUP('2-3.設備仕様入力'!$E$125,計算!$N$16:$P$26,2,FALSE)/1000,1),"")</f>
        <v/>
      </c>
      <c r="Q32" s="46" t="str">
        <f>IF(OR('2-3.設備仕様入力'!$E$122="電気式パッケージ形空調機",'2-3.設備仕様入力'!$E$122="ルームエアコン"),ROUND('2-3.設備仕様入力'!$E$129*'2-3.設備仕様入力'!$E$123*計算!$C$3*VLOOKUP('2-3.設備仕様入力'!$E$125,計算!$N$16:$P$26,3,FALSE)/1000,1),"")</f>
        <v/>
      </c>
      <c r="R32" s="46" t="str">
        <f t="shared" si="0"/>
        <v/>
      </c>
      <c r="S32" s="46" t="str">
        <f>IF('2-3.設備仕様入力'!$E$122="ガスヒートポンプ式空調機",IF('2-3.設備仕様入力'!$E$124="都市ガス",IF('2-3.設備仕様入力'!$E$130="kW",ROUND('2-3.設備仕様入力'!$E$123*'2-3.設備仕様入力'!$E$128*3.6/1000*VLOOKUP('2-3.設備仕様入力'!$E$125,計算!$N$16:$P$26,2,FALSE),1),""),""),"")</f>
        <v/>
      </c>
      <c r="T32" s="46" t="str">
        <f>IF('2-3.設備仕様入力'!$E$122="ガスヒートポンプ式空調機",IF('2-3.設備仕様入力'!$E$124="都市ガス",IF('2-3.設備仕様入力'!$E$130="kW",ROUND('2-3.設備仕様入力'!$E$123*'2-3.設備仕様入力'!$E$129*3.6/1000*VLOOKUP('2-3.設備仕様入力'!$E$125,計算!$N$16:$P$26,3,FALSE),1),""),""),"")</f>
        <v/>
      </c>
      <c r="U32" s="46" t="str">
        <f t="shared" si="1"/>
        <v/>
      </c>
      <c r="V32" s="46" t="str">
        <f>IF('2-3.設備仕様入力'!$E$122="ガスヒートポンプ式空調機",IF('2-3.設備仕様入力'!$E$130="ｍ3N/h",ROUND('2-3.設備仕様入力'!$E$123*'2-3.設備仕様入力'!$E$128*計算!$C$10/1000*VLOOKUP('2-3.設備仕様入力'!$E$125,計算!$N$16:$P$26,2,FALSE),1),""),"")</f>
        <v/>
      </c>
      <c r="W32" s="46" t="str">
        <f>IF('2-3.設備仕様入力'!$E$122="ガスヒートポンプ式空調機",IF('2-3.設備仕様入力'!$E$130="ｍ3N/h",ROUND('2-3.設備仕様入力'!$E$123*'2-3.設備仕様入力'!$E$129*計算!$C$10/1000*VLOOKUP('2-3.設備仕様入力'!$E$125,計算!$N$16:$P$26,3,FALSE),1),""),"")</f>
        <v/>
      </c>
      <c r="X32" s="46" t="str">
        <f t="shared" si="2"/>
        <v/>
      </c>
      <c r="Y32" s="46" t="str">
        <f>IF('2-3.設備仕様入力'!$E$122="ガスヒートポンプ式空調機",IF('2-3.設備仕様入力'!$E$124="LPG",IF('2-3.設備仕様入力'!$E$130="kW",ROUND('2-3.設備仕様入力'!$E$123*'2-3.設備仕様入力'!$E$128*3.6/1000*VLOOKUP('2-3.設備仕様入力'!$E$125,計算!$N$16:$P$26,2,FALSE),1),""),""),"")</f>
        <v/>
      </c>
      <c r="Z32" s="46" t="str">
        <f>IF('2-3.設備仕様入力'!$E$122="ガスヒートポンプ式空調機",IF('2-3.設備仕様入力'!$E$124="LPG",IF('2-3.設備仕様入力'!$E$130="kW",ROUND('2-3.設備仕様入力'!$E$123*'2-3.設備仕様入力'!$E$129*3.6/1000*VLOOKUP('2-3.設備仕様入力'!$E$125,計算!$N$16:$P$26,3,FALSE),1),""),""),"")</f>
        <v/>
      </c>
      <c r="AA32" s="46" t="str">
        <f t="shared" si="3"/>
        <v/>
      </c>
      <c r="AB32" s="46" t="str">
        <f>IF('2-3.設備仕様入力'!$E$122="ガスヒートポンプ式空調機",IF('2-3.設備仕様入力'!$E$124="LPG",IF('2-3.設備仕様入力'!$E$130="kg/h",ROUND('2-3.設備仕様入力'!$E$123*'2-3.設備仕様入力'!$E$128*計算!$C$11/1000*VLOOKUP('2-3.設備仕様入力'!$E$125,計算!$N$16:$P$26,2,FALSE),1),""),""),"")</f>
        <v/>
      </c>
      <c r="AC32" s="46" t="str">
        <f>IF('2-3.設備仕様入力'!$E$122="ガスヒートポンプ式空調機",IF('2-3.設備仕様入力'!$E$124="LPG",IF('2-3.設備仕様入力'!$E$130="kg/h",ROUND('2-3.設備仕様入力'!$E$123*'2-3.設備仕様入力'!$E$129*計算!$C$11/1000*VLOOKUP('2-3.設備仕様入力'!$E$125,計算!$N$16:$P$26,3,FALSE),1),""),""),"")</f>
        <v/>
      </c>
      <c r="AD32" s="46" t="str">
        <f t="shared" si="4"/>
        <v/>
      </c>
    </row>
    <row r="33" spans="3:30" ht="19.5" x14ac:dyDescent="0.45">
      <c r="C33" s="7">
        <f>81000000</f>
        <v>81000000</v>
      </c>
      <c r="D33" s="5" t="s">
        <v>38</v>
      </c>
      <c r="E33" s="6">
        <f>C33/C31</f>
        <v>551.0204081632653</v>
      </c>
      <c r="F33" s="5" t="s">
        <v>37</v>
      </c>
      <c r="I33" s="88" t="s">
        <v>182</v>
      </c>
      <c r="J33" s="14" t="str">
        <f>IF(ISERROR('4.エネルギー使用量'!$O$58/1000*$C$18*$C$7),"",ROUND('4.エネルギー使用量'!$O$58/1000*$C$18*$C$7,2))</f>
        <v/>
      </c>
      <c r="K33" s="13" t="str">
        <f>IF(ISERROR('4.エネルギー使用量'!$O$58/1000*$C$18*$E$18*$E$7),"",ROUND('4.エネルギー使用量'!$O$58/1000*$C$18*$E$18*$E$7,2))</f>
        <v/>
      </c>
      <c r="N33" s="86" t="s">
        <v>113</v>
      </c>
      <c r="O33" s="39" t="str">
        <f>IF(AND('2-3.設備仕様入力'!F$124="電気",'2-3.設備仕様入力'!F$130="kW"),1,IF(AND('2-3.設備仕様入力'!F$124="都市ガス",'2-3.設備仕様入力'!F$130="kW"),2,IF(AND('2-3.設備仕様入力'!F$124="都市ガス",'2-3.設備仕様入力'!F$130="ｍ3N/h"),3,IF(AND('2-3.設備仕様入力'!F$124="LPG",'2-3.設備仕様入力'!F$130="kW"),4,IF(AND('2-3.設備仕様入力'!F$124="LPG",'2-3.設備仕様入力'!F$130="kg/h"),5,"")))))</f>
        <v/>
      </c>
      <c r="P33" s="46" t="str">
        <f>IF(OR('2-3.設備仕様入力'!$F$122="電気式パッケージ形空調機",'2-3.設備仕様入力'!$F$122="ルームエアコン"),ROUND('2-3.設備仕様入力'!$F$128*'2-3.設備仕様入力'!$F$123*計算!$C$3*VLOOKUP('2-3.設備仕様入力'!$F$125,計算!$N$16:$P$26,2,FALSE)/1000,1),"")</f>
        <v/>
      </c>
      <c r="Q33" s="46" t="str">
        <f>IF(OR('2-3.設備仕様入力'!$F$122="電気式パッケージ形空調機",'2-3.設備仕様入力'!$F$122="ルームエアコン"),ROUND('2-3.設備仕様入力'!$F$129*'2-3.設備仕様入力'!$F$123*計算!$C$3*VLOOKUP('2-3.設備仕様入力'!$F$125,計算!$N$16:$P$26,3,FALSE)/1000,1),"")</f>
        <v/>
      </c>
      <c r="R33" s="46" t="str">
        <f t="shared" si="0"/>
        <v/>
      </c>
      <c r="S33" s="46" t="str">
        <f>IF('2-3.設備仕様入力'!$F$122="ガスヒートポンプ式空調機",IF('2-3.設備仕様入力'!$F$124="都市ガス",IF('2-3.設備仕様入力'!$F$130="kW",ROUND('2-3.設備仕様入力'!$F$123*'2-3.設備仕様入力'!$F$128*3.6/1000*VLOOKUP('2-3.設備仕様入力'!$F$125,計算!$N$16:$P$26,2,FALSE),1),""),""),"")</f>
        <v/>
      </c>
      <c r="T33" s="46" t="str">
        <f>IF('2-3.設備仕様入力'!$F$122="ガスヒートポンプ式空調機",IF('2-3.設備仕様入力'!$F$124="都市ガス",IF('2-3.設備仕様入力'!$F$130="kW",ROUND('2-3.設備仕様入力'!$F$123*'2-3.設備仕様入力'!$F$129*3.6/1000*VLOOKUP('2-3.設備仕様入力'!$F$125,計算!$N$16:$P$26,3,FALSE),1),""),""),"")</f>
        <v/>
      </c>
      <c r="U33" s="46" t="str">
        <f t="shared" si="1"/>
        <v/>
      </c>
      <c r="V33" s="46" t="str">
        <f>IF('2-3.設備仕様入力'!$F$122="ガスヒートポンプ式空調機",IF('2-3.設備仕様入力'!$F$130="ｍ3N/h",ROUND('2-3.設備仕様入力'!$F$123*'2-3.設備仕様入力'!$F$128*計算!$C$10/1000*VLOOKUP('2-3.設備仕様入力'!$F$125,計算!$N$16:$P$26,2,FALSE),1),""),"")</f>
        <v/>
      </c>
      <c r="W33" s="46" t="str">
        <f>IF('2-3.設備仕様入力'!$F$122="ガスヒートポンプ式空調機",IF('2-3.設備仕様入力'!$F$130="ｍ3N/h",ROUND('2-3.設備仕様入力'!$F$123*'2-3.設備仕様入力'!$F$129*計算!$C$10/1000*VLOOKUP('2-3.設備仕様入力'!$F$125,計算!$N$16:$P$26,3,FALSE),1),""),"")</f>
        <v/>
      </c>
      <c r="X33" s="46" t="str">
        <f t="shared" si="2"/>
        <v/>
      </c>
      <c r="Y33" s="46" t="str">
        <f>IF('2-3.設備仕様入力'!$F$122="ガスヒートポンプ式空調機",IF('2-3.設備仕様入力'!$F$124="LPG",IF('2-3.設備仕様入力'!$F$130="kW",ROUND('2-3.設備仕様入力'!$F$123*'2-3.設備仕様入力'!$F$128*3.6/1000*VLOOKUP('2-3.設備仕様入力'!$F$125,計算!$N$16:$P$26,2,FALSE),1),""),""),"")</f>
        <v/>
      </c>
      <c r="Z33" s="46" t="str">
        <f>IF('2-3.設備仕様入力'!$F$122="ガスヒートポンプ式空調機",IF('2-3.設備仕様入力'!$F$124="LPG",IF('2-3.設備仕様入力'!$F$130="kW",ROUND('2-3.設備仕様入力'!$F$123*'2-3.設備仕様入力'!$F$129*3.6/1000*VLOOKUP('2-3.設備仕様入力'!$F$125,計算!$N$16:$P$26,3,FALSE),1),""),""),"")</f>
        <v/>
      </c>
      <c r="AA33" s="46" t="str">
        <f t="shared" si="3"/>
        <v/>
      </c>
      <c r="AB33" s="46" t="str">
        <f>IF('2-3.設備仕様入力'!$F$122="ガスヒートポンプ式空調機",IF('2-3.設備仕様入力'!$F$124="LPG",IF('2-3.設備仕様入力'!$F$130="kg/h",ROUND('2-3.設備仕様入力'!$F$123*'2-3.設備仕様入力'!$F$128*計算!$C$11/1000*VLOOKUP('2-3.設備仕様入力'!$F$125,計算!$N$16:$P$26,2,FALSE),1),""),""),"")</f>
        <v/>
      </c>
      <c r="AC33" s="46" t="str">
        <f>IF('2-3.設備仕様入力'!$F$122="ガスヒートポンプ式空調機",IF('2-3.設備仕様入力'!$F$124="LPG",IF('2-3.設備仕様入力'!$F$130="kg/h",ROUND('2-3.設備仕様入力'!$F$123*'2-3.設備仕様入力'!$F$129*計算!$C$11/1000*VLOOKUP('2-3.設備仕様入力'!$F$125,計算!$N$16:$P$26,3,FALSE),1),""),""),"")</f>
        <v/>
      </c>
      <c r="AD33" s="46" t="str">
        <f t="shared" si="4"/>
        <v/>
      </c>
    </row>
    <row r="34" spans="3:30" ht="19.5" x14ac:dyDescent="0.45">
      <c r="I34" s="88" t="s">
        <v>183</v>
      </c>
      <c r="J34" s="14" t="str">
        <f>IF(ISERROR('4.エネルギー使用量'!$O$58/1000*$C$19*$C$7),"",ROUND('4.エネルギー使用量'!$O$58/1000*$C$19*$C$7,2))</f>
        <v/>
      </c>
      <c r="K34" s="13" t="str">
        <f>IF(ISERROR('4.エネルギー使用量'!$O$58/1000*$C$19*$E$19*$E$7),"",ROUND('4.エネルギー使用量'!$O$58/1000*$C$19*$E$19*$E$7,2))</f>
        <v/>
      </c>
      <c r="N34" s="86" t="s">
        <v>114</v>
      </c>
      <c r="O34" s="39" t="str">
        <f>IF(AND('2-3.設備仕様入力'!G$124="電気",'2-3.設備仕様入力'!G$130="kW"),1,IF(AND('2-3.設備仕様入力'!G$124="都市ガス",'2-3.設備仕様入力'!G$130="kW"),2,IF(AND('2-3.設備仕様入力'!G$124="都市ガス",'2-3.設備仕様入力'!G$130="ｍ3N/h"),3,IF(AND('2-3.設備仕様入力'!G$124="LPG",'2-3.設備仕様入力'!G$130="kW"),4,IF(AND('2-3.設備仕様入力'!G$124="LPG",'2-3.設備仕様入力'!G$130="kg/h"),5,"")))))</f>
        <v/>
      </c>
      <c r="P34" s="46" t="str">
        <f>IF(OR('2-3.設備仕様入力'!$G$122="電気式パッケージ形空調機",'2-3.設備仕様入力'!$G$122="ルームエアコン"),ROUND('2-3.設備仕様入力'!$G$128*'2-3.設備仕様入力'!$G$123*計算!$C$3*VLOOKUP('2-3.設備仕様入力'!$G$125,計算!$N$16:$P$26,2,FALSE)/1000,1),"")</f>
        <v/>
      </c>
      <c r="Q34" s="46" t="str">
        <f>IF(OR('2-3.設備仕様入力'!$G$122="電気式パッケージ形空調機",'2-3.設備仕様入力'!$G$122="ルームエアコン"),ROUND('2-3.設備仕様入力'!$G$129*'2-3.設備仕様入力'!$G$123*計算!$C$3*VLOOKUP('2-3.設備仕様入力'!$G$125,計算!$N$16:$P$26,3,FALSE)/1000,1),"")</f>
        <v/>
      </c>
      <c r="R34" s="46" t="str">
        <f t="shared" si="0"/>
        <v/>
      </c>
      <c r="S34" s="46" t="str">
        <f>IF('2-3.設備仕様入力'!$G$122="ガスヒートポンプ式空調機",IF('2-3.設備仕様入力'!$G$124="都市ガス",IF('2-3.設備仕様入力'!$G$130="kW",ROUND('2-3.設備仕様入力'!$G$123*'2-3.設備仕様入力'!$G$128*3.6/1000*VLOOKUP('2-3.設備仕様入力'!$G$125,計算!$N$16:$P$26,2,FALSE),1),""),""),"")</f>
        <v/>
      </c>
      <c r="T34" s="46" t="str">
        <f>IF('2-3.設備仕様入力'!$G$122="ガスヒートポンプ式空調機",IF('2-3.設備仕様入力'!$G$124="都市ガス",IF('2-3.設備仕様入力'!$G$130="kW",ROUND('2-3.設備仕様入力'!$G$123*'2-3.設備仕様入力'!$G$129*3.6/1000*VLOOKUP('2-3.設備仕様入力'!$G$125,計算!$N$16:$P$26,3,FALSE),1),""),""),"")</f>
        <v/>
      </c>
      <c r="U34" s="46" t="str">
        <f t="shared" si="1"/>
        <v/>
      </c>
      <c r="V34" s="46" t="str">
        <f>IF('2-3.設備仕様入力'!$G$122="ガスヒートポンプ式空調機",IF('2-3.設備仕様入力'!$G$130="ｍ3N/h",ROUND('2-3.設備仕様入力'!$G$123*'2-3.設備仕様入力'!$G$128*計算!$C$10/1000*VLOOKUP('2-3.設備仕様入力'!$G$125,計算!$N$16:$P$26,2,FALSE),1),""),"")</f>
        <v/>
      </c>
      <c r="W34" s="46" t="str">
        <f>IF('2-3.設備仕様入力'!$G$122="ガスヒートポンプ式空調機",IF('2-3.設備仕様入力'!$G$130="ｍ3N/h",ROUND('2-3.設備仕様入力'!$G$123*'2-3.設備仕様入力'!$G$129*計算!$C$10/1000*VLOOKUP('2-3.設備仕様入力'!$G$125,計算!$N$16:$P$26,3,FALSE),1),""),"")</f>
        <v/>
      </c>
      <c r="X34" s="46" t="str">
        <f t="shared" si="2"/>
        <v/>
      </c>
      <c r="Y34" s="46" t="str">
        <f>IF('2-3.設備仕様入力'!$G$122="ガスヒートポンプ式空調機",IF('2-3.設備仕様入力'!$G$124="LPG",IF('2-3.設備仕様入力'!$G$130="kW",ROUND('2-3.設備仕様入力'!$G$123*'2-3.設備仕様入力'!$G$128*3.6/1000*VLOOKUP('2-3.設備仕様入力'!$G$125,計算!$N$16:$P$26,2,FALSE),1),""),""),"")</f>
        <v/>
      </c>
      <c r="Z34" s="46" t="str">
        <f>IF('2-3.設備仕様入力'!$G$122="ガスヒートポンプ式空調機",IF('2-3.設備仕様入力'!$G$124="LPG",IF('2-3.設備仕様入力'!$G$130="kW",ROUND('2-3.設備仕様入力'!$G$123*'2-3.設備仕様入力'!$G$129*3.6/1000*VLOOKUP('2-3.設備仕様入力'!$G$125,計算!$N$16:$P$26,3,FALSE),1),""),""),"")</f>
        <v/>
      </c>
      <c r="AA34" s="46" t="str">
        <f t="shared" si="3"/>
        <v/>
      </c>
      <c r="AB34" s="46" t="str">
        <f>IF('2-3.設備仕様入力'!$G$122="ガスヒートポンプ式空調機",IF('2-3.設備仕様入力'!$G$124="LPG",IF('2-3.設備仕様入力'!$G$130="kg/h",ROUND('2-3.設備仕様入力'!$G$123*'2-3.設備仕様入力'!$G$128*計算!$C$11/1000*VLOOKUP('2-3.設備仕様入力'!$G$125,計算!$N$16:$P$26,2,FALSE),1),""),""),"")</f>
        <v/>
      </c>
      <c r="AC34" s="46" t="str">
        <f>IF('2-3.設備仕様入力'!$G$122="ガスヒートポンプ式空調機",IF('2-3.設備仕様入力'!$G$124="LPG",IF('2-3.設備仕様入力'!$G$130="kg/h",ROUND('2-3.設備仕様入力'!$G$123*'2-3.設備仕様入力'!$G$129*計算!$C$11/1000*VLOOKUP('2-3.設備仕様入力'!$G$125,計算!$N$16:$P$26,3,FALSE),1),""),""),"")</f>
        <v/>
      </c>
      <c r="AD34" s="46" t="str">
        <f t="shared" si="4"/>
        <v/>
      </c>
    </row>
    <row r="35" spans="3:30" ht="19.5" x14ac:dyDescent="0.45">
      <c r="I35" s="88" t="s">
        <v>184</v>
      </c>
      <c r="J35" s="14" t="str">
        <f>IF(ISERROR('4.エネルギー使用量'!$O$58/1000*$C$20*$C$7),"",ROUND('4.エネルギー使用量'!$O$58/1000*$C$20*$C$7,2))</f>
        <v/>
      </c>
      <c r="K35" s="13" t="str">
        <f>IF(ISERROR('4.エネルギー使用量'!$O$58/1000*$C$20*$E$20*$E$7),"",ROUND('4.エネルギー使用量'!$O$58/1000*$C$20*$E$20*$E$7,2))</f>
        <v/>
      </c>
      <c r="N35" s="86" t="s">
        <v>115</v>
      </c>
      <c r="O35" s="39" t="str">
        <f>IF(AND('2-3.設備仕様入力'!H$124="電気",'2-3.設備仕様入力'!H$130="kW"),1,IF(AND('2-3.設備仕様入力'!H$124="都市ガス",'2-3.設備仕様入力'!H$130="kW"),2,IF(AND('2-3.設備仕様入力'!H$124="都市ガス",'2-3.設備仕様入力'!H$130="ｍ3N/h"),3,IF(AND('2-3.設備仕様入力'!H$124="LPG",'2-3.設備仕様入力'!H$130="kW"),4,IF(AND('2-3.設備仕様入力'!H$124="LPG",'2-3.設備仕様入力'!H$130="kg/h"),5,"")))))</f>
        <v/>
      </c>
      <c r="P35" s="46" t="str">
        <f>IF(OR('2-3.設備仕様入力'!$H$122="電気式パッケージ形空調機",'2-3.設備仕様入力'!$H$122="ルームエアコン"),ROUND('2-3.設備仕様入力'!$H$128*'2-3.設備仕様入力'!$H$123*計算!$C$3*VLOOKUP('2-3.設備仕様入力'!$H$125,計算!$N$16:$P$26,2,FALSE)/1000,1),"")</f>
        <v/>
      </c>
      <c r="Q35" s="46" t="str">
        <f>IF(OR('2-3.設備仕様入力'!$H$122="電気式パッケージ形空調機",'2-3.設備仕様入力'!$H$122="ルームエアコン"),ROUND('2-3.設備仕様入力'!$H$129*'2-3.設備仕様入力'!$H$123*計算!$C$3*VLOOKUP('2-3.設備仕様入力'!$H$125,計算!$N$16:$P$26,3,FALSE)/1000,1),"")</f>
        <v/>
      </c>
      <c r="R35" s="46" t="str">
        <f t="shared" si="0"/>
        <v/>
      </c>
      <c r="S35" s="46" t="str">
        <f>IF('2-3.設備仕様入力'!$H$122="ガスヒートポンプ式空調機",IF('2-3.設備仕様入力'!$H$124="都市ガス",IF('2-3.設備仕様入力'!$H$130="kW",ROUND('2-3.設備仕様入力'!$H$123*'2-3.設備仕様入力'!$H$128*3.6/1000*VLOOKUP('2-3.設備仕様入力'!$H$125,計算!$N$16:$P$26,2,FALSE),1),""),""),"")</f>
        <v/>
      </c>
      <c r="T35" s="46" t="str">
        <f>IF('2-3.設備仕様入力'!$H$122="ガスヒートポンプ式空調機",IF('2-3.設備仕様入力'!$H$124="都市ガス",IF('2-3.設備仕様入力'!$H$130="kW",ROUND('2-3.設備仕様入力'!$H$123*'2-3.設備仕様入力'!$H$129*3.6/1000*VLOOKUP('2-3.設備仕様入力'!$H$125,計算!$N$16:$P$26,3,FALSE),1),""),""),"")</f>
        <v/>
      </c>
      <c r="U35" s="46" t="str">
        <f t="shared" si="1"/>
        <v/>
      </c>
      <c r="V35" s="46" t="str">
        <f>IF('2-3.設備仕様入力'!$H$122="ガスヒートポンプ式空調機",IF('2-3.設備仕様入力'!$H$130="ｍ3N/h",ROUND('2-3.設備仕様入力'!$H$123*'2-3.設備仕様入力'!$H$128*計算!$C$10/1000*VLOOKUP('2-3.設備仕様入力'!$H$125,計算!$N$16:$P$26,2,FALSE),1),""),"")</f>
        <v/>
      </c>
      <c r="W35" s="46" t="str">
        <f>IF('2-3.設備仕様入力'!$H$122="ガスヒートポンプ式空調機",IF('2-3.設備仕様入力'!$H$130="ｍ3N/h",ROUND('2-3.設備仕様入力'!$H$123*'2-3.設備仕様入力'!$H$129*計算!$C$10/1000*VLOOKUP('2-3.設備仕様入力'!$H$125,計算!$N$16:$P$26,3,FALSE),1),""),"")</f>
        <v/>
      </c>
      <c r="X35" s="46" t="str">
        <f t="shared" si="2"/>
        <v/>
      </c>
      <c r="Y35" s="46" t="str">
        <f>IF('2-3.設備仕様入力'!$H$122="ガスヒートポンプ式空調機",IF('2-3.設備仕様入力'!$H$124="LPG",IF('2-3.設備仕様入力'!$H$130="kW",ROUND('2-3.設備仕様入力'!$H$123*'2-3.設備仕様入力'!$H$128*3.6/1000*VLOOKUP('2-3.設備仕様入力'!$H$125,計算!$N$16:$P$26,2,FALSE),1),""),""),"")</f>
        <v/>
      </c>
      <c r="Z35" s="46" t="str">
        <f>IF('2-3.設備仕様入力'!$H$122="ガスヒートポンプ式空調機",IF('2-3.設備仕様入力'!$H$124="LPG",IF('2-3.設備仕様入力'!$H$130="kW",ROUND('2-3.設備仕様入力'!$H$123*'2-3.設備仕様入力'!$H$129*3.6/1000*VLOOKUP('2-3.設備仕様入力'!$H$125,計算!$N$16:$P$26,3,FALSE),1),""),""),"")</f>
        <v/>
      </c>
      <c r="AA35" s="46" t="str">
        <f t="shared" si="3"/>
        <v/>
      </c>
      <c r="AB35" s="46" t="str">
        <f>IF('2-3.設備仕様入力'!$H$122="ガスヒートポンプ式空調機",IF('2-3.設備仕様入力'!$H$124="LPG",IF('2-3.設備仕様入力'!$H$130="kg/h",ROUND('2-3.設備仕様入力'!$H$123*'2-3.設備仕様入力'!$H$128*計算!$C$11/1000*VLOOKUP('2-3.設備仕様入力'!$H$125,計算!$N$16:$P$26,2,FALSE),1),""),""),"")</f>
        <v/>
      </c>
      <c r="AC35" s="46" t="str">
        <f>IF('2-3.設備仕様入力'!$H$122="ガスヒートポンプ式空調機",IF('2-3.設備仕様入力'!$H$124="LPG",IF('2-3.設備仕様入力'!$H$130="kg/h",ROUND('2-3.設備仕様入力'!$H$123*'2-3.設備仕様入力'!$H$129*計算!$C$11/1000*VLOOKUP('2-3.設備仕様入力'!$H$125,計算!$N$16:$P$26,3,FALSE),1),""),""),"")</f>
        <v/>
      </c>
      <c r="AD35" s="46" t="str">
        <f t="shared" si="4"/>
        <v/>
      </c>
    </row>
    <row r="36" spans="3:30" ht="20.25" thickBot="1" x14ac:dyDescent="0.5">
      <c r="I36" s="88" t="s">
        <v>185</v>
      </c>
      <c r="J36" s="11" t="str">
        <f>IF(ISERROR('4.エネルギー使用量'!$O$58/1000*$C$21*$C$7),"",ROUND('4.エネルギー使用量'!$O$58/1000*$C$21*$C$7,2))</f>
        <v/>
      </c>
      <c r="K36" s="10" t="str">
        <f>IF(ISERROR('4.エネルギー使用量'!$O$58/1000*$C$21*$E$21*$E$7),"",ROUND('4.エネルギー使用量'!$O$58/1000*$C$21*$E$21*$E$7,2))</f>
        <v/>
      </c>
      <c r="N36" s="86" t="s">
        <v>116</v>
      </c>
      <c r="O36" s="39" t="str">
        <f>IF(AND('2-3.設備仕様入力'!I$124="電気",'2-3.設備仕様入力'!I$130="kW"),1,IF(AND('2-3.設備仕様入力'!I$124="都市ガス",'2-3.設備仕様入力'!I$130="kW"),2,IF(AND('2-3.設備仕様入力'!I$124="都市ガス",'2-3.設備仕様入力'!I$130="ｍ3N/h"),3,IF(AND('2-3.設備仕様入力'!I$124="LPG",'2-3.設備仕様入力'!I$130="kW"),4,IF(AND('2-3.設備仕様入力'!I$124="LPG",'2-3.設備仕様入力'!I$130="kg/h"),5,"")))))</f>
        <v/>
      </c>
      <c r="P36" s="46" t="str">
        <f>IF(OR('2-3.設備仕様入力'!$I$122="電気式パッケージ形空調機",'2-3.設備仕様入力'!$I$122="ルームエアコン"),ROUND('2-3.設備仕様入力'!$I$128*'2-3.設備仕様入力'!$I$123*計算!$C$3*VLOOKUP('2-3.設備仕様入力'!$I$125,計算!$N$16:$P$26,2,FALSE)/1000,1),"")</f>
        <v/>
      </c>
      <c r="Q36" s="46" t="str">
        <f>IF(OR('2-3.設備仕様入力'!$I$122="電気式パッケージ形空調機",'2-3.設備仕様入力'!$I$122="ルームエアコン"),ROUND('2-3.設備仕様入力'!$I$129*'2-3.設備仕様入力'!$I$123*計算!$C$3*VLOOKUP('2-3.設備仕様入力'!$I$125,計算!$N$16:$P$26,3,FALSE)/1000,1),"")</f>
        <v/>
      </c>
      <c r="R36" s="46" t="str">
        <f t="shared" si="0"/>
        <v/>
      </c>
      <c r="S36" s="46" t="str">
        <f>IF('2-3.設備仕様入力'!$I$122="ガスヒートポンプ式空調機",IF('2-3.設備仕様入力'!$I$124="都市ガス",IF('2-3.設備仕様入力'!$I$130="kW",ROUND('2-3.設備仕様入力'!$I$123*'2-3.設備仕様入力'!$I$128*3.6/1000*VLOOKUP('2-3.設備仕様入力'!$I$125,計算!$N$16:$P$26,2,FALSE),1),""),""),"")</f>
        <v/>
      </c>
      <c r="T36" s="46" t="str">
        <f>IF('2-3.設備仕様入力'!$I$122="ガスヒートポンプ式空調機",IF('2-3.設備仕様入力'!$I$124="都市ガス",IF('2-3.設備仕様入力'!$I$130="kW",ROUND('2-3.設備仕様入力'!$I$123*'2-3.設備仕様入力'!$I$129*3.6/1000*VLOOKUP('2-3.設備仕様入力'!$I$125,計算!$N$16:$P$26,3,FALSE),1),""),""),"")</f>
        <v/>
      </c>
      <c r="U36" s="46" t="str">
        <f t="shared" si="1"/>
        <v/>
      </c>
      <c r="V36" s="46" t="str">
        <f>IF('2-3.設備仕様入力'!$I$122="ガスヒートポンプ式空調機",IF('2-3.設備仕様入力'!$I$130="ｍ3N/h",ROUND('2-3.設備仕様入力'!$I$123*'2-3.設備仕様入力'!$I$128*計算!$C$10/1000*VLOOKUP('2-3.設備仕様入力'!$I$125,計算!$N$16:$P$26,2,FALSE),1),""),"")</f>
        <v/>
      </c>
      <c r="W36" s="46" t="str">
        <f>IF('2-3.設備仕様入力'!$I$122="ガスヒートポンプ式空調機",IF('2-3.設備仕様入力'!$I$130="ｍ3N/h",ROUND('2-3.設備仕様入力'!$I$123*'2-3.設備仕様入力'!$I$129*計算!$C$10/1000*VLOOKUP('2-3.設備仕様入力'!$I$125,計算!$N$16:$P$26,3,FALSE),1),""),"")</f>
        <v/>
      </c>
      <c r="X36" s="46" t="str">
        <f t="shared" si="2"/>
        <v/>
      </c>
      <c r="Y36" s="46" t="str">
        <f>IF('2-3.設備仕様入力'!$I$122="ガスヒートポンプ式空調機",IF('2-3.設備仕様入力'!$I$124="LPG",IF('2-3.設備仕様入力'!$I$130="kW",ROUND('2-3.設備仕様入力'!$I$123*'2-3.設備仕様入力'!$I$128*3.6/1000*VLOOKUP('2-3.設備仕様入力'!$I$125,計算!$N$16:$P$26,2,FALSE),1),""),""),"")</f>
        <v/>
      </c>
      <c r="Z36" s="46" t="str">
        <f>IF('2-3.設備仕様入力'!$I$122="ガスヒートポンプ式空調機",IF('2-3.設備仕様入力'!$I$124="LPG",IF('2-3.設備仕様入力'!$I$130="kW",ROUND('2-3.設備仕様入力'!$I$123*'2-3.設備仕様入力'!$I$129*3.6/1000*VLOOKUP('2-3.設備仕様入力'!$I$125,計算!$N$16:$P$26,3,FALSE),1),""),""),"")</f>
        <v/>
      </c>
      <c r="AA36" s="46" t="str">
        <f t="shared" si="3"/>
        <v/>
      </c>
      <c r="AB36" s="46" t="str">
        <f>IF('2-3.設備仕様入力'!$I$122="ガスヒートポンプ式空調機",IF('2-3.設備仕様入力'!$I$124="LPG",IF('2-3.設備仕様入力'!$I$130="kg/h",ROUND('2-3.設備仕様入力'!$I$123*'2-3.設備仕様入力'!$I$128*計算!$C$11/1000*VLOOKUP('2-3.設備仕様入力'!$I$125,計算!$N$16:$P$26,2,FALSE),1),""),""),"")</f>
        <v/>
      </c>
      <c r="AC36" s="46" t="str">
        <f>IF('2-3.設備仕様入力'!$I$122="ガスヒートポンプ式空調機",IF('2-3.設備仕様入力'!$I$124="LPG",IF('2-3.設備仕様入力'!$I$130="kg/h",ROUND('2-3.設備仕様入力'!$I$123*'2-3.設備仕様入力'!$I$129*計算!$C$11/1000*VLOOKUP('2-3.設備仕様入力'!$I$125,計算!$N$16:$P$26,3,FALSE),1),""),""),"")</f>
        <v/>
      </c>
      <c r="AD36" s="46" t="str">
        <f t="shared" si="4"/>
        <v/>
      </c>
    </row>
    <row r="37" spans="3:30" ht="20.25" thickBot="1" x14ac:dyDescent="0.5">
      <c r="F37" s="7"/>
      <c r="N37" s="86" t="s">
        <v>117</v>
      </c>
      <c r="O37" s="39" t="str">
        <f>IF(AND('2-3.設備仕様入力'!J$124="電気",'2-3.設備仕様入力'!J$130="kW"),1,IF(AND('2-3.設備仕様入力'!J$124="都市ガス",'2-3.設備仕様入力'!J$130="kW"),2,IF(AND('2-3.設備仕様入力'!J$124="都市ガス",'2-3.設備仕様入力'!J$130="ｍ3N/h"),3,IF(AND('2-3.設備仕様入力'!J$124="LPG",'2-3.設備仕様入力'!J$130="kW"),4,IF(AND('2-3.設備仕様入力'!J$124="LPG",'2-3.設備仕様入力'!J$130="kg/h"),5,"")))))</f>
        <v/>
      </c>
      <c r="P37" s="46" t="str">
        <f>IF(OR('2-3.設備仕様入力'!$J$122="電気式パッケージ形空調機",'2-3.設備仕様入力'!$J$122="ルームエアコン"),ROUND('2-3.設備仕様入力'!$J$128*'2-3.設備仕様入力'!$J$123*計算!$C$3*VLOOKUP('2-3.設備仕様入力'!$J$125,計算!$N$16:$P$26,2,FALSE)/1000,1),"")</f>
        <v/>
      </c>
      <c r="Q37" s="46" t="str">
        <f>IF(OR('2-3.設備仕様入力'!$J$122="電気式パッケージ形空調機",'2-3.設備仕様入力'!$J$122="ルームエアコン"),ROUND('2-3.設備仕様入力'!$J$129*'2-3.設備仕様入力'!$J$123*計算!$C$3*VLOOKUP('2-3.設備仕様入力'!$J$125,計算!$N$16:$P$26,3,FALSE)/1000,1),"")</f>
        <v/>
      </c>
      <c r="R37" s="46" t="str">
        <f t="shared" si="0"/>
        <v/>
      </c>
      <c r="S37" s="46" t="str">
        <f>IF('2-3.設備仕様入力'!$J$122="ガスヒートポンプ式空調機",IF('2-3.設備仕様入力'!$J$124="都市ガス",IF('2-3.設備仕様入力'!$J$130="kW",ROUND('2-3.設備仕様入力'!$J$123*'2-3.設備仕様入力'!$J$128*3.6/1000*VLOOKUP('2-3.設備仕様入力'!$J$125,計算!$N$16:$P$26,2,FALSE),1),""),""),"")</f>
        <v/>
      </c>
      <c r="T37" s="46" t="str">
        <f>IF('2-3.設備仕様入力'!$J$122="ガスヒートポンプ式空調機",IF('2-3.設備仕様入力'!$J$124="都市ガス",IF('2-3.設備仕様入力'!$J$130="kW",ROUND('2-3.設備仕様入力'!$J$123*'2-3.設備仕様入力'!$J$129*3.6/1000*VLOOKUP('2-3.設備仕様入力'!$J$125,計算!$N$16:$P$26,3,FALSE),1),""),""),"")</f>
        <v/>
      </c>
      <c r="U37" s="46" t="str">
        <f t="shared" si="1"/>
        <v/>
      </c>
      <c r="V37" s="46" t="str">
        <f>IF('2-3.設備仕様入力'!$J$122="ガスヒートポンプ式空調機",IF('2-3.設備仕様入力'!$J$130="ｍ3N/h",ROUND('2-3.設備仕様入力'!$J$123*'2-3.設備仕様入力'!$J$128*計算!$C$10/1000*VLOOKUP('2-3.設備仕様入力'!$J$125,計算!$N$16:$P$26,2,FALSE),1),""),"")</f>
        <v/>
      </c>
      <c r="W37" s="46" t="str">
        <f>IF('2-3.設備仕様入力'!$J$122="ガスヒートポンプ式空調機",IF('2-3.設備仕様入力'!$J$130="ｍ3N/h",ROUND('2-3.設備仕様入力'!$J$123*'2-3.設備仕様入力'!$J$129*計算!$C$10/1000*VLOOKUP('2-3.設備仕様入力'!$J$125,計算!$N$16:$P$26,3,FALSE),1),""),"")</f>
        <v/>
      </c>
      <c r="X37" s="46" t="str">
        <f t="shared" si="2"/>
        <v/>
      </c>
      <c r="Y37" s="46" t="str">
        <f>IF('2-3.設備仕様入力'!$J$122="ガスヒートポンプ式空調機",IF('2-3.設備仕様入力'!$J$124="LPG",IF('2-3.設備仕様入力'!$J$130="kW",ROUND('2-3.設備仕様入力'!$J$123*'2-3.設備仕様入力'!$J$128*3.6/1000*VLOOKUP('2-3.設備仕様入力'!$J$125,計算!$N$16:$P$26,2,FALSE),1),""),""),"")</f>
        <v/>
      </c>
      <c r="Z37" s="46" t="str">
        <f>IF('2-3.設備仕様入力'!$J$122="ガスヒートポンプ式空調機",IF('2-3.設備仕様入力'!$J$124="LPG",IF('2-3.設備仕様入力'!$J$130="kW",ROUND('2-3.設備仕様入力'!$J$123*'2-3.設備仕様入力'!$J$129*3.6/1000*VLOOKUP('2-3.設備仕様入力'!$J$125,計算!$N$16:$P$26,3,FALSE),1),""),""),"")</f>
        <v/>
      </c>
      <c r="AA37" s="46" t="str">
        <f t="shared" si="3"/>
        <v/>
      </c>
      <c r="AB37" s="46" t="str">
        <f>IF('2-3.設備仕様入力'!$J$122="ガスヒートポンプ式空調機",IF('2-3.設備仕様入力'!$J$124="LPG",IF('2-3.設備仕様入力'!$J$130="kg/h",ROUND('2-3.設備仕様入力'!$J$123*'2-3.設備仕様入力'!$J$128*計算!$C$11/1000*VLOOKUP('2-3.設備仕様入力'!$J$125,計算!$N$16:$P$26,2,FALSE),1),""),""),"")</f>
        <v/>
      </c>
      <c r="AC37" s="46" t="str">
        <f>IF('2-3.設備仕様入力'!$J$122="ガスヒートポンプ式空調機",IF('2-3.設備仕様入力'!$J$124="LPG",IF('2-3.設備仕様入力'!$J$130="kg/h",ROUND('2-3.設備仕様入力'!$J$123*'2-3.設備仕様入力'!$J$129*計算!$C$11/1000*VLOOKUP('2-3.設備仕様入力'!$J$125,計算!$N$16:$P$26,3,FALSE),1),""),""),"")</f>
        <v/>
      </c>
      <c r="AD37" s="46" t="str">
        <f t="shared" si="4"/>
        <v/>
      </c>
    </row>
    <row r="38" spans="3:30" ht="19.5" x14ac:dyDescent="0.45">
      <c r="F38" s="7"/>
      <c r="I38" s="88" t="s">
        <v>458</v>
      </c>
      <c r="J38" s="16" t="s">
        <v>20</v>
      </c>
      <c r="K38" s="15" t="s">
        <v>19</v>
      </c>
      <c r="N38" s="86" t="s">
        <v>118</v>
      </c>
      <c r="O38" s="39" t="str">
        <f>IF(AND('2-3.設備仕様入力'!K$124="電気",'2-3.設備仕様入力'!K$130="kW"),1,IF(AND('2-3.設備仕様入力'!K$124="都市ガス",'2-3.設備仕様入力'!K$130="kW"),2,IF(AND('2-3.設備仕様入力'!K$124="都市ガス",'2-3.設備仕様入力'!K$130="ｍ3N/h"),3,IF(AND('2-3.設備仕様入力'!K$124="LPG",'2-3.設備仕様入力'!K$130="kW"),4,IF(AND('2-3.設備仕様入力'!K$124="LPG",'2-3.設備仕様入力'!K$130="kg/h"),5,"")))))</f>
        <v/>
      </c>
      <c r="P38" s="46" t="str">
        <f>IF(OR('2-3.設備仕様入力'!$K$122="電気式パッケージ形空調機",'2-3.設備仕様入力'!$K$122="ルームエアコン"),ROUND('2-3.設備仕様入力'!$K$128*'2-3.設備仕様入力'!$K$123*計算!$C$3*VLOOKUP('2-3.設備仕様入力'!$K$125,計算!$N$16:$P$26,2,FALSE)/1000,1),"")</f>
        <v/>
      </c>
      <c r="Q38" s="46" t="str">
        <f>IF(OR('2-3.設備仕様入力'!$K$122="電気式パッケージ形空調機",'2-3.設備仕様入力'!$K$122="ルームエアコン"),ROUND('2-3.設備仕様入力'!$K$129*'2-3.設備仕様入力'!$K$123*計算!$C$3*VLOOKUP('2-3.設備仕様入力'!$K$125,計算!$N$16:$P$26,3,FALSE)/1000,1),"")</f>
        <v/>
      </c>
      <c r="R38" s="46" t="str">
        <f t="shared" si="0"/>
        <v/>
      </c>
      <c r="S38" s="46" t="str">
        <f>IF('2-3.設備仕様入力'!$K$122="ガスヒートポンプ式空調機",IF('2-3.設備仕様入力'!$K$124="都市ガス",IF('2-3.設備仕様入力'!$K$130="kW",ROUND('2-3.設備仕様入力'!$K$123*'2-3.設備仕様入力'!$K$128*3.6/1000*VLOOKUP('2-3.設備仕様入力'!$K$125,計算!$N$16:$P$26,2,FALSE),1),""),""),"")</f>
        <v/>
      </c>
      <c r="T38" s="46" t="str">
        <f>IF('2-3.設備仕様入力'!$K$122="ガスヒートポンプ式空調機",IF('2-3.設備仕様入力'!$K$124="都市ガス",IF('2-3.設備仕様入力'!$K$130="kW",ROUND('2-3.設備仕様入力'!$K$123*'2-3.設備仕様入力'!$K$129*3.6/1000*VLOOKUP('2-3.設備仕様入力'!$K$125,計算!$N$16:$P$26,3,FALSE),1),""),""),"")</f>
        <v/>
      </c>
      <c r="U38" s="46" t="str">
        <f t="shared" si="1"/>
        <v/>
      </c>
      <c r="V38" s="46" t="str">
        <f>IF('2-3.設備仕様入力'!$K$122="ガスヒートポンプ式空調機",IF('2-3.設備仕様入力'!$K$130="ｍ3N/h",ROUND('2-3.設備仕様入力'!$K$123*'2-3.設備仕様入力'!$K$128*計算!$C$10/1000*VLOOKUP('2-3.設備仕様入力'!$K$125,計算!$N$16:$P$26,2,FALSE),1),""),"")</f>
        <v/>
      </c>
      <c r="W38" s="46" t="str">
        <f>IF('2-3.設備仕様入力'!$K$122="ガスヒートポンプ式空調機",IF('2-3.設備仕様入力'!$K$130="ｍ3N/h",ROUND('2-3.設備仕様入力'!$K$123*'2-3.設備仕様入力'!$K$129*計算!$C$10/1000*VLOOKUP('2-3.設備仕様入力'!$K$125,計算!$N$16:$P$26,3,FALSE),1),""),"")</f>
        <v/>
      </c>
      <c r="X38" s="46" t="str">
        <f t="shared" si="2"/>
        <v/>
      </c>
      <c r="Y38" s="46" t="str">
        <f>IF('2-3.設備仕様入力'!$K$122="ガスヒートポンプ式空調機",IF('2-3.設備仕様入力'!$K$124="LPG",IF('2-3.設備仕様入力'!$K$130="kW",ROUND('2-3.設備仕様入力'!$K$123*'2-3.設備仕様入力'!$K$128*3.6/1000*VLOOKUP('2-3.設備仕様入力'!$K$125,計算!$N$16:$P$26,2,FALSE),1),""),""),"")</f>
        <v/>
      </c>
      <c r="Z38" s="46" t="str">
        <f>IF('2-3.設備仕様入力'!$K$122="ガスヒートポンプ式空調機",IF('2-3.設備仕様入力'!$K$124="LPG",IF('2-3.設備仕様入力'!$K$130="kW",ROUND('2-3.設備仕様入力'!$K$123*'2-3.設備仕様入力'!$K$129*3.6/1000*VLOOKUP('2-3.設備仕様入力'!$K$125,計算!$N$16:$P$26,3,FALSE),1),""),""),"")</f>
        <v/>
      </c>
      <c r="AA38" s="46" t="str">
        <f t="shared" si="3"/>
        <v/>
      </c>
      <c r="AB38" s="46" t="str">
        <f>IF('2-3.設備仕様入力'!$K$122="ガスヒートポンプ式空調機",IF('2-3.設備仕様入力'!$K$124="LPG",IF('2-3.設備仕様入力'!$K$130="kg/h",ROUND('2-3.設備仕様入力'!$K$123*'2-3.設備仕様入力'!$K$128*計算!$C$11/1000*VLOOKUP('2-3.設備仕様入力'!$K$125,計算!$N$16:$P$26,2,FALSE),1),""),""),"")</f>
        <v/>
      </c>
      <c r="AC38" s="46" t="str">
        <f>IF('2-3.設備仕様入力'!$K$122="ガスヒートポンプ式空調機",IF('2-3.設備仕様入力'!$K$124="LPG",IF('2-3.設備仕様入力'!$K$130="kg/h",ROUND('2-3.設備仕様入力'!$K$123*'2-3.設備仕様入力'!$K$129*計算!$C$11/1000*VLOOKUP('2-3.設備仕様入力'!$K$125,計算!$N$16:$P$26,3,FALSE),1),""),""),"")</f>
        <v/>
      </c>
      <c r="AD38" s="46" t="str">
        <f t="shared" si="4"/>
        <v/>
      </c>
    </row>
    <row r="39" spans="3:30" ht="19.5" x14ac:dyDescent="0.45">
      <c r="F39" s="7"/>
      <c r="I39" s="88" t="s">
        <v>89</v>
      </c>
      <c r="J39" s="19" t="str">
        <f>IF(ISERROR('4.エネルギー使用量'!$O$69/1000*$C$3*$C$7),"",ROUND('4.エネルギー使用量'!$O$69/1000*$C$3*$C$7,2))</f>
        <v/>
      </c>
      <c r="K39" s="13" t="str">
        <f>IF(ISERROR('4.エネルギー使用量'!$O$24/1000*$E$3),"",ROUND('4.エネルギー使用量'!$O$24/1000*$E$3,2))</f>
        <v/>
      </c>
      <c r="N39" s="86" t="s">
        <v>119</v>
      </c>
      <c r="O39" s="39" t="str">
        <f>IF(AND('2-3.設備仕様入力'!L$124="電気",'2-3.設備仕様入力'!L$130="kW"),1,IF(AND('2-3.設備仕様入力'!L$124="都市ガス",'2-3.設備仕様入力'!L$130="kW"),2,IF(AND('2-3.設備仕様入力'!L$124="都市ガス",'2-3.設備仕様入力'!L$130="ｍ3N/h"),3,IF(AND('2-3.設備仕様入力'!L$124="LPG",'2-3.設備仕様入力'!L$130="kW"),4,IF(AND('2-3.設備仕様入力'!L$124="LPG",'2-3.設備仕様入力'!L$130="kg/h"),5,"")))))</f>
        <v/>
      </c>
      <c r="P39" s="46" t="str">
        <f>IF(OR('2-3.設備仕様入力'!$L$122="電気式パッケージ形空調機",'2-3.設備仕様入力'!$L$122="ルームエアコン"),ROUND('2-3.設備仕様入力'!$L$128*'2-3.設備仕様入力'!$L$123*計算!$C$3*VLOOKUP('2-3.設備仕様入力'!$L$125,計算!$N$16:$P$26,2,FALSE)/1000,1),"")</f>
        <v/>
      </c>
      <c r="Q39" s="46" t="str">
        <f>IF(OR('2-3.設備仕様入力'!$L$122="電気式パッケージ形空調機",'2-3.設備仕様入力'!$L$122="ルームエアコン"),ROUND('2-3.設備仕様入力'!$L$129*'2-3.設備仕様入力'!$L$123*計算!$C$3*VLOOKUP('2-3.設備仕様入力'!$L$125,計算!$N$16:$P$26,3,FALSE)/1000,1),"")</f>
        <v/>
      </c>
      <c r="R39" s="46" t="str">
        <f t="shared" si="0"/>
        <v/>
      </c>
      <c r="S39" s="46" t="str">
        <f>IF('2-3.設備仕様入力'!$L$122="ガスヒートポンプ式空調機",IF('2-3.設備仕様入力'!$L$124="都市ガス",IF('2-3.設備仕様入力'!$L$130="kW",ROUND('2-3.設備仕様入力'!$L$123*'2-3.設備仕様入力'!$L$128*3.6/1000*VLOOKUP('2-3.設備仕様入力'!$L$125,計算!$N$16:$P$26,2,FALSE),1),""),""),"")</f>
        <v/>
      </c>
      <c r="T39" s="46" t="str">
        <f>IF('2-3.設備仕様入力'!$L$122="ガスヒートポンプ式空調機",IF('2-3.設備仕様入力'!$L$124="都市ガス",IF('2-3.設備仕様入力'!$L$130="kW",ROUND('2-3.設備仕様入力'!$L$123*'2-3.設備仕様入力'!$L$129*3.6/1000*VLOOKUP('2-3.設備仕様入力'!$L$125,計算!$N$16:$P$26,3,FALSE),1),""),""),"")</f>
        <v/>
      </c>
      <c r="U39" s="46" t="str">
        <f t="shared" si="1"/>
        <v/>
      </c>
      <c r="V39" s="46" t="str">
        <f>IF('2-3.設備仕様入力'!$L$122="ガスヒートポンプ式空調機",IF('2-3.設備仕様入力'!$L$130="ｍ3N/h",ROUND('2-3.設備仕様入力'!$L$123*'2-3.設備仕様入力'!$L$128*計算!$C$10/1000*VLOOKUP('2-3.設備仕様入力'!$L$125,計算!$N$16:$P$26,2,FALSE),1),""),"")</f>
        <v/>
      </c>
      <c r="W39" s="46" t="str">
        <f>IF('2-3.設備仕様入力'!$L$122="ガスヒートポンプ式空調機",IF('2-3.設備仕様入力'!$L$130="ｍ3N/h",ROUND('2-3.設備仕様入力'!$L$123*'2-3.設備仕様入力'!$L$129*計算!$C$10/1000*VLOOKUP('2-3.設備仕様入力'!$L$125,計算!$N$16:$P$26,3,FALSE),1),""),"")</f>
        <v/>
      </c>
      <c r="X39" s="46" t="str">
        <f t="shared" si="2"/>
        <v/>
      </c>
      <c r="Y39" s="46" t="str">
        <f>IF('2-3.設備仕様入力'!$L$122="ガスヒートポンプ式空調機",IF('2-3.設備仕様入力'!$L$124="LPG",IF('2-3.設備仕様入力'!$L$130="kW",ROUND('2-3.設備仕様入力'!$L$123*'2-3.設備仕様入力'!$L$128*3.6/1000*VLOOKUP('2-3.設備仕様入力'!$L$125,計算!$N$16:$P$26,2,FALSE),1),""),""),"")</f>
        <v/>
      </c>
      <c r="Z39" s="46" t="str">
        <f>IF('2-3.設備仕様入力'!$L$122="ガスヒートポンプ式空調機",IF('2-3.設備仕様入力'!$L$124="LPG",IF('2-3.設備仕様入力'!$L$130="kW",ROUND('2-3.設備仕様入力'!$L$123*'2-3.設備仕様入力'!$L$129*3.6/1000*VLOOKUP('2-3.設備仕様入力'!$L$125,計算!$N$16:$P$26,3,FALSE),1),""),""),"")</f>
        <v/>
      </c>
      <c r="AA39" s="46" t="str">
        <f t="shared" si="3"/>
        <v/>
      </c>
      <c r="AB39" s="46" t="str">
        <f>IF('2-3.設備仕様入力'!$L$122="ガスヒートポンプ式空調機",IF('2-3.設備仕様入力'!$L$124="LPG",IF('2-3.設備仕様入力'!$L$130="kg/h",ROUND('2-3.設備仕様入力'!$L$123*'2-3.設備仕様入力'!$L$128*計算!$C$11/1000*VLOOKUP('2-3.設備仕様入力'!$L$125,計算!$N$16:$P$26,2,FALSE),1),""),""),"")</f>
        <v/>
      </c>
      <c r="AC39" s="46" t="str">
        <f>IF('2-3.設備仕様入力'!$L$122="ガスヒートポンプ式空調機",IF('2-3.設備仕様入力'!$L$124="LPG",IF('2-3.設備仕様入力'!$L$130="kg/h",ROUND('2-3.設備仕様入力'!$L$123*'2-3.設備仕様入力'!$L$129*計算!$C$11/1000*VLOOKUP('2-3.設備仕様入力'!$L$125,計算!$N$16:$P$26,3,FALSE),1),""),""),"")</f>
        <v/>
      </c>
      <c r="AD39" s="46" t="str">
        <f t="shared" si="4"/>
        <v/>
      </c>
    </row>
    <row r="40" spans="3:30" ht="19.5" x14ac:dyDescent="0.45">
      <c r="F40" s="7"/>
      <c r="I40" s="88" t="s">
        <v>452</v>
      </c>
      <c r="J40" s="14" t="str">
        <f>IF(ISERROR('4.エネルギー使用量'!$O$69/1000*$C$10*$C$7*$C$15),"",ROUND('4.エネルギー使用量'!$O$69/1000*$C$10*$C$7*$C$15,2))</f>
        <v/>
      </c>
      <c r="K40" s="13" t="str">
        <f>IF(ISERROR('4.エネルギー使用量'!$O$36/1000*$C$10*$E$10*$E$7),"",ROUND('4.エネルギー使用量'!$O$36/1000*$C$10*$E$10*$E$7,2))</f>
        <v/>
      </c>
      <c r="L40" s="5" t="s">
        <v>453</v>
      </c>
      <c r="N40" s="86" t="s">
        <v>120</v>
      </c>
      <c r="O40" s="39" t="str">
        <f>IF(AND('2-3.設備仕様入力'!M$124="電気",'2-3.設備仕様入力'!M$130="kW"),1,IF(AND('2-3.設備仕様入力'!M$124="都市ガス",'2-3.設備仕様入力'!M$130="kW"),2,IF(AND('2-3.設備仕様入力'!M$124="都市ガス",'2-3.設備仕様入力'!M$130="ｍ3N/h"),3,IF(AND('2-3.設備仕様入力'!M$124="LPG",'2-3.設備仕様入力'!M$130="kW"),4,IF(AND('2-3.設備仕様入力'!M$124="LPG",'2-3.設備仕様入力'!M$130="kg/h"),5,"")))))</f>
        <v/>
      </c>
      <c r="P40" s="46" t="str">
        <f>IF(OR('2-3.設備仕様入力'!$M$122="電気式パッケージ形空調機",'2-3.設備仕様入力'!$M$122="ルームエアコン"),ROUND('2-3.設備仕様入力'!$M$128*'2-3.設備仕様入力'!$M$123*計算!$C$3*VLOOKUP('2-3.設備仕様入力'!$M$125,計算!$N$16:$P$26,2,FALSE)/1000,1),"")</f>
        <v/>
      </c>
      <c r="Q40" s="46" t="str">
        <f>IF(OR('2-3.設備仕様入力'!$M$122="電気式パッケージ形空調機",'2-3.設備仕様入力'!$M$122="ルームエアコン"),ROUND('2-3.設備仕様入力'!$M$129*'2-3.設備仕様入力'!$M$123*計算!$C$3*VLOOKUP('2-3.設備仕様入力'!$M$125,計算!$N$16:$P$26,3,FALSE)/1000,1),"")</f>
        <v/>
      </c>
      <c r="R40" s="46" t="str">
        <f t="shared" si="0"/>
        <v/>
      </c>
      <c r="S40" s="46" t="str">
        <f>IF('2-3.設備仕様入力'!$M$122="ガスヒートポンプ式空調機",IF('2-3.設備仕様入力'!$M$124="都市ガス",IF('2-3.設備仕様入力'!$M$130="kW",ROUND('2-3.設備仕様入力'!$M$123*'2-3.設備仕様入力'!$M$128*3.6/1000*VLOOKUP('2-3.設備仕様入力'!$M$125,計算!$N$16:$P$26,2,FALSE),1),""),""),"")</f>
        <v/>
      </c>
      <c r="T40" s="46" t="str">
        <f>IF('2-3.設備仕様入力'!$M$122="ガスヒートポンプ式空調機",IF('2-3.設備仕様入力'!$M$124="都市ガス",IF('2-3.設備仕様入力'!$M$130="kW",ROUND('2-3.設備仕様入力'!$M$123*'2-3.設備仕様入力'!$M$129*3.6/1000*VLOOKUP('2-3.設備仕様入力'!$M$125,計算!$N$16:$P$26,3,FALSE),1),""),""),"")</f>
        <v/>
      </c>
      <c r="U40" s="46" t="str">
        <f t="shared" si="1"/>
        <v/>
      </c>
      <c r="V40" s="46" t="str">
        <f>IF('2-3.設備仕様入力'!$M$122="ガスヒートポンプ式空調機",IF('2-3.設備仕様入力'!$M$130="ｍ3N/h",ROUND('2-3.設備仕様入力'!$M$123*'2-3.設備仕様入力'!$M$128*計算!$C$10/1000*VLOOKUP('2-3.設備仕様入力'!$M$125,計算!$N$16:$P$26,2,FALSE),1),""),"")</f>
        <v/>
      </c>
      <c r="W40" s="46" t="str">
        <f>IF('2-3.設備仕様入力'!$M$122="ガスヒートポンプ式空調機",IF('2-3.設備仕様入力'!$M$130="ｍ3N/h",ROUND('2-3.設備仕様入力'!$M$123*'2-3.設備仕様入力'!$M$129*計算!$C$10/1000*VLOOKUP('2-3.設備仕様入力'!$M$125,計算!$N$16:$P$26,3,FALSE),1),""),"")</f>
        <v/>
      </c>
      <c r="X40" s="46" t="str">
        <f t="shared" si="2"/>
        <v/>
      </c>
      <c r="Y40" s="46" t="str">
        <f>IF('2-3.設備仕様入力'!$M$122="ガスヒートポンプ式空調機",IF('2-3.設備仕様入力'!$M$124="LPG",IF('2-3.設備仕様入力'!$M$130="kW",ROUND('2-3.設備仕様入力'!$M$123*'2-3.設備仕様入力'!$M$128*3.6/1000*VLOOKUP('2-3.設備仕様入力'!$M$125,計算!$N$16:$P$26,2,FALSE),1),""),""),"")</f>
        <v/>
      </c>
      <c r="Z40" s="46" t="str">
        <f>IF('2-3.設備仕様入力'!$M$122="ガスヒートポンプ式空調機",IF('2-3.設備仕様入力'!$M$124="LPG",IF('2-3.設備仕様入力'!$M$130="kW",ROUND('2-3.設備仕様入力'!$M$123*'2-3.設備仕様入力'!$M$129*3.6/1000*VLOOKUP('2-3.設備仕様入力'!$M$125,計算!$N$16:$P$26,3,FALSE),1),""),""),"")</f>
        <v/>
      </c>
      <c r="AA40" s="46" t="str">
        <f t="shared" si="3"/>
        <v/>
      </c>
      <c r="AB40" s="46" t="str">
        <f>IF('2-3.設備仕様入力'!$M$122="ガスヒートポンプ式空調機",IF('2-3.設備仕様入力'!$M$124="LPG",IF('2-3.設備仕様入力'!$M$130="kg/h",ROUND('2-3.設備仕様入力'!$M$123*'2-3.設備仕様入力'!$M$128*計算!$C$11/1000*VLOOKUP('2-3.設備仕様入力'!$M$125,計算!$N$16:$P$26,2,FALSE),1),""),""),"")</f>
        <v/>
      </c>
      <c r="AC40" s="46" t="str">
        <f>IF('2-3.設備仕様入力'!$M$122="ガスヒートポンプ式空調機",IF('2-3.設備仕様入力'!$M$124="LPG",IF('2-3.設備仕様入力'!$M$130="kg/h",ROUND('2-3.設備仕様入力'!$M$123*'2-3.設備仕様入力'!$M$129*計算!$C$11/1000*VLOOKUP('2-3.設備仕様入力'!$M$125,計算!$N$16:$P$26,3,FALSE),1),""),""),"")</f>
        <v/>
      </c>
      <c r="AD40" s="46" t="str">
        <f t="shared" si="4"/>
        <v/>
      </c>
    </row>
    <row r="41" spans="3:30" ht="19.5" x14ac:dyDescent="0.45">
      <c r="F41" s="7"/>
      <c r="I41" s="88" t="s">
        <v>186</v>
      </c>
      <c r="J41" s="19" t="str">
        <f>IF(ISERROR('4.エネルギー使用量'!$O$69/1000*$C$4*$C$7),"",ROUND('4.エネルギー使用量'!$O$69/1000*$C$4*$C$7,2))</f>
        <v/>
      </c>
      <c r="K41" s="13" t="str">
        <f>IF(ISERROR('4.エネルギー使用量'!$O$69/1000*$C$4*$E$4),"",ROUND('4.エネルギー使用量'!$O$69/1000*$C$4*$E$4,2))</f>
        <v/>
      </c>
      <c r="N41" s="86" t="s">
        <v>377</v>
      </c>
      <c r="O41" s="39" t="str">
        <f>IF(AND('2-3.設備仕様入力'!N$124="電気",'2-3.設備仕様入力'!N$130="kW"),1,IF(AND('2-3.設備仕様入力'!N$124="都市ガス",'2-3.設備仕様入力'!N$130="kW"),2,IF(AND('2-3.設備仕様入力'!N$124="都市ガス",'2-3.設備仕様入力'!N$130="ｍ3N/h"),3,IF(AND('2-3.設備仕様入力'!N$124="LPG",'2-3.設備仕様入力'!N$130="kW"),4,IF(AND('2-3.設備仕様入力'!N$124="LPG",'2-3.設備仕様入力'!N$130="kg/h"),5,"")))))</f>
        <v/>
      </c>
      <c r="P41" s="46" t="str">
        <f>IF(OR('2-3.設備仕様入力'!$N$122="電気式パッケージ形空調機",'2-3.設備仕様入力'!$N$122="ルームエアコン"),ROUND('2-3.設備仕様入力'!$N$128*'2-3.設備仕様入力'!$N$123*計算!$C$3*VLOOKUP('2-3.設備仕様入力'!$N$125,計算!$N$16:$P$26,2,FALSE)/1000,1),"")</f>
        <v/>
      </c>
      <c r="Q41" s="46" t="str">
        <f>IF(OR('2-3.設備仕様入力'!$N$122="電気式パッケージ形空調機",'2-3.設備仕様入力'!$N$122="ルームエアコン"),ROUND('2-3.設備仕様入力'!$N$129*'2-3.設備仕様入力'!$N$123*計算!$C$3*VLOOKUP('2-3.設備仕様入力'!$N$125,計算!$N$16:$P$26,3,FALSE)/1000,1),"")</f>
        <v/>
      </c>
      <c r="R41" s="46" t="str">
        <f t="shared" ref="R41:R50" si="5">IF(AND(P41="",Q41=""),"",P41+Q41)</f>
        <v/>
      </c>
      <c r="S41" s="46" t="str">
        <f>IF('2-3.設備仕様入力'!$N$122="ガスヒートポンプ式空調機",IF('2-3.設備仕様入力'!$N$124="都市ガス",IF('2-3.設備仕様入力'!$N$130="kW",ROUND('2-3.設備仕様入力'!$N$123*'2-3.設備仕様入力'!$N$128*3.6/1000*VLOOKUP('2-3.設備仕様入力'!$N$125,計算!$N$16:$P$26,2,FALSE),1),""),""),"")</f>
        <v/>
      </c>
      <c r="T41" s="46" t="str">
        <f>IF('2-3.設備仕様入力'!$N$122="ガスヒートポンプ式空調機",IF('2-3.設備仕様入力'!$N$124="都市ガス",IF('2-3.設備仕様入力'!$N$130="kW",ROUND('2-3.設備仕様入力'!$N$123*'2-3.設備仕様入力'!$N$129*3.6/1000*VLOOKUP('2-3.設備仕様入力'!$N$125,計算!$N$16:$P$26,3,FALSE),1),""),""),"")</f>
        <v/>
      </c>
      <c r="U41" s="46" t="str">
        <f t="shared" ref="U41:U50" si="6">IF(AND(S41="",T41=""),"",S41+T41)</f>
        <v/>
      </c>
      <c r="V41" s="46" t="str">
        <f>IF('2-3.設備仕様入力'!$N$122="ガスヒートポンプ式空調機",IF('2-3.設備仕様入力'!$N$130="ｍ3N/h",ROUND('2-3.設備仕様入力'!$N$123*'2-3.設備仕様入力'!$N$128*計算!$C$10/1000*VLOOKUP('2-3.設備仕様入力'!$N$125,計算!$N$16:$P$26,2,FALSE),1),""),"")</f>
        <v/>
      </c>
      <c r="W41" s="46" t="str">
        <f>IF('2-3.設備仕様入力'!$N$122="ガスヒートポンプ式空調機",IF('2-3.設備仕様入力'!$N$130="ｍ3N/h",ROUND('2-3.設備仕様入力'!$N$123*'2-3.設備仕様入力'!$N$129*計算!$C$10/1000*VLOOKUP('2-3.設備仕様入力'!$N$125,計算!$N$16:$P$26,3,FALSE),1),""),"")</f>
        <v/>
      </c>
      <c r="X41" s="46" t="str">
        <f t="shared" ref="X41:X50" si="7">IF(AND(V41="",W41=""),"",V41+W41)</f>
        <v/>
      </c>
      <c r="Y41" s="46" t="str">
        <f>IF('2-3.設備仕様入力'!$N$122="ガスヒートポンプ式空調機",IF('2-3.設備仕様入力'!$N$124="LPG",IF('2-3.設備仕様入力'!$N$130="kW",ROUND('2-3.設備仕様入力'!$N$123*'2-3.設備仕様入力'!$N$128*3.6/1000*VLOOKUP('2-3.設備仕様入力'!$N$125,計算!$N$16:$P$26,2,FALSE),1),""),""),"")</f>
        <v/>
      </c>
      <c r="Z41" s="46" t="str">
        <f>IF('2-3.設備仕様入力'!$N$122="ガスヒートポンプ式空調機",IF('2-3.設備仕様入力'!$N$124="LPG",IF('2-3.設備仕様入力'!$N$130="kW",ROUND('2-3.設備仕様入力'!$N$123*'2-3.設備仕様入力'!$N$129*3.6/1000*VLOOKUP('2-3.設備仕様入力'!$N$125,計算!$N$16:$P$26,3,FALSE),1),""),""),"")</f>
        <v/>
      </c>
      <c r="AA41" s="46" t="str">
        <f t="shared" ref="AA41:AA50" si="8">IF(AND(Y41="",Z41=""),"",Y41+Z41)</f>
        <v/>
      </c>
      <c r="AB41" s="46" t="str">
        <f>IF('2-3.設備仕様入力'!$N$122="ガスヒートポンプ式空調機",IF('2-3.設備仕様入力'!$N$124="LPG",IF('2-3.設備仕様入力'!$N$130="kg/h",ROUND('2-3.設備仕様入力'!$N$123*'2-3.設備仕様入力'!$N$128*計算!$C$11/1000*VLOOKUP('2-3.設備仕様入力'!$N$125,計算!$N$16:$P$26,2,FALSE),1),""),""),"")</f>
        <v/>
      </c>
      <c r="AC41" s="46" t="str">
        <f>IF('2-3.設備仕様入力'!$N$122="ガスヒートポンプ式空調機",IF('2-3.設備仕様入力'!$N$124="LPG",IF('2-3.設備仕様入力'!$N$130="kg/h",ROUND('2-3.設備仕様入力'!$N$123*'2-3.設備仕様入力'!$N$129*計算!$C$11/1000*VLOOKUP('2-3.設備仕様入力'!$N$125,計算!$N$16:$P$26,3,FALSE),1),""),""),"")</f>
        <v/>
      </c>
      <c r="AD41" s="46" t="str">
        <f t="shared" ref="AD41:AD50" si="9">IF(AND(AB41="",AC41=""),"",AB41+AC41)</f>
        <v/>
      </c>
    </row>
    <row r="42" spans="3:30" ht="19.5" x14ac:dyDescent="0.45">
      <c r="F42" s="7"/>
      <c r="I42" s="88" t="s">
        <v>187</v>
      </c>
      <c r="J42" s="19" t="str">
        <f>IF(ISERROR('4.エネルギー使用量'!$O$69/1000*$C$5*$C$7),"",ROUND('4.エネルギー使用量'!$O$69/1000*$C$5*$C$7,2))</f>
        <v/>
      </c>
      <c r="K42" s="13" t="str">
        <f>IF(ISERROR('4.エネルギー使用量'!$O$69/1000*$C$5*$E$5),"",ROUND('4.エネルギー使用量'!$O$69/1000*$C$5*$E$5,2))</f>
        <v/>
      </c>
      <c r="N42" s="86" t="s">
        <v>378</v>
      </c>
      <c r="O42" s="39" t="str">
        <f>IF(AND('2-3.設備仕様入力'!O$124="電気",'2-3.設備仕様入力'!O$130="kW"),1,IF(AND('2-3.設備仕様入力'!O$124="都市ガス",'2-3.設備仕様入力'!O$130="kW"),2,IF(AND('2-3.設備仕様入力'!O$124="都市ガス",'2-3.設備仕様入力'!O$130="ｍ3N/h"),3,IF(AND('2-3.設備仕様入力'!O$124="LPG",'2-3.設備仕様入力'!O$130="kW"),4,IF(AND('2-3.設備仕様入力'!O$124="LPG",'2-3.設備仕様入力'!O$130="kg/h"),5,"")))))</f>
        <v/>
      </c>
      <c r="P42" s="46" t="str">
        <f>IF(OR('2-3.設備仕様入力'!$O$122="電気式パッケージ形空調機",'2-3.設備仕様入力'!$O$122="ルームエアコン"),ROUND('2-3.設備仕様入力'!$O$128*'2-3.設備仕様入力'!$O$123*計算!$C$3*VLOOKUP('2-3.設備仕様入力'!$O$125,計算!$N$16:$P$26,2,FALSE)/1000,1),"")</f>
        <v/>
      </c>
      <c r="Q42" s="46" t="str">
        <f>IF(OR('2-3.設備仕様入力'!$O$122="電気式パッケージ形空調機",'2-3.設備仕様入力'!$O$122="ルームエアコン"),ROUND('2-3.設備仕様入力'!$O$129*'2-3.設備仕様入力'!$O$123*計算!$C$3*VLOOKUP('2-3.設備仕様入力'!$O$125,計算!$N$16:$P$26,3,FALSE)/1000,1),"")</f>
        <v/>
      </c>
      <c r="R42" s="46" t="str">
        <f t="shared" si="5"/>
        <v/>
      </c>
      <c r="S42" s="46" t="str">
        <f>IF('2-3.設備仕様入力'!$O$122="ガスヒートポンプ式空調機",IF('2-3.設備仕様入力'!$O$124="都市ガス",IF('2-3.設備仕様入力'!$O$130="kW",ROUND('2-3.設備仕様入力'!$O$123*'2-3.設備仕様入力'!$O$128*3.6/1000*VLOOKUP('2-3.設備仕様入力'!$O$125,計算!$N$16:$P$26,2,FALSE),1),""),""),"")</f>
        <v/>
      </c>
      <c r="T42" s="46" t="str">
        <f>IF('2-3.設備仕様入力'!$O$122="ガスヒートポンプ式空調機",IF('2-3.設備仕様入力'!$O$124="都市ガス",IF('2-3.設備仕様入力'!$O$130="kW",ROUND('2-3.設備仕様入力'!$O$123*'2-3.設備仕様入力'!$O$129*3.6/1000*VLOOKUP('2-3.設備仕様入力'!$O$125,計算!$N$16:$P$26,3,FALSE),1),""),""),"")</f>
        <v/>
      </c>
      <c r="U42" s="46" t="str">
        <f t="shared" si="6"/>
        <v/>
      </c>
      <c r="V42" s="46" t="str">
        <f>IF('2-3.設備仕様入力'!$O$122="ガスヒートポンプ式空調機",IF('2-3.設備仕様入力'!$O$130="ｍ3N/h",ROUND('2-3.設備仕様入力'!$O$123*'2-3.設備仕様入力'!$O$128*計算!$C$10/1000*VLOOKUP('2-3.設備仕様入力'!$O$125,計算!$N$16:$P$26,2,FALSE),1),""),"")</f>
        <v/>
      </c>
      <c r="W42" s="46" t="str">
        <f>IF('2-3.設備仕様入力'!$O$122="ガスヒートポンプ式空調機",IF('2-3.設備仕様入力'!$O$130="ｍ3N/h",ROUND('2-3.設備仕様入力'!$O$123*'2-3.設備仕様入力'!$O$129*計算!$C$10/1000*VLOOKUP('2-3.設備仕様入力'!$O$125,計算!$N$16:$P$26,3,FALSE),1),""),"")</f>
        <v/>
      </c>
      <c r="X42" s="46" t="str">
        <f t="shared" si="7"/>
        <v/>
      </c>
      <c r="Y42" s="46" t="str">
        <f>IF('2-3.設備仕様入力'!$O$122="ガスヒートポンプ式空調機",IF('2-3.設備仕様入力'!$O$124="LPG",IF('2-3.設備仕様入力'!$O$130="kW",ROUND('2-3.設備仕様入力'!$O$123*'2-3.設備仕様入力'!$O$128*3.6/1000*VLOOKUP('2-3.設備仕様入力'!$O$125,計算!$N$16:$P$26,2,FALSE),1),""),""),"")</f>
        <v/>
      </c>
      <c r="Z42" s="46" t="str">
        <f>IF('2-3.設備仕様入力'!$O$122="ガスヒートポンプ式空調機",IF('2-3.設備仕様入力'!$O$124="LPG",IF('2-3.設備仕様入力'!$O$130="kW",ROUND('2-3.設備仕様入力'!$O$123*'2-3.設備仕様入力'!$O$129*3.6/1000*VLOOKUP('2-3.設備仕様入力'!$O$125,計算!$N$16:$P$26,3,FALSE),1),""),""),"")</f>
        <v/>
      </c>
      <c r="AA42" s="46" t="str">
        <f t="shared" si="8"/>
        <v/>
      </c>
      <c r="AB42" s="46" t="str">
        <f>IF('2-3.設備仕様入力'!$O$122="ガスヒートポンプ式空調機",IF('2-3.設備仕様入力'!$O$124="LPG",IF('2-3.設備仕様入力'!$O$130="kg/h",ROUND('2-3.設備仕様入力'!$O$123*'2-3.設備仕様入力'!$O$128*計算!$C$11/1000*VLOOKUP('2-3.設備仕様入力'!$O$125,計算!$N$16:$P$26,2,FALSE),1),""),""),"")</f>
        <v/>
      </c>
      <c r="AC42" s="46" t="str">
        <f>IF('2-3.設備仕様入力'!$O$122="ガスヒートポンプ式空調機",IF('2-3.設備仕様入力'!$O$124="LPG",IF('2-3.設備仕様入力'!$O$130="kg/h",ROUND('2-3.設備仕様入力'!$O$123*'2-3.設備仕様入力'!$O$129*計算!$C$11/1000*VLOOKUP('2-3.設備仕様入力'!$O$125,計算!$N$16:$P$26,3,FALSE),1),""),""),"")</f>
        <v/>
      </c>
      <c r="AD42" s="46" t="str">
        <f t="shared" si="9"/>
        <v/>
      </c>
    </row>
    <row r="43" spans="3:30" ht="19.5" x14ac:dyDescent="0.45">
      <c r="F43" s="7"/>
      <c r="I43" s="88" t="s">
        <v>188</v>
      </c>
      <c r="J43" s="19" t="str">
        <f>IF(ISERROR('4.エネルギー使用量'!$O$69/1000*$C$6*$C$7),"",ROUND('4.エネルギー使用量'!$O$69/1000*$C$6*$C$7,2))</f>
        <v/>
      </c>
      <c r="K43" s="13" t="str">
        <f>IF(ISERROR('4.エネルギー使用量'!$O$69/1000*$C$6*$E$6),"",ROUND('4.エネルギー使用量'!$O$69/1000*$C$6*$E$6,2))</f>
        <v/>
      </c>
      <c r="N43" s="86" t="s">
        <v>379</v>
      </c>
      <c r="O43" s="39" t="str">
        <f>IF(AND('2-3.設備仕様入力'!P$124="電気",'2-3.設備仕様入力'!P$130="kW"),1,IF(AND('2-3.設備仕様入力'!P$124="都市ガス",'2-3.設備仕様入力'!P$130="kW"),2,IF(AND('2-3.設備仕様入力'!P$124="都市ガス",'2-3.設備仕様入力'!P$130="ｍ3N/h"),3,IF(AND('2-3.設備仕様入力'!P$124="LPG",'2-3.設備仕様入力'!P$130="kW"),4,IF(AND('2-3.設備仕様入力'!P$124="LPG",'2-3.設備仕様入力'!P$130="kg/h"),5,"")))))</f>
        <v/>
      </c>
      <c r="P43" s="46" t="str">
        <f>IF(OR('2-3.設備仕様入力'!$P$122="電気式パッケージ形空調機",'2-3.設備仕様入力'!$P$122="ルームエアコン"),ROUND('2-3.設備仕様入力'!$P$128*'2-3.設備仕様入力'!$P$123*計算!$C$3*VLOOKUP('2-3.設備仕様入力'!$P$125,計算!$N$16:$P$26,2,FALSE)/1000,1),"")</f>
        <v/>
      </c>
      <c r="Q43" s="46" t="str">
        <f>IF(OR('2-3.設備仕様入力'!$P$122="電気式パッケージ形空調機",'2-3.設備仕様入力'!$P$122="ルームエアコン"),ROUND('2-3.設備仕様入力'!$P$129*'2-3.設備仕様入力'!$P$123*計算!$C$3*VLOOKUP('2-3.設備仕様入力'!$P$125,計算!$N$16:$P$26,3,FALSE)/1000,1),"")</f>
        <v/>
      </c>
      <c r="R43" s="46" t="str">
        <f t="shared" si="5"/>
        <v/>
      </c>
      <c r="S43" s="46" t="str">
        <f>IF('2-3.設備仕様入力'!$P$122="ガスヒートポンプ式空調機",IF('2-3.設備仕様入力'!$P$124="都市ガス",IF('2-3.設備仕様入力'!$P$130="kW",ROUND('2-3.設備仕様入力'!$P$123*'2-3.設備仕様入力'!$P$128*3.6/1000*VLOOKUP('2-3.設備仕様入力'!$P$125,計算!$N$16:$P$26,2,FALSE),1),""),""),"")</f>
        <v/>
      </c>
      <c r="T43" s="46" t="str">
        <f>IF('2-3.設備仕様入力'!$P$122="ガスヒートポンプ式空調機",IF('2-3.設備仕様入力'!$P$124="都市ガス",IF('2-3.設備仕様入力'!$P$130="kW",ROUND('2-3.設備仕様入力'!$P$123*'2-3.設備仕様入力'!$P$129*3.6/1000*VLOOKUP('2-3.設備仕様入力'!$P$125,計算!$N$16:$P$26,3,FALSE),1),""),""),"")</f>
        <v/>
      </c>
      <c r="U43" s="46" t="str">
        <f t="shared" si="6"/>
        <v/>
      </c>
      <c r="V43" s="46" t="str">
        <f>IF('2-3.設備仕様入力'!$P$122="ガスヒートポンプ式空調機",IF('2-3.設備仕様入力'!$P$130="ｍ3N/h",ROUND('2-3.設備仕様入力'!$P$123*'2-3.設備仕様入力'!$P$128*計算!$C$10/1000*VLOOKUP('2-3.設備仕様入力'!$P$125,計算!$N$16:$P$26,2,FALSE),1),""),"")</f>
        <v/>
      </c>
      <c r="W43" s="46" t="str">
        <f>IF('2-3.設備仕様入力'!$P$122="ガスヒートポンプ式空調機",IF('2-3.設備仕様入力'!$P$130="ｍ3N/h",ROUND('2-3.設備仕様入力'!$P$123*'2-3.設備仕様入力'!$P$129*計算!$C$10/1000*VLOOKUP('2-3.設備仕様入力'!$P$125,計算!$N$16:$P$26,3,FALSE),1),""),"")</f>
        <v/>
      </c>
      <c r="X43" s="46" t="str">
        <f t="shared" si="7"/>
        <v/>
      </c>
      <c r="Y43" s="46" t="str">
        <f>IF('2-3.設備仕様入力'!$P$122="ガスヒートポンプ式空調機",IF('2-3.設備仕様入力'!$P$124="LPG",IF('2-3.設備仕様入力'!$P$130="kW",ROUND('2-3.設備仕様入力'!$P$123*'2-3.設備仕様入力'!$P$128*3.6/1000*VLOOKUP('2-3.設備仕様入力'!$P$125,計算!$N$16:$P$26,2,FALSE),1),""),""),"")</f>
        <v/>
      </c>
      <c r="Z43" s="46" t="str">
        <f>IF('2-3.設備仕様入力'!$P$122="ガスヒートポンプ式空調機",IF('2-3.設備仕様入力'!$P$124="LPG",IF('2-3.設備仕様入力'!$P$130="kW",ROUND('2-3.設備仕様入力'!$P$123*'2-3.設備仕様入力'!$P$129*3.6/1000*VLOOKUP('2-3.設備仕様入力'!$P$125,計算!$N$16:$P$26,3,FALSE),1),""),""),"")</f>
        <v/>
      </c>
      <c r="AA43" s="46" t="str">
        <f t="shared" si="8"/>
        <v/>
      </c>
      <c r="AB43" s="46" t="str">
        <f>IF('2-3.設備仕様入力'!$P$122="ガスヒートポンプ式空調機",IF('2-3.設備仕様入力'!$P$124="LPG",IF('2-3.設備仕様入力'!$P$130="kg/h",ROUND('2-3.設備仕様入力'!$P$123*'2-3.設備仕様入力'!$P$128*計算!$C$11/1000*VLOOKUP('2-3.設備仕様入力'!$P$125,計算!$N$16:$P$26,2,FALSE),1),""),""),"")</f>
        <v/>
      </c>
      <c r="AC43" s="46" t="str">
        <f>IF('2-3.設備仕様入力'!$P$122="ガスヒートポンプ式空調機",IF('2-3.設備仕様入力'!$P$124="LPG",IF('2-3.設備仕様入力'!$P$130="kg/h",ROUND('2-3.設備仕様入力'!$P$123*'2-3.設備仕様入力'!$P$129*計算!$C$11/1000*VLOOKUP('2-3.設備仕様入力'!$P$125,計算!$N$16:$P$26,3,FALSE),1),""),""),"")</f>
        <v/>
      </c>
      <c r="AD43" s="46" t="str">
        <f t="shared" si="9"/>
        <v/>
      </c>
    </row>
    <row r="44" spans="3:30" ht="19.5" x14ac:dyDescent="0.45">
      <c r="F44" s="7"/>
      <c r="I44" s="88" t="s">
        <v>182</v>
      </c>
      <c r="J44" s="14" t="str">
        <f>IF(ISERROR('4.エネルギー使用量'!$O$69/1000*$C$18*$C$7),"",ROUND('4.エネルギー使用量'!$O$69/1000*$C$18*$C$7,2))</f>
        <v/>
      </c>
      <c r="K44" s="13" t="str">
        <f>IF(ISERROR('4.エネルギー使用量'!$O$69/1000*$C$18*$E$18*$E$7),"",ROUND('4.エネルギー使用量'!$O$69/1000*$C$18*$E$18*$E$7,2))</f>
        <v/>
      </c>
      <c r="N44" s="86" t="s">
        <v>380</v>
      </c>
      <c r="O44" s="39" t="str">
        <f>IF(AND('2-3.設備仕様入力'!Q$124="電気",'2-3.設備仕様入力'!Q$130="kW"),1,IF(AND('2-3.設備仕様入力'!Q$124="都市ガス",'2-3.設備仕様入力'!Q$130="kW"),2,IF(AND('2-3.設備仕様入力'!Q$124="都市ガス",'2-3.設備仕様入力'!Q$130="ｍ3N/h"),3,IF(AND('2-3.設備仕様入力'!Q$124="LPG",'2-3.設備仕様入力'!Q$130="kW"),4,IF(AND('2-3.設備仕様入力'!Q$124="LPG",'2-3.設備仕様入力'!Q$130="kg/h"),5,"")))))</f>
        <v/>
      </c>
      <c r="P44" s="46" t="str">
        <f>IF(OR('2-3.設備仕様入力'!$Q$122="電気式パッケージ形空調機",'2-3.設備仕様入力'!$Q$122="ルームエアコン"),ROUND('2-3.設備仕様入力'!$Q$128*'2-3.設備仕様入力'!$Q$123*計算!$C$3*VLOOKUP('2-3.設備仕様入力'!$Q$125,計算!$N$16:$P$26,2,FALSE)/1000,1),"")</f>
        <v/>
      </c>
      <c r="Q44" s="46" t="str">
        <f>IF(OR('2-3.設備仕様入力'!$Q$122="電気式パッケージ形空調機",'2-3.設備仕様入力'!$Q$122="ルームエアコン"),ROUND('2-3.設備仕様入力'!$Q$129*'2-3.設備仕様入力'!$Q$123*計算!$C$3*VLOOKUP('2-3.設備仕様入力'!$Q$125,計算!$N$16:$P$26,3,FALSE)/1000,1),"")</f>
        <v/>
      </c>
      <c r="R44" s="46" t="str">
        <f t="shared" si="5"/>
        <v/>
      </c>
      <c r="S44" s="46" t="str">
        <f>IF('2-3.設備仕様入力'!$Q$122="ガスヒートポンプ式空調機",IF('2-3.設備仕様入力'!$Q$124="都市ガス",IF('2-3.設備仕様入力'!$Q$130="kW",ROUND('2-3.設備仕様入力'!$Q$123*'2-3.設備仕様入力'!$Q$128*3.6/1000*VLOOKUP('2-3.設備仕様入力'!$Q$125,計算!$N$16:$P$26,2,FALSE),1),""),""),"")</f>
        <v/>
      </c>
      <c r="T44" s="46" t="str">
        <f>IF('2-3.設備仕様入力'!$Q$122="ガスヒートポンプ式空調機",IF('2-3.設備仕様入力'!$Q$124="都市ガス",IF('2-3.設備仕様入力'!$Q$130="kW",ROUND('2-3.設備仕様入力'!$Q$123*'2-3.設備仕様入力'!$Q$129*3.6/1000*VLOOKUP('2-3.設備仕様入力'!$Q$125,計算!$N$16:$P$26,3,FALSE),1),""),""),"")</f>
        <v/>
      </c>
      <c r="U44" s="46" t="str">
        <f t="shared" si="6"/>
        <v/>
      </c>
      <c r="V44" s="46" t="str">
        <f>IF('2-3.設備仕様入力'!$Q$122="ガスヒートポンプ式空調機",IF('2-3.設備仕様入力'!$Q$130="ｍ3N/h",ROUND('2-3.設備仕様入力'!$Q$123*'2-3.設備仕様入力'!$Q$128*計算!$C$10/1000*VLOOKUP('2-3.設備仕様入力'!$Q$125,計算!$N$16:$P$26,2,FALSE),1),""),"")</f>
        <v/>
      </c>
      <c r="W44" s="46" t="str">
        <f>IF('2-3.設備仕様入力'!$Q$122="ガスヒートポンプ式空調機",IF('2-3.設備仕様入力'!$Q$130="ｍ3N/h",ROUND('2-3.設備仕様入力'!$Q$123*'2-3.設備仕様入力'!$Q$129*計算!$C$10/1000*VLOOKUP('2-3.設備仕様入力'!$Q$125,計算!$N$16:$P$26,3,FALSE),1),""),"")</f>
        <v/>
      </c>
      <c r="X44" s="46" t="str">
        <f t="shared" si="7"/>
        <v/>
      </c>
      <c r="Y44" s="46" t="str">
        <f>IF('2-3.設備仕様入力'!$Q$122="ガスヒートポンプ式空調機",IF('2-3.設備仕様入力'!$Q$124="LPG",IF('2-3.設備仕様入力'!$Q$130="kW",ROUND('2-3.設備仕様入力'!$Q$123*'2-3.設備仕様入力'!$Q$128*3.6/1000*VLOOKUP('2-3.設備仕様入力'!$Q$125,計算!$N$16:$P$26,2,FALSE),1),""),""),"")</f>
        <v/>
      </c>
      <c r="Z44" s="46" t="str">
        <f>IF('2-3.設備仕様入力'!$Q$122="ガスヒートポンプ式空調機",IF('2-3.設備仕様入力'!$Q$124="LPG",IF('2-3.設備仕様入力'!$Q$130="kW",ROUND('2-3.設備仕様入力'!$Q$123*'2-3.設備仕様入力'!$Q$129*3.6/1000*VLOOKUP('2-3.設備仕様入力'!$Q$125,計算!$N$16:$P$26,3,FALSE),1),""),""),"")</f>
        <v/>
      </c>
      <c r="AA44" s="46" t="str">
        <f t="shared" si="8"/>
        <v/>
      </c>
      <c r="AB44" s="46" t="str">
        <f>IF('2-3.設備仕様入力'!$Q$122="ガスヒートポンプ式空調機",IF('2-3.設備仕様入力'!$Q$124="LPG",IF('2-3.設備仕様入力'!$Q$130="kg/h",ROUND('2-3.設備仕様入力'!$Q$123*'2-3.設備仕様入力'!$Q$128*計算!$C$11/1000*VLOOKUP('2-3.設備仕様入力'!$Q$125,計算!$N$16:$P$26,2,FALSE),1),""),""),"")</f>
        <v/>
      </c>
      <c r="AC44" s="46" t="str">
        <f>IF('2-3.設備仕様入力'!$Q$122="ガスヒートポンプ式空調機",IF('2-3.設備仕様入力'!$Q$124="LPG",IF('2-3.設備仕様入力'!$Q$130="kg/h",ROUND('2-3.設備仕様入力'!$Q$123*'2-3.設備仕様入力'!$Q$129*計算!$C$11/1000*VLOOKUP('2-3.設備仕様入力'!$Q$125,計算!$N$16:$P$26,3,FALSE),1),""),""),"")</f>
        <v/>
      </c>
      <c r="AD44" s="46" t="str">
        <f t="shared" si="9"/>
        <v/>
      </c>
    </row>
    <row r="45" spans="3:30" ht="19.5" x14ac:dyDescent="0.45">
      <c r="F45" s="7"/>
      <c r="I45" s="88" t="s">
        <v>183</v>
      </c>
      <c r="J45" s="14" t="str">
        <f>IF(ISERROR('4.エネルギー使用量'!$O$69/1000*$C$19*$C$7),"",ROUND('4.エネルギー使用量'!$O$69/1000*$C$19*$C$7,2))</f>
        <v/>
      </c>
      <c r="K45" s="13" t="str">
        <f>IF(ISERROR('4.エネルギー使用量'!$O$69/1000*$C$19*$E$19*$E$7),"",ROUND('4.エネルギー使用量'!$O$69/1000*$C$19*$E$19*$E$7,2))</f>
        <v/>
      </c>
      <c r="N45" s="86" t="s">
        <v>381</v>
      </c>
      <c r="O45" s="39" t="str">
        <f>IF(AND('2-3.設備仕様入力'!R$124="電気",'2-3.設備仕様入力'!R$130="kW"),1,IF(AND('2-3.設備仕様入力'!R$124="都市ガス",'2-3.設備仕様入力'!R$130="kW"),2,IF(AND('2-3.設備仕様入力'!R$124="都市ガス",'2-3.設備仕様入力'!R$130="ｍ3N/h"),3,IF(AND('2-3.設備仕様入力'!R$124="LPG",'2-3.設備仕様入力'!R$130="kW"),4,IF(AND('2-3.設備仕様入力'!R$124="LPG",'2-3.設備仕様入力'!R$130="kg/h"),5,"")))))</f>
        <v/>
      </c>
      <c r="P45" s="46" t="str">
        <f>IF(OR('2-3.設備仕様入力'!$R$122="電気式パッケージ形空調機",'2-3.設備仕様入力'!$R$122="ルームエアコン"),ROUND('2-3.設備仕様入力'!$R$128*'2-3.設備仕様入力'!$R$123*計算!$C$3*VLOOKUP('2-3.設備仕様入力'!$R$125,計算!$N$16:$P$26,2,FALSE)/1000,1),"")</f>
        <v/>
      </c>
      <c r="Q45" s="46" t="str">
        <f>IF(OR('2-3.設備仕様入力'!$R$122="電気式パッケージ形空調機",'2-3.設備仕様入力'!$R$122="ルームエアコン"),ROUND('2-3.設備仕様入力'!$R$129*'2-3.設備仕様入力'!$R$123*計算!$C$3*VLOOKUP('2-3.設備仕様入力'!$R$125,計算!$N$16:$P$26,3,FALSE)/1000,1),"")</f>
        <v/>
      </c>
      <c r="R45" s="46" t="str">
        <f t="shared" si="5"/>
        <v/>
      </c>
      <c r="S45" s="46" t="str">
        <f>IF('2-3.設備仕様入力'!$R$122="ガスヒートポンプ式空調機",IF('2-3.設備仕様入力'!$R$124="都市ガス",IF('2-3.設備仕様入力'!$R$130="kW",ROUND('2-3.設備仕様入力'!$R$123*'2-3.設備仕様入力'!$R$128*3.6/1000*VLOOKUP('2-3.設備仕様入力'!$R$125,計算!$N$16:$P$26,2,FALSE),1),""),""),"")</f>
        <v/>
      </c>
      <c r="T45" s="46" t="str">
        <f>IF('2-3.設備仕様入力'!$R$122="ガスヒートポンプ式空調機",IF('2-3.設備仕様入力'!$R$124="都市ガス",IF('2-3.設備仕様入力'!$R$130="kW",ROUND('2-3.設備仕様入力'!$R$123*'2-3.設備仕様入力'!$R$129*3.6/1000*VLOOKUP('2-3.設備仕様入力'!$R$125,計算!$N$16:$P$26,3,FALSE),1),""),""),"")</f>
        <v/>
      </c>
      <c r="U45" s="46" t="str">
        <f t="shared" si="6"/>
        <v/>
      </c>
      <c r="V45" s="46" t="str">
        <f>IF('2-3.設備仕様入力'!$R$122="ガスヒートポンプ式空調機",IF('2-3.設備仕様入力'!$R$130="ｍ3N/h",ROUND('2-3.設備仕様入力'!$R$123*'2-3.設備仕様入力'!$R$128*計算!$C$10/1000*VLOOKUP('2-3.設備仕様入力'!$R$125,計算!$N$16:$P$26,2,FALSE),1),""),"")</f>
        <v/>
      </c>
      <c r="W45" s="46" t="str">
        <f>IF('2-3.設備仕様入力'!$R$122="ガスヒートポンプ式空調機",IF('2-3.設備仕様入力'!$R$130="ｍ3N/h",ROUND('2-3.設備仕様入力'!$R$123*'2-3.設備仕様入力'!$R$129*計算!$C$10/1000*VLOOKUP('2-3.設備仕様入力'!$R$125,計算!$N$16:$P$26,3,FALSE),1),""),"")</f>
        <v/>
      </c>
      <c r="X45" s="46" t="str">
        <f t="shared" si="7"/>
        <v/>
      </c>
      <c r="Y45" s="46" t="str">
        <f>IF('2-3.設備仕様入力'!$R$122="ガスヒートポンプ式空調機",IF('2-3.設備仕様入力'!$R$124="LPG",IF('2-3.設備仕様入力'!$R$130="kW",ROUND('2-3.設備仕様入力'!$R$123*'2-3.設備仕様入力'!$R$128*3.6/1000*VLOOKUP('2-3.設備仕様入力'!$R$125,計算!$N$16:$P$26,2,FALSE),1),""),""),"")</f>
        <v/>
      </c>
      <c r="Z45" s="46" t="str">
        <f>IF('2-3.設備仕様入力'!$R$122="ガスヒートポンプ式空調機",IF('2-3.設備仕様入力'!$R$124="LPG",IF('2-3.設備仕様入力'!$R$130="kW",ROUND('2-3.設備仕様入力'!$R$123*'2-3.設備仕様入力'!$R$129*3.6/1000*VLOOKUP('2-3.設備仕様入力'!$R$125,計算!$N$16:$P$26,3,FALSE),1),""),""),"")</f>
        <v/>
      </c>
      <c r="AA45" s="46" t="str">
        <f t="shared" si="8"/>
        <v/>
      </c>
      <c r="AB45" s="46" t="str">
        <f>IF('2-3.設備仕様入力'!$R$122="ガスヒートポンプ式空調機",IF('2-3.設備仕様入力'!$R$124="LPG",IF('2-3.設備仕様入力'!$R$130="kg/h",ROUND('2-3.設備仕様入力'!$R$123*'2-3.設備仕様入力'!$R$128*計算!$C$11/1000*VLOOKUP('2-3.設備仕様入力'!$R$125,計算!$N$16:$P$26,2,FALSE),1),""),""),"")</f>
        <v/>
      </c>
      <c r="AC45" s="46" t="str">
        <f>IF('2-3.設備仕様入力'!$R$122="ガスヒートポンプ式空調機",IF('2-3.設備仕様入力'!$R$124="LPG",IF('2-3.設備仕様入力'!$R$130="kg/h",ROUND('2-3.設備仕様入力'!$R$123*'2-3.設備仕様入力'!$R$129*計算!$C$11/1000*VLOOKUP('2-3.設備仕様入力'!$R$125,計算!$N$16:$P$26,3,FALSE),1),""),""),"")</f>
        <v/>
      </c>
      <c r="AD45" s="46" t="str">
        <f t="shared" si="9"/>
        <v/>
      </c>
    </row>
    <row r="46" spans="3:30" ht="19.5" x14ac:dyDescent="0.45">
      <c r="F46" s="7"/>
      <c r="I46" s="88" t="s">
        <v>184</v>
      </c>
      <c r="J46" s="14" t="str">
        <f>IF(ISERROR('4.エネルギー使用量'!$O$69/1000*$C$20*$C$7),"",ROUND('4.エネルギー使用量'!$O$69/1000*$C$20*$C$7,2))</f>
        <v/>
      </c>
      <c r="K46" s="13" t="str">
        <f>IF(ISERROR('4.エネルギー使用量'!$O$69/1000*$C$20*$E$20*$E$7),"",ROUND('4.エネルギー使用量'!$O$69/1000*$C$20*$E$20*$E$7,2))</f>
        <v/>
      </c>
      <c r="N46" s="86" t="s">
        <v>382</v>
      </c>
      <c r="O46" s="39" t="str">
        <f>IF(AND('2-3.設備仕様入力'!S$124="電気",'2-3.設備仕様入力'!S$130="kW"),1,IF(AND('2-3.設備仕様入力'!S$124="都市ガス",'2-3.設備仕様入力'!S$130="kW"),2,IF(AND('2-3.設備仕様入力'!S$124="都市ガス",'2-3.設備仕様入力'!S$130="ｍ3N/h"),3,IF(AND('2-3.設備仕様入力'!S$124="LPG",'2-3.設備仕様入力'!S$130="kW"),4,IF(AND('2-3.設備仕様入力'!S$124="LPG",'2-3.設備仕様入力'!S$130="kg/h"),5,"")))))</f>
        <v/>
      </c>
      <c r="P46" s="46" t="str">
        <f>IF(OR('2-3.設備仕様入力'!$S$122="電気式パッケージ形空調機",'2-3.設備仕様入力'!$S$122="ルームエアコン"),ROUND('2-3.設備仕様入力'!$S$128*'2-3.設備仕様入力'!$S$123*計算!$C$3*VLOOKUP('2-3.設備仕様入力'!$S$125,計算!$N$16:$P$26,2,FALSE)/1000,1),"")</f>
        <v/>
      </c>
      <c r="Q46" s="46" t="str">
        <f>IF(OR('2-3.設備仕様入力'!$S$122="電気式パッケージ形空調機",'2-3.設備仕様入力'!$S$122="ルームエアコン"),ROUND('2-3.設備仕様入力'!$S$129*'2-3.設備仕様入力'!$S$123*計算!$C$3*VLOOKUP('2-3.設備仕様入力'!$S$125,計算!$N$16:$P$26,3,FALSE)/1000,1),"")</f>
        <v/>
      </c>
      <c r="R46" s="46" t="str">
        <f t="shared" si="5"/>
        <v/>
      </c>
      <c r="S46" s="46" t="str">
        <f>IF('2-3.設備仕様入力'!$S$122="ガスヒートポンプ式空調機",IF('2-3.設備仕様入力'!$S$124="都市ガス",IF('2-3.設備仕様入力'!$S$130="kW",ROUND('2-3.設備仕様入力'!$S$123*'2-3.設備仕様入力'!$S$128*3.6/1000*VLOOKUP('2-3.設備仕様入力'!$S$125,計算!$N$16:$P$26,2,FALSE),1),""),""),"")</f>
        <v/>
      </c>
      <c r="T46" s="46" t="str">
        <f>IF('2-3.設備仕様入力'!$S$122="ガスヒートポンプ式空調機",IF('2-3.設備仕様入力'!$S$124="都市ガス",IF('2-3.設備仕様入力'!$S$130="kW",ROUND('2-3.設備仕様入力'!$S$123*'2-3.設備仕様入力'!$S$129*3.6/1000*VLOOKUP('2-3.設備仕様入力'!$S$125,計算!$N$16:$P$26,3,FALSE),1),""),""),"")</f>
        <v/>
      </c>
      <c r="U46" s="46" t="str">
        <f t="shared" si="6"/>
        <v/>
      </c>
      <c r="V46" s="46" t="str">
        <f>IF('2-3.設備仕様入力'!$S$122="ガスヒートポンプ式空調機",IF('2-3.設備仕様入力'!$S$130="ｍ3N/h",ROUND('2-3.設備仕様入力'!$S$123*'2-3.設備仕様入力'!$S$128*計算!$C$10/1000*VLOOKUP('2-3.設備仕様入力'!$S$125,計算!$N$16:$P$26,2,FALSE),1),""),"")</f>
        <v/>
      </c>
      <c r="W46" s="46" t="str">
        <f>IF('2-3.設備仕様入力'!$S$122="ガスヒートポンプ式空調機",IF('2-3.設備仕様入力'!$S$130="ｍ3N/h",ROUND('2-3.設備仕様入力'!$S$123*'2-3.設備仕様入力'!$S$129*計算!$C$10/1000*VLOOKUP('2-3.設備仕様入力'!$S$125,計算!$N$16:$P$26,3,FALSE),1),""),"")</f>
        <v/>
      </c>
      <c r="X46" s="46" t="str">
        <f t="shared" si="7"/>
        <v/>
      </c>
      <c r="Y46" s="46" t="str">
        <f>IF('2-3.設備仕様入力'!$S$122="ガスヒートポンプ式空調機",IF('2-3.設備仕様入力'!$S$124="LPG",IF('2-3.設備仕様入力'!$S$130="kW",ROUND('2-3.設備仕様入力'!$S$123*'2-3.設備仕様入力'!$S$128*3.6/1000*VLOOKUP('2-3.設備仕様入力'!$S$125,計算!$N$16:$P$26,2,FALSE),1),""),""),"")</f>
        <v/>
      </c>
      <c r="Z46" s="46" t="str">
        <f>IF('2-3.設備仕様入力'!$S$122="ガスヒートポンプ式空調機",IF('2-3.設備仕様入力'!$S$124="LPG",IF('2-3.設備仕様入力'!$S$130="kW",ROUND('2-3.設備仕様入力'!$S$123*'2-3.設備仕様入力'!$S$129*3.6/1000*VLOOKUP('2-3.設備仕様入力'!$S$125,計算!$N$16:$P$26,3,FALSE),1),""),""),"")</f>
        <v/>
      </c>
      <c r="AA46" s="46" t="str">
        <f t="shared" si="8"/>
        <v/>
      </c>
      <c r="AB46" s="46" t="str">
        <f>IF('2-3.設備仕様入力'!$S$122="ガスヒートポンプ式空調機",IF('2-3.設備仕様入力'!$S$124="LPG",IF('2-3.設備仕様入力'!$S$130="kg/h",ROUND('2-3.設備仕様入力'!$S$123*'2-3.設備仕様入力'!$S$128*計算!$C$11/1000*VLOOKUP('2-3.設備仕様入力'!$S$125,計算!$N$16:$P$26,2,FALSE),1),""),""),"")</f>
        <v/>
      </c>
      <c r="AC46" s="46" t="str">
        <f>IF('2-3.設備仕様入力'!$S$122="ガスヒートポンプ式空調機",IF('2-3.設備仕様入力'!$S$124="LPG",IF('2-3.設備仕様入力'!$S$130="kg/h",ROUND('2-3.設備仕様入力'!$S$123*'2-3.設備仕様入力'!$S$129*計算!$C$11/1000*VLOOKUP('2-3.設備仕様入力'!$S$125,計算!$N$16:$P$26,3,FALSE),1),""),""),"")</f>
        <v/>
      </c>
      <c r="AD46" s="46" t="str">
        <f t="shared" si="9"/>
        <v/>
      </c>
    </row>
    <row r="47" spans="3:30" ht="20.25" thickBot="1" x14ac:dyDescent="0.5">
      <c r="F47" s="7"/>
      <c r="I47" s="88" t="s">
        <v>185</v>
      </c>
      <c r="J47" s="11" t="str">
        <f>IF(ISERROR('4.エネルギー使用量'!$O$69/1000*$C$21*$C$7),"",ROUND('4.エネルギー使用量'!$O$69/1000*$C$21*$C$7,2))</f>
        <v/>
      </c>
      <c r="K47" s="10" t="str">
        <f>IF(ISERROR('4.エネルギー使用量'!$O$69/1000*$C$21*$E$21*$E$7),"",ROUND('4.エネルギー使用量'!$O$69/1000*$C$21*$E$21*$E$7,2))</f>
        <v/>
      </c>
      <c r="N47" s="86" t="s">
        <v>383</v>
      </c>
      <c r="O47" s="39" t="str">
        <f>IF(AND('2-3.設備仕様入力'!T$124="電気",'2-3.設備仕様入力'!T$130="kW"),1,IF(AND('2-3.設備仕様入力'!T$124="都市ガス",'2-3.設備仕様入力'!T$130="kW"),2,IF(AND('2-3.設備仕様入力'!T$124="都市ガス",'2-3.設備仕様入力'!T$130="ｍ3N/h"),3,IF(AND('2-3.設備仕様入力'!T$124="LPG",'2-3.設備仕様入力'!T$130="kW"),4,IF(AND('2-3.設備仕様入力'!T$124="LPG",'2-3.設備仕様入力'!T$130="kg/h"),5,"")))))</f>
        <v/>
      </c>
      <c r="P47" s="46" t="str">
        <f>IF(OR('2-3.設備仕様入力'!$T$122="電気式パッケージ形空調機",'2-3.設備仕様入力'!$T$122="ルームエアコン"),ROUND('2-3.設備仕様入力'!$T$128*'2-3.設備仕様入力'!$T$123*計算!$C$3*VLOOKUP('2-3.設備仕様入力'!$T$125,計算!$N$16:$P$26,2,FALSE)/1000,1),"")</f>
        <v/>
      </c>
      <c r="Q47" s="46" t="str">
        <f>IF(OR('2-3.設備仕様入力'!$T$122="電気式パッケージ形空調機",'2-3.設備仕様入力'!$T$122="ルームエアコン"),ROUND('2-3.設備仕様入力'!$T$129*'2-3.設備仕様入力'!$T$123*計算!$C$3*VLOOKUP('2-3.設備仕様入力'!$T$125,計算!$N$16:$P$26,3,FALSE)/1000,1),"")</f>
        <v/>
      </c>
      <c r="R47" s="46" t="str">
        <f t="shared" si="5"/>
        <v/>
      </c>
      <c r="S47" s="46" t="str">
        <f>IF('2-3.設備仕様入力'!$T$122="ガスヒートポンプ式空調機",IF('2-3.設備仕様入力'!$T$124="都市ガス",IF('2-3.設備仕様入力'!$T$130="kW",ROUND('2-3.設備仕様入力'!$T$123*'2-3.設備仕様入力'!$T$128*3.6/1000*VLOOKUP('2-3.設備仕様入力'!$T$125,計算!$N$16:$P$26,2,FALSE),1),""),""),"")</f>
        <v/>
      </c>
      <c r="T47" s="46" t="str">
        <f>IF('2-3.設備仕様入力'!$T$122="ガスヒートポンプ式空調機",IF('2-3.設備仕様入力'!$T$124="都市ガス",IF('2-3.設備仕様入力'!$T$130="kW",ROUND('2-3.設備仕様入力'!$T$123*'2-3.設備仕様入力'!$T$129*3.6/1000*VLOOKUP('2-3.設備仕様入力'!$T$125,計算!$N$16:$P$26,3,FALSE),1),""),""),"")</f>
        <v/>
      </c>
      <c r="U47" s="46" t="str">
        <f t="shared" si="6"/>
        <v/>
      </c>
      <c r="V47" s="46" t="str">
        <f>IF('2-3.設備仕様入力'!$T$122="ガスヒートポンプ式空調機",IF('2-3.設備仕様入力'!$T$130="ｍ3N/h",ROUND('2-3.設備仕様入力'!$T$123*'2-3.設備仕様入力'!$T$128*計算!$C$10/1000*VLOOKUP('2-3.設備仕様入力'!$T$125,計算!$N$16:$P$26,2,FALSE),1),""),"")</f>
        <v/>
      </c>
      <c r="W47" s="46" t="str">
        <f>IF('2-3.設備仕様入力'!$T$122="ガスヒートポンプ式空調機",IF('2-3.設備仕様入力'!$T$130="ｍ3N/h",ROUND('2-3.設備仕様入力'!$T$123*'2-3.設備仕様入力'!$T$129*計算!$C$10/1000*VLOOKUP('2-3.設備仕様入力'!$T$125,計算!$N$16:$P$26,3,FALSE),1),""),"")</f>
        <v/>
      </c>
      <c r="X47" s="46" t="str">
        <f t="shared" si="7"/>
        <v/>
      </c>
      <c r="Y47" s="46" t="str">
        <f>IF('2-3.設備仕様入力'!$T$122="ガスヒートポンプ式空調機",IF('2-3.設備仕様入力'!$T$124="LPG",IF('2-3.設備仕様入力'!$T$130="kW",ROUND('2-3.設備仕様入力'!$T$123*'2-3.設備仕様入力'!$T$128*3.6/1000*VLOOKUP('2-3.設備仕様入力'!$T$125,計算!$N$16:$P$26,2,FALSE),1),""),""),"")</f>
        <v/>
      </c>
      <c r="Z47" s="46" t="str">
        <f>IF('2-3.設備仕様入力'!$T$122="ガスヒートポンプ式空調機",IF('2-3.設備仕様入力'!$T$124="LPG",IF('2-3.設備仕様入力'!$T$130="kW",ROUND('2-3.設備仕様入力'!$T$123*'2-3.設備仕様入力'!$T$129*3.6/1000*VLOOKUP('2-3.設備仕様入力'!$T$125,計算!$N$16:$P$26,3,FALSE),1),""),""),"")</f>
        <v/>
      </c>
      <c r="AA47" s="46" t="str">
        <f t="shared" si="8"/>
        <v/>
      </c>
      <c r="AB47" s="46" t="str">
        <f>IF('2-3.設備仕様入力'!$T$122="ガスヒートポンプ式空調機",IF('2-3.設備仕様入力'!$T$124="LPG",IF('2-3.設備仕様入力'!$T$130="kg/h",ROUND('2-3.設備仕様入力'!$T$123*'2-3.設備仕様入力'!$T$128*計算!$C$11/1000*VLOOKUP('2-3.設備仕様入力'!$T$125,計算!$N$16:$P$26,2,FALSE),1),""),""),"")</f>
        <v/>
      </c>
      <c r="AC47" s="46" t="str">
        <f>IF('2-3.設備仕様入力'!$T$122="ガスヒートポンプ式空調機",IF('2-3.設備仕様入力'!$T$124="LPG",IF('2-3.設備仕様入力'!$T$130="kg/h",ROUND('2-3.設備仕様入力'!$T$123*'2-3.設備仕様入力'!$T$129*計算!$C$11/1000*VLOOKUP('2-3.設備仕様入力'!$T$125,計算!$N$16:$P$26,3,FALSE),1),""),""),"")</f>
        <v/>
      </c>
      <c r="AD47" s="46" t="str">
        <f t="shared" si="9"/>
        <v/>
      </c>
    </row>
    <row r="48" spans="3:30" ht="20.25" thickBot="1" x14ac:dyDescent="0.5">
      <c r="F48" s="7"/>
      <c r="I48" s="88"/>
      <c r="J48" s="155"/>
      <c r="K48" s="155"/>
      <c r="N48" s="86" t="s">
        <v>384</v>
      </c>
      <c r="O48" s="39" t="str">
        <f>IF(AND('2-3.設備仕様入力'!U$124="電気",'2-3.設備仕様入力'!U$130="kW"),1,IF(AND('2-3.設備仕様入力'!U$124="都市ガス",'2-3.設備仕様入力'!U$130="kW"),2,IF(AND('2-3.設備仕様入力'!U$124="都市ガス",'2-3.設備仕様入力'!U$130="ｍ3N/h"),3,IF(AND('2-3.設備仕様入力'!U$124="LPG",'2-3.設備仕様入力'!U$130="kW"),4,IF(AND('2-3.設備仕様入力'!U$124="LPG",'2-3.設備仕様入力'!U$130="kg/h"),5,"")))))</f>
        <v/>
      </c>
      <c r="P48" s="46" t="str">
        <f>IF(OR('2-3.設備仕様入力'!$U$122="電気式パッケージ形空調機",'2-3.設備仕様入力'!$U$122="ルームエアコン"),ROUND('2-3.設備仕様入力'!$U$128*'2-3.設備仕様入力'!$U$123*計算!$C$3*VLOOKUP('2-3.設備仕様入力'!$U$125,計算!$N$16:$P$26,2,FALSE)/1000,1),"")</f>
        <v/>
      </c>
      <c r="Q48" s="46" t="str">
        <f>IF(OR('2-3.設備仕様入力'!$U$122="電気式パッケージ形空調機",'2-3.設備仕様入力'!$U$122="ルームエアコン"),ROUND('2-3.設備仕様入力'!$U$129*'2-3.設備仕様入力'!$U$123*計算!$C$3*VLOOKUP('2-3.設備仕様入力'!$U$125,計算!$N$16:$P$26,3,FALSE)/1000,1),"")</f>
        <v/>
      </c>
      <c r="R48" s="46" t="str">
        <f t="shared" si="5"/>
        <v/>
      </c>
      <c r="S48" s="46" t="str">
        <f>IF('2-3.設備仕様入力'!$U$122="ガスヒートポンプ式空調機",IF('2-3.設備仕様入力'!$U$124="都市ガス",IF('2-3.設備仕様入力'!$U$130="kW",ROUND('2-3.設備仕様入力'!$U$123*'2-3.設備仕様入力'!$U$128*3.6/1000*VLOOKUP('2-3.設備仕様入力'!$U$125,計算!$N$16:$P$26,2,FALSE),1),""),""),"")</f>
        <v/>
      </c>
      <c r="T48" s="46" t="str">
        <f>IF('2-3.設備仕様入力'!$U$122="ガスヒートポンプ式空調機",IF('2-3.設備仕様入力'!$U$124="都市ガス",IF('2-3.設備仕様入力'!$U$130="kW",ROUND('2-3.設備仕様入力'!$U$123*'2-3.設備仕様入力'!$U$129*3.6/1000*VLOOKUP('2-3.設備仕様入力'!$U$125,計算!$N$16:$P$26,3,FALSE),1),""),""),"")</f>
        <v/>
      </c>
      <c r="U48" s="46" t="str">
        <f t="shared" si="6"/>
        <v/>
      </c>
      <c r="V48" s="46" t="str">
        <f>IF('2-3.設備仕様入力'!$U$122="ガスヒートポンプ式空調機",IF('2-3.設備仕様入力'!$U$130="ｍ3N/h",ROUND('2-3.設備仕様入力'!$U$123*'2-3.設備仕様入力'!$U$128*計算!$C$10/1000*VLOOKUP('2-3.設備仕様入力'!$U$125,計算!$N$16:$P$26,2,FALSE),1),""),"")</f>
        <v/>
      </c>
      <c r="W48" s="46" t="str">
        <f>IF('2-3.設備仕様入力'!$U$122="ガスヒートポンプ式空調機",IF('2-3.設備仕様入力'!$U$130="ｍ3N/h",ROUND('2-3.設備仕様入力'!$U$123*'2-3.設備仕様入力'!$U$129*計算!$C$10/1000*VLOOKUP('2-3.設備仕様入力'!$U$125,計算!$N$16:$P$26,3,FALSE),1),""),"")</f>
        <v/>
      </c>
      <c r="X48" s="46" t="str">
        <f t="shared" si="7"/>
        <v/>
      </c>
      <c r="Y48" s="46" t="str">
        <f>IF('2-3.設備仕様入力'!$U$122="ガスヒートポンプ式空調機",IF('2-3.設備仕様入力'!$U$124="LPG",IF('2-3.設備仕様入力'!$U$130="kW",ROUND('2-3.設備仕様入力'!$U$123*'2-3.設備仕様入力'!$U$128*3.6/1000*VLOOKUP('2-3.設備仕様入力'!$U$125,計算!$N$16:$P$26,2,FALSE),1),""),""),"")</f>
        <v/>
      </c>
      <c r="Z48" s="46" t="str">
        <f>IF('2-3.設備仕様入力'!$U$122="ガスヒートポンプ式空調機",IF('2-3.設備仕様入力'!$U$124="LPG",IF('2-3.設備仕様入力'!$U$130="kW",ROUND('2-3.設備仕様入力'!$U$123*'2-3.設備仕様入力'!$U$129*3.6/1000*VLOOKUP('2-3.設備仕様入力'!$U$125,計算!$N$16:$P$26,3,FALSE),1),""),""),"")</f>
        <v/>
      </c>
      <c r="AA48" s="46" t="str">
        <f t="shared" si="8"/>
        <v/>
      </c>
      <c r="AB48" s="46" t="str">
        <f>IF('2-3.設備仕様入力'!$U$122="ガスヒートポンプ式空調機",IF('2-3.設備仕様入力'!$U$124="LPG",IF('2-3.設備仕様入力'!$U$130="kg/h",ROUND('2-3.設備仕様入力'!$U$123*'2-3.設備仕様入力'!$U$128*計算!$C$11/1000*VLOOKUP('2-3.設備仕様入力'!$U$125,計算!$N$16:$P$26,2,FALSE),1),""),""),"")</f>
        <v/>
      </c>
      <c r="AC48" s="46" t="str">
        <f>IF('2-3.設備仕様入力'!$U$122="ガスヒートポンプ式空調機",IF('2-3.設備仕様入力'!$U$124="LPG",IF('2-3.設備仕様入力'!$U$130="kg/h",ROUND('2-3.設備仕様入力'!$U$123*'2-3.設備仕様入力'!$U$129*計算!$C$11/1000*VLOOKUP('2-3.設備仕様入力'!$U$125,計算!$N$16:$P$26,3,FALSE),1),""),""),"")</f>
        <v/>
      </c>
      <c r="AD48" s="46" t="str">
        <f t="shared" si="9"/>
        <v/>
      </c>
    </row>
    <row r="49" spans="6:30" ht="19.5" x14ac:dyDescent="0.45">
      <c r="F49" s="7"/>
      <c r="I49" s="88" t="s">
        <v>459</v>
      </c>
      <c r="J49" s="16" t="s">
        <v>20</v>
      </c>
      <c r="K49" s="15" t="s">
        <v>19</v>
      </c>
      <c r="N49" s="86" t="s">
        <v>385</v>
      </c>
      <c r="O49" s="39" t="str">
        <f>IF(AND('2-3.設備仕様入力'!V$124="電気",'2-3.設備仕様入力'!V$130="kW"),1,IF(AND('2-3.設備仕様入力'!V$124="都市ガス",'2-3.設備仕様入力'!V$130="kW"),2,IF(AND('2-3.設備仕様入力'!V$124="都市ガス",'2-3.設備仕様入力'!V$130="ｍ3N/h"),3,IF(AND('2-3.設備仕様入力'!V$124="LPG",'2-3.設備仕様入力'!V$130="kW"),4,IF(AND('2-3.設備仕様入力'!V$124="LPG",'2-3.設備仕様入力'!V$130="kg/h"),5,"")))))</f>
        <v/>
      </c>
      <c r="P49" s="46" t="str">
        <f>IF(OR('2-3.設備仕様入力'!$V$122="電気式パッケージ形空調機",'2-3.設備仕様入力'!$V$122="ルームエアコン"),ROUND('2-3.設備仕様入力'!$V$128*'2-3.設備仕様入力'!$V$123*計算!$C$3*VLOOKUP('2-3.設備仕様入力'!$V$125,計算!$N$16:$P$26,2,FALSE)/1000,1),"")</f>
        <v/>
      </c>
      <c r="Q49" s="46" t="str">
        <f>IF(OR('2-3.設備仕様入力'!$V$122="電気式パッケージ形空調機",'2-3.設備仕様入力'!$V$122="ルームエアコン"),ROUND('2-3.設備仕様入力'!$V$129*'2-3.設備仕様入力'!$V$123*計算!$C$3*VLOOKUP('2-3.設備仕様入力'!$V$125,計算!$N$16:$P$26,3,FALSE)/1000,1),"")</f>
        <v/>
      </c>
      <c r="R49" s="46" t="str">
        <f t="shared" si="5"/>
        <v/>
      </c>
      <c r="S49" s="46" t="str">
        <f>IF('2-3.設備仕様入力'!$V$122="ガスヒートポンプ式空調機",IF('2-3.設備仕様入力'!$V$124="都市ガス",IF('2-3.設備仕様入力'!$V$130="kW",ROUND('2-3.設備仕様入力'!$V$123*'2-3.設備仕様入力'!$V$128*3.6/1000*VLOOKUP('2-3.設備仕様入力'!$V$125,計算!$N$16:$P$26,2,FALSE),1),""),""),"")</f>
        <v/>
      </c>
      <c r="T49" s="46" t="str">
        <f>IF('2-3.設備仕様入力'!$V$122="ガスヒートポンプ式空調機",IF('2-3.設備仕様入力'!$V$124="都市ガス",IF('2-3.設備仕様入力'!$V$130="kW",ROUND('2-3.設備仕様入力'!$V$123*'2-3.設備仕様入力'!$V$129*3.6/1000*VLOOKUP('2-3.設備仕様入力'!$V$125,計算!$N$16:$P$26,3,FALSE),1),""),""),"")</f>
        <v/>
      </c>
      <c r="U49" s="46" t="str">
        <f t="shared" si="6"/>
        <v/>
      </c>
      <c r="V49" s="46" t="str">
        <f>IF('2-3.設備仕様入力'!$V$122="ガスヒートポンプ式空調機",IF('2-3.設備仕様入力'!$V$130="ｍ3N/h",ROUND('2-3.設備仕様入力'!$V$123*'2-3.設備仕様入力'!$V$128*計算!$C$10/1000*VLOOKUP('2-3.設備仕様入力'!$V$125,計算!$N$16:$P$26,2,FALSE),1),""),"")</f>
        <v/>
      </c>
      <c r="W49" s="46" t="str">
        <f>IF('2-3.設備仕様入力'!$V$122="ガスヒートポンプ式空調機",IF('2-3.設備仕様入力'!$V$130="ｍ3N/h",ROUND('2-3.設備仕様入力'!$V$123*'2-3.設備仕様入力'!$V$129*計算!$C$10/1000*VLOOKUP('2-3.設備仕様入力'!$V$125,計算!$N$16:$P$26,3,FALSE),1),""),"")</f>
        <v/>
      </c>
      <c r="X49" s="46" t="str">
        <f t="shared" si="7"/>
        <v/>
      </c>
      <c r="Y49" s="46" t="str">
        <f>IF('2-3.設備仕様入力'!$V$122="ガスヒートポンプ式空調機",IF('2-3.設備仕様入力'!$V$124="LPG",IF('2-3.設備仕様入力'!$V$130="kW",ROUND('2-3.設備仕様入力'!$V$123*'2-3.設備仕様入力'!$V$128*3.6/1000*VLOOKUP('2-3.設備仕様入力'!$V$125,計算!$N$16:$P$26,2,FALSE),1),""),""),"")</f>
        <v/>
      </c>
      <c r="Z49" s="46" t="str">
        <f>IF('2-3.設備仕様入力'!$V$122="ガスヒートポンプ式空調機",IF('2-3.設備仕様入力'!$V$124="LPG",IF('2-3.設備仕様入力'!$V$130="kW",ROUND('2-3.設備仕様入力'!$V$123*'2-3.設備仕様入力'!$V$129*3.6/1000*VLOOKUP('2-3.設備仕様入力'!$V$125,計算!$N$16:$P$26,3,FALSE),1),""),""),"")</f>
        <v/>
      </c>
      <c r="AA49" s="46" t="str">
        <f t="shared" si="8"/>
        <v/>
      </c>
      <c r="AB49" s="46" t="str">
        <f>IF('2-3.設備仕様入力'!$V$122="ガスヒートポンプ式空調機",IF('2-3.設備仕様入力'!$V$124="LPG",IF('2-3.設備仕様入力'!$V$130="kg/h",ROUND('2-3.設備仕様入力'!$V$123*'2-3.設備仕様入力'!$V$128*計算!$C$11/1000*VLOOKUP('2-3.設備仕様入力'!$V$125,計算!$N$16:$P$26,2,FALSE),1),""),""),"")</f>
        <v/>
      </c>
      <c r="AC49" s="46" t="str">
        <f>IF('2-3.設備仕様入力'!$V$122="ガスヒートポンプ式空調機",IF('2-3.設備仕様入力'!$V$124="LPG",IF('2-3.設備仕様入力'!$V$130="kg/h",ROUND('2-3.設備仕様入力'!$V$123*'2-3.設備仕様入力'!$V$129*計算!$C$11/1000*VLOOKUP('2-3.設備仕様入力'!$V$125,計算!$N$16:$P$26,3,FALSE),1),""),""),"")</f>
        <v/>
      </c>
      <c r="AD49" s="46" t="str">
        <f t="shared" si="9"/>
        <v/>
      </c>
    </row>
    <row r="50" spans="6:30" ht="19.5" x14ac:dyDescent="0.45">
      <c r="F50" s="7"/>
      <c r="I50" s="88" t="s">
        <v>89</v>
      </c>
      <c r="J50" s="19" t="str">
        <f>IF(ISERROR('4.エネルギー使用量'!$O$80/1000*$C$3*$C$7),"",ROUND('4.エネルギー使用量'!$O$80/1000*$C$3*$C$7,2))</f>
        <v/>
      </c>
      <c r="K50" s="13" t="str">
        <f>IF(ISERROR('4.エネルギー使用量'!$O$24/1000*$E$3),"",ROUND('4.エネルギー使用量'!$O$24/1000*$E$3,2))</f>
        <v/>
      </c>
      <c r="N50" s="86" t="s">
        <v>386</v>
      </c>
      <c r="O50" s="39" t="str">
        <f>IF(AND('2-3.設備仕様入力'!W$124="電気",'2-3.設備仕様入力'!W$130="kW"),1,IF(AND('2-3.設備仕様入力'!W$124="都市ガス",'2-3.設備仕様入力'!W$130="kW"),2,IF(AND('2-3.設備仕様入力'!W$124="都市ガス",'2-3.設備仕様入力'!W$130="ｍ3N/h"),3,IF(AND('2-3.設備仕様入力'!W$124="LPG",'2-3.設備仕様入力'!W$130="kW"),4,IF(AND('2-3.設備仕様入力'!W$124="LPG",'2-3.設備仕様入力'!W$130="kg/h"),5,"")))))</f>
        <v/>
      </c>
      <c r="P50" s="46" t="str">
        <f>IF(OR('2-3.設備仕様入力'!$W$122="電気式パッケージ形空調機",'2-3.設備仕様入力'!$W$122="ルームエアコン"),ROUND('2-3.設備仕様入力'!$W$128*'2-3.設備仕様入力'!$W$123*計算!$C$3*VLOOKUP('2-3.設備仕様入力'!$W$125,計算!$N$16:$P$26,2,FALSE)/1000,1),"")</f>
        <v/>
      </c>
      <c r="Q50" s="46" t="str">
        <f>IF(OR('2-3.設備仕様入力'!$W$122="電気式パッケージ形空調機",'2-3.設備仕様入力'!$W$122="ルームエアコン"),ROUND('2-3.設備仕様入力'!$W$129*'2-3.設備仕様入力'!$W$123*計算!$C$3*VLOOKUP('2-3.設備仕様入力'!$W$125,計算!$N$16:$P$26,3,FALSE)/1000,1),"")</f>
        <v/>
      </c>
      <c r="R50" s="46" t="str">
        <f t="shared" si="5"/>
        <v/>
      </c>
      <c r="S50" s="46" t="str">
        <f>IF('2-3.設備仕様入力'!$W$122="ガスヒートポンプ式空調機",IF('2-3.設備仕様入力'!$W$124="都市ガス",IF('2-3.設備仕様入力'!$W$130="kW",ROUND('2-3.設備仕様入力'!$W$123*'2-3.設備仕様入力'!$W$128*3.6/1000*VLOOKUP('2-3.設備仕様入力'!$W$125,計算!$N$16:$P$26,2,FALSE),1),""),""),"")</f>
        <v/>
      </c>
      <c r="T50" s="46" t="str">
        <f>IF('2-3.設備仕様入力'!$W$122="ガスヒートポンプ式空調機",IF('2-3.設備仕様入力'!$W$124="都市ガス",IF('2-3.設備仕様入力'!$W$130="kW",ROUND('2-3.設備仕様入力'!$W$123*'2-3.設備仕様入力'!$W$129*3.6/1000*VLOOKUP('2-3.設備仕様入力'!$W$125,計算!$N$16:$P$26,3,FALSE),1),""),""),"")</f>
        <v/>
      </c>
      <c r="U50" s="46" t="str">
        <f t="shared" si="6"/>
        <v/>
      </c>
      <c r="V50" s="46" t="str">
        <f>IF('2-3.設備仕様入力'!$W$122="ガスヒートポンプ式空調機",IF('2-3.設備仕様入力'!$W$130="ｍ3N/h",ROUND('2-3.設備仕様入力'!$W$123*'2-3.設備仕様入力'!$W$128*計算!$C$10/1000*VLOOKUP('2-3.設備仕様入力'!$W$125,計算!$N$16:$P$26,2,FALSE),1),""),"")</f>
        <v/>
      </c>
      <c r="W50" s="46" t="str">
        <f>IF('2-3.設備仕様入力'!$W$122="ガスヒートポンプ式空調機",IF('2-3.設備仕様入力'!$W$130="ｍ3N/h",ROUND('2-3.設備仕様入力'!$W$123*'2-3.設備仕様入力'!$W$129*計算!$C$10/1000*VLOOKUP('2-3.設備仕様入力'!$W$125,計算!$N$16:$P$26,3,FALSE),1),""),"")</f>
        <v/>
      </c>
      <c r="X50" s="46" t="str">
        <f t="shared" si="7"/>
        <v/>
      </c>
      <c r="Y50" s="46" t="str">
        <f>IF('2-3.設備仕様入力'!$W$122="ガスヒートポンプ式空調機",IF('2-3.設備仕様入力'!$W$124="LPG",IF('2-3.設備仕様入力'!$W$130="kW",ROUND('2-3.設備仕様入力'!$W$123*'2-3.設備仕様入力'!$W$128*3.6/1000*VLOOKUP('2-3.設備仕様入力'!$W$125,計算!$N$16:$P$26,2,FALSE),1),""),""),"")</f>
        <v/>
      </c>
      <c r="Z50" s="46" t="str">
        <f>IF('2-3.設備仕様入力'!$W$122="ガスヒートポンプ式空調機",IF('2-3.設備仕様入力'!$W$124="LPG",IF('2-3.設備仕様入力'!$W$130="kW",ROUND('2-3.設備仕様入力'!$W$123*'2-3.設備仕様入力'!$W$129*3.6/1000*VLOOKUP('2-3.設備仕様入力'!$W$125,計算!$N$16:$P$26,3,FALSE),1),""),""),"")</f>
        <v/>
      </c>
      <c r="AA50" s="46" t="str">
        <f t="shared" si="8"/>
        <v/>
      </c>
      <c r="AB50" s="46" t="str">
        <f>IF('2-3.設備仕様入力'!$W$122="ガスヒートポンプ式空調機",IF('2-3.設備仕様入力'!$W$124="LPG",IF('2-3.設備仕様入力'!$W$130="kg/h",ROUND('2-3.設備仕様入力'!$W$123*'2-3.設備仕様入力'!$W$128*計算!$C$11/1000*VLOOKUP('2-3.設備仕様入力'!$W$125,計算!$N$16:$P$26,2,FALSE),1),""),""),"")</f>
        <v/>
      </c>
      <c r="AC50" s="46" t="str">
        <f>IF('2-3.設備仕様入力'!$W$122="ガスヒートポンプ式空調機",IF('2-3.設備仕様入力'!$W$124="LPG",IF('2-3.設備仕様入力'!$W$130="kg/h",ROUND('2-3.設備仕様入力'!$W$123*'2-3.設備仕様入力'!$W$129*計算!$C$11/1000*VLOOKUP('2-3.設備仕様入力'!$W$125,計算!$N$16:$P$26,3,FALSE),1),""),""),"")</f>
        <v/>
      </c>
      <c r="AD50" s="46" t="str">
        <f t="shared" si="9"/>
        <v/>
      </c>
    </row>
    <row r="51" spans="6:30" ht="19.5" x14ac:dyDescent="0.45">
      <c r="F51" s="7"/>
      <c r="I51" s="88" t="s">
        <v>452</v>
      </c>
      <c r="J51" s="14" t="str">
        <f>IF(ISERROR('4.エネルギー使用量'!$O$80/1000*$C$10*$C$7*$C$15),"",ROUND('4.エネルギー使用量'!$O$80/1000*$C$10*$C$7*$C$15,2))</f>
        <v/>
      </c>
      <c r="K51" s="13" t="str">
        <f>IF(ISERROR('4.エネルギー使用量'!$O$36/1000*$C$10*$E$10*$E$7),"",ROUND('4.エネルギー使用量'!$O$36/1000*$C$10*$E$10*$E$7,2))</f>
        <v/>
      </c>
      <c r="L51" s="5" t="s">
        <v>453</v>
      </c>
      <c r="P51" s="156"/>
      <c r="Q51" s="156"/>
      <c r="R51" s="156"/>
      <c r="S51" s="156"/>
      <c r="T51" s="156"/>
      <c r="U51" s="156"/>
      <c r="V51" s="156"/>
      <c r="W51" s="156"/>
      <c r="X51" s="156"/>
      <c r="Y51" s="156"/>
      <c r="Z51" s="156"/>
      <c r="AA51" s="156"/>
      <c r="AB51" s="156"/>
      <c r="AC51" s="156"/>
      <c r="AD51" s="156"/>
    </row>
    <row r="52" spans="6:30" x14ac:dyDescent="0.45">
      <c r="I52" s="88" t="s">
        <v>186</v>
      </c>
      <c r="J52" s="19" t="str">
        <f>IF(ISERROR('4.エネルギー使用量'!$O$80/1000*$C$4*$C$7),"",ROUND('4.エネルギー使用量'!$O$80/1000*$C$4*$C$7,2))</f>
        <v/>
      </c>
      <c r="K52" s="13" t="str">
        <f>IF(ISERROR('4.エネルギー使用量'!$O$80/1000*$C$4*$E$4),"",ROUND('4.エネルギー使用量'!$O$80/1000*$C$4*$E$4,2))</f>
        <v/>
      </c>
    </row>
    <row r="53" spans="6:30" x14ac:dyDescent="0.45">
      <c r="I53" s="88" t="s">
        <v>187</v>
      </c>
      <c r="J53" s="19" t="str">
        <f>IF(ISERROR('4.エネルギー使用量'!$O$80/1000*$C$5*$C$7),"",ROUND('4.エネルギー使用量'!$O$80/1000*$C$5*$C$7,2))</f>
        <v/>
      </c>
      <c r="K53" s="13" t="str">
        <f>IF(ISERROR('4.エネルギー使用量'!$O$80/1000*$C$5*$E$5),"",ROUND('4.エネルギー使用量'!$O$80/1000*$C$5*$E$5,2))</f>
        <v/>
      </c>
      <c r="N53" s="85"/>
      <c r="O53" s="39"/>
      <c r="P53" s="245" t="s">
        <v>162</v>
      </c>
      <c r="Q53" s="246"/>
      <c r="R53" s="246"/>
      <c r="S53" s="246"/>
      <c r="T53" s="246"/>
      <c r="U53" s="246"/>
      <c r="V53" s="246"/>
      <c r="W53" s="246"/>
      <c r="X53" s="246"/>
      <c r="Y53" s="246"/>
      <c r="Z53" s="246"/>
      <c r="AA53" s="246"/>
      <c r="AB53" s="246"/>
      <c r="AC53" s="246"/>
      <c r="AD53" s="247"/>
    </row>
    <row r="54" spans="6:30" x14ac:dyDescent="0.45">
      <c r="I54" s="88" t="s">
        <v>188</v>
      </c>
      <c r="J54" s="19" t="str">
        <f>IF(ISERROR('4.エネルギー使用量'!$O$80/1000*$C$6*$C$7),"",ROUND('4.エネルギー使用量'!$O$80/1000*$C$6*$C$7,2))</f>
        <v/>
      </c>
      <c r="K54" s="13" t="str">
        <f>IF(ISERROR('4.エネルギー使用量'!$O$80/1000*$C$6*$E$6),"",ROUND('4.エネルギー使用量'!$O$80/1000*$C$6*$E$6,2))</f>
        <v/>
      </c>
      <c r="N54" s="85"/>
      <c r="O54" s="39"/>
      <c r="P54" s="248" t="s">
        <v>165</v>
      </c>
      <c r="Q54" s="248"/>
      <c r="R54" s="248"/>
      <c r="S54" s="248" t="s">
        <v>164</v>
      </c>
      <c r="T54" s="248"/>
      <c r="U54" s="248"/>
      <c r="V54" s="248" t="s">
        <v>109</v>
      </c>
      <c r="W54" s="248"/>
      <c r="X54" s="248"/>
      <c r="Y54" s="248" t="s">
        <v>110</v>
      </c>
      <c r="Z54" s="248"/>
      <c r="AA54" s="248"/>
      <c r="AB54" s="248" t="s">
        <v>111</v>
      </c>
      <c r="AC54" s="248"/>
      <c r="AD54" s="248"/>
    </row>
    <row r="55" spans="6:30" x14ac:dyDescent="0.45">
      <c r="I55" s="88" t="s">
        <v>182</v>
      </c>
      <c r="J55" s="14" t="str">
        <f>IF(ISERROR('4.エネルギー使用量'!$O$80/1000*$C$18*$C$7),"",ROUND('4.エネルギー使用量'!$O$80/1000*$C$18*$C$7,2))</f>
        <v/>
      </c>
      <c r="K55" s="13" t="str">
        <f>IF(ISERROR('4.エネルギー使用量'!$O$80/1000*$C$18*$E$18*$E$7),"",ROUND('4.エネルギー使用量'!$O$80/1000*$C$18*$E$18*$E$7,2))</f>
        <v/>
      </c>
      <c r="N55" s="85"/>
      <c r="O55" s="39"/>
      <c r="P55" s="49" t="s">
        <v>93</v>
      </c>
      <c r="Q55" s="49" t="s">
        <v>92</v>
      </c>
      <c r="R55" s="49" t="s">
        <v>91</v>
      </c>
      <c r="S55" s="49" t="s">
        <v>93</v>
      </c>
      <c r="T55" s="49" t="s">
        <v>92</v>
      </c>
      <c r="U55" s="49" t="s">
        <v>91</v>
      </c>
      <c r="V55" s="49" t="s">
        <v>93</v>
      </c>
      <c r="W55" s="49" t="s">
        <v>92</v>
      </c>
      <c r="X55" s="49" t="s">
        <v>91</v>
      </c>
      <c r="Y55" s="49" t="s">
        <v>93</v>
      </c>
      <c r="Z55" s="49" t="s">
        <v>92</v>
      </c>
      <c r="AA55" s="49" t="s">
        <v>91</v>
      </c>
      <c r="AB55" s="49" t="s">
        <v>93</v>
      </c>
      <c r="AC55" s="49" t="s">
        <v>92</v>
      </c>
      <c r="AD55" s="49" t="s">
        <v>91</v>
      </c>
    </row>
    <row r="56" spans="6:30" ht="19.5" x14ac:dyDescent="0.45">
      <c r="I56" s="88" t="s">
        <v>183</v>
      </c>
      <c r="J56" s="14" t="str">
        <f>IF(ISERROR('4.エネルギー使用量'!$O$80/1000*$C$19*$C$7),"",ROUND('4.エネルギー使用量'!$O$80/1000*$C$19*$C$7,2))</f>
        <v/>
      </c>
      <c r="K56" s="13" t="str">
        <f>IF(ISERROR('4.エネルギー使用量'!$O$80/1000*$C$19*$E$19*$E$7),"",ROUND('4.エネルギー使用量'!$O$80/1000*$C$19*$E$19*$E$7,2))</f>
        <v/>
      </c>
      <c r="N56" s="86" t="s">
        <v>141</v>
      </c>
      <c r="O56" s="39" t="str">
        <f>IF(AND('2-3.設備仕様入力'!D$145="電気",'2-3.設備仕様入力'!D$151="kW"),1,IF(AND('2-3.設備仕様入力'!D$145="都市ガス",'2-3.設備仕様入力'!D$151="kW"),2,IF(AND('2-3.設備仕様入力'!D$145="都市ガス",'2-3.設備仕様入力'!D$151="ｍ3N/h"),3,IF(AND('2-3.設備仕様入力'!D$145="LPG",'2-3.設備仕様入力'!D$151="kW"),4,IF(AND('2-3.設備仕様入力'!D$145="LPG",'2-3.設備仕様入力'!D$151="kg/h"),5,"")))))</f>
        <v/>
      </c>
      <c r="P56" s="46" t="str">
        <f>IF(OR('2-3.設備仕様入力'!$D$143="電気式パッケージ形空調機",'2-3.設備仕様入力'!$D$143="ルームエアコン"),ROUND('2-3.設備仕様入力'!$D$149*'2-3.設備仕様入力'!$D$144*計算!$C$3*VLOOKUP('2-3.設備仕様入力'!$D$146,計算!$N$16:$P$26,2,FALSE)/1000,1),"")</f>
        <v/>
      </c>
      <c r="Q56" s="46" t="str">
        <f>IF(OR('2-3.設備仕様入力'!$D$143="電気式パッケージ形空調機",'2-3.設備仕様入力'!$D$143="ルームエアコン"),ROUND('2-3.設備仕様入力'!$D$150*'2-3.設備仕様入力'!$D$144*計算!$C$3*VLOOKUP('2-3.設備仕様入力'!$D$146,計算!$N$16:$P$26,3,FALSE)/1000,1),"")</f>
        <v/>
      </c>
      <c r="R56" s="46" t="str">
        <f t="shared" ref="R56:R65" si="10">IF(AND(P56="",Q56=""),"",P56+Q56)</f>
        <v/>
      </c>
      <c r="S56" s="46" t="str">
        <f>IF('2-3.設備仕様入力'!$D$143="ガスヒートポンプ式空調機",IF('2-3.設備仕様入力'!$D$145="都市ガス",IF('2-3.設備仕様入力'!$D$151="kW",ROUND('2-3.設備仕様入力'!$D$144*'2-3.設備仕様入力'!$D$149*3.6/1000*VLOOKUP('2-3.設備仕様入力'!$D$146,計算!$N$16:$P$26,2,FALSE),1),""),""),"")</f>
        <v/>
      </c>
      <c r="T56" s="46" t="str">
        <f>IF('2-3.設備仕様入力'!$D$143="ガスヒートポンプ式空調機",IF('2-3.設備仕様入力'!$D$145="都市ガス",IF('2-3.設備仕様入力'!$D$151="kW",ROUND('2-3.設備仕様入力'!$D$144*'2-3.設備仕様入力'!$D$150*3.6/1000*VLOOKUP('2-3.設備仕様入力'!$D$146,計算!$N$16:$P$26,3,FALSE),1),""),""),"")</f>
        <v/>
      </c>
      <c r="U56" s="46" t="str">
        <f t="shared" ref="U56:U65" si="11">IF(AND(S56="",T56=""),"",S56+T56)</f>
        <v/>
      </c>
      <c r="V56" s="46" t="str">
        <f>IF('2-3.設備仕様入力'!$D$143="ガスヒートポンプ式空調機",IF('2-3.設備仕様入力'!$D$151="ｍ3N/h",ROUND('2-3.設備仕様入力'!$D$144*'2-3.設備仕様入力'!$D$149*計算!$C$10/1000*VLOOKUP('2-3.設備仕様入力'!$D$146,計算!$N$16:$P$26,2,FALSE),1),""),"")</f>
        <v/>
      </c>
      <c r="W56" s="46" t="str">
        <f>IF('2-3.設備仕様入力'!$D$143="ガスヒートポンプ式空調機",IF('2-3.設備仕様入力'!$D$151="ｍ3N/h",ROUND('2-3.設備仕様入力'!$D$144*'2-3.設備仕様入力'!$D$150*計算!$C$10/1000*VLOOKUP('2-3.設備仕様入力'!$D$146,計算!$N$16:$P$26,3,FALSE),1),""),"")</f>
        <v/>
      </c>
      <c r="X56" s="46" t="str">
        <f t="shared" ref="X56:X65" si="12">IF(AND(V56="",W56=""),"",V56+W56)</f>
        <v/>
      </c>
      <c r="Y56" s="46" t="str">
        <f>IF('2-3.設備仕様入力'!$D$143="ガスヒートポンプ式空調機",IF('2-3.設備仕様入力'!$D$145="LPG",IF('2-3.設備仕様入力'!$D$151="kW",ROUND('2-3.設備仕様入力'!$D$144*'2-3.設備仕様入力'!$D$149*3.6/1000*VLOOKUP('2-3.設備仕様入力'!$D$146,計算!$N$16:$P$26,2,FALSE),1),""),""),"")</f>
        <v/>
      </c>
      <c r="Z56" s="46" t="str">
        <f>IF('2-3.設備仕様入力'!$D$143="ガスヒートポンプ式空調機",IF('2-3.設備仕様入力'!$D$145="LPG",IF('2-3.設備仕様入力'!$D$151="kW",ROUND('2-3.設備仕様入力'!$D$144*'2-3.設備仕様入力'!$D$150*3.6/1000*VLOOKUP('2-3.設備仕様入力'!$D$146,計算!$N$16:$P$26,3,FALSE),1),""),""),"")</f>
        <v/>
      </c>
      <c r="AA56" s="46" t="str">
        <f t="shared" ref="AA56:AA65" si="13">IF(AND(Y56="",Z56=""),"",Y56+Z56)</f>
        <v/>
      </c>
      <c r="AB56" s="46" t="str">
        <f>IF('2-3.設備仕様入力'!$D$143="ガスヒートポンプ式空調機",IF('2-3.設備仕様入力'!$D$145="LPG",IF('2-3.設備仕様入力'!$D$151="kg/h",ROUND('2-3.設備仕様入力'!$D$144*'2-3.設備仕様入力'!$D$149*計算!$C$11/1000*VLOOKUP('2-3.設備仕様入力'!$D$146,計算!$N$16:$P$26,2,FALSE),1),""),""),"")</f>
        <v/>
      </c>
      <c r="AC56" s="46" t="str">
        <f>IF('2-3.設備仕様入力'!$D$143="ガスヒートポンプ式空調機",IF('2-3.設備仕様入力'!$D$145="LPG",IF('2-3.設備仕様入力'!$D$151="kg/h",ROUND('2-3.設備仕様入力'!$D$144*'2-3.設備仕様入力'!$D$150*計算!$C$11/1000*VLOOKUP('2-3.設備仕様入力'!$D$146,計算!$N$16:$P$26,3,FALSE),1),""),""),"")</f>
        <v/>
      </c>
      <c r="AD56" s="46" t="str">
        <f t="shared" ref="AD56:AD65" si="14">IF(AND(AB56="",AC56=""),"",AB56+AC56)</f>
        <v/>
      </c>
    </row>
    <row r="57" spans="6:30" ht="19.5" x14ac:dyDescent="0.45">
      <c r="I57" s="88" t="s">
        <v>184</v>
      </c>
      <c r="J57" s="14" t="str">
        <f>IF(ISERROR('4.エネルギー使用量'!$O$80/1000*$C$20*$C$7),"",ROUND('4.エネルギー使用量'!$O$80/1000*$C$20*$C$7,2))</f>
        <v/>
      </c>
      <c r="K57" s="13" t="str">
        <f>IF(ISERROR('4.エネルギー使用量'!$O$80/1000*$C$20*$E$20*$E$7),"",ROUND('4.エネルギー使用量'!$O$80/1000*$C$20*$E$20*$E$7,2))</f>
        <v/>
      </c>
      <c r="N57" s="86" t="s">
        <v>112</v>
      </c>
      <c r="O57" s="39" t="str">
        <f>IF(AND('2-3.設備仕様入力'!E$145="電気",'2-3.設備仕様入力'!E$151="kW"),1,IF(AND('2-3.設備仕様入力'!E$145="都市ガス",'2-3.設備仕様入力'!E$151="kW"),2,IF(AND('2-3.設備仕様入力'!E$145="都市ガス",'2-3.設備仕様入力'!E$151="ｍ3N/h"),3,IF(AND('2-3.設備仕様入力'!E$145="LPG",'2-3.設備仕様入力'!E$151="kW"),4,IF(AND('2-3.設備仕様入力'!E$145="LPG",'2-3.設備仕様入力'!E$151="kg/h"),5,"")))))</f>
        <v/>
      </c>
      <c r="P57" s="46" t="str">
        <f>IF(OR('2-3.設備仕様入力'!$E$143="電気式パッケージ形空調機",'2-3.設備仕様入力'!$E$143="ルームエアコン"),ROUND('2-3.設備仕様入力'!$E$149*'2-3.設備仕様入力'!$E$144*計算!$C$3*VLOOKUP('2-3.設備仕様入力'!$E$146,計算!$N$16:$P$26,2,FALSE)/1000,1),"")</f>
        <v/>
      </c>
      <c r="Q57" s="46" t="str">
        <f>IF(OR('2-3.設備仕様入力'!$E$143="電気式パッケージ形空調機",'2-3.設備仕様入力'!$E$143="ルームエアコン"),ROUND('2-3.設備仕様入力'!$E$150*'2-3.設備仕様入力'!$E$144*計算!$C$3*VLOOKUP('2-3.設備仕様入力'!$E$146,計算!$N$16:$P$26,3,FALSE)/1000,1),"")</f>
        <v/>
      </c>
      <c r="R57" s="46" t="str">
        <f t="shared" si="10"/>
        <v/>
      </c>
      <c r="S57" s="46" t="str">
        <f>IF('2-3.設備仕様入力'!$E$143="ガスヒートポンプ式空調機",IF('2-3.設備仕様入力'!$E$145="都市ガス",IF('2-3.設備仕様入力'!$E$151="kW",ROUND('2-3.設備仕様入力'!$E$144*'2-3.設備仕様入力'!$E$149*3.6/1000*VLOOKUP('2-3.設備仕様入力'!$E$146,計算!$N$16:$P$26,2,FALSE),1),""),""),"")</f>
        <v/>
      </c>
      <c r="T57" s="46" t="str">
        <f>IF('2-3.設備仕様入力'!$E$143="ガスヒートポンプ式空調機",IF('2-3.設備仕様入力'!$E$145="都市ガス",IF('2-3.設備仕様入力'!$E$151="kW",ROUND('2-3.設備仕様入力'!$E$144*'2-3.設備仕様入力'!$E$150*3.6/1000*VLOOKUP('2-3.設備仕様入力'!$E$146,計算!$N$16:$P$26,3,FALSE),1),""),""),"")</f>
        <v/>
      </c>
      <c r="U57" s="46" t="str">
        <f t="shared" si="11"/>
        <v/>
      </c>
      <c r="V57" s="46" t="str">
        <f>IF('2-3.設備仕様入力'!$E$143="ガスヒートポンプ式空調機",IF('2-3.設備仕様入力'!$E$151="ｍ3N/h",ROUND('2-3.設備仕様入力'!$E$144*'2-3.設備仕様入力'!$E$149*計算!$C$10/1000*VLOOKUP('2-3.設備仕様入力'!$E$146,計算!$N$16:$P$26,2,FALSE),1),""),"")</f>
        <v/>
      </c>
      <c r="W57" s="46" t="str">
        <f>IF('2-3.設備仕様入力'!$E$143="ガスヒートポンプ式空調機",IF('2-3.設備仕様入力'!$E$151="ｍ3N/h",ROUND('2-3.設備仕様入力'!$E$144*'2-3.設備仕様入力'!$E$150*計算!$C$10/1000*VLOOKUP('2-3.設備仕様入力'!$E$146,計算!$N$16:$P$26,3,FALSE),1),""),"")</f>
        <v/>
      </c>
      <c r="X57" s="46" t="str">
        <f t="shared" si="12"/>
        <v/>
      </c>
      <c r="Y57" s="46" t="str">
        <f>IF('2-3.設備仕様入力'!$E$143="ガスヒートポンプ式空調機",IF('2-3.設備仕様入力'!$E$145="LPG",IF('2-3.設備仕様入力'!$E$151="kW",ROUND('2-3.設備仕様入力'!$E$144*'2-3.設備仕様入力'!$E$149*3.6/1000*VLOOKUP('2-3.設備仕様入力'!$E$146,計算!$N$16:$P$26,2,FALSE),1),""),""),"")</f>
        <v/>
      </c>
      <c r="Z57" s="46" t="str">
        <f>IF('2-3.設備仕様入力'!$E$143="ガスヒートポンプ式空調機",IF('2-3.設備仕様入力'!$E$145="LPG",IF('2-3.設備仕様入力'!$E$151="kW",ROUND('2-3.設備仕様入力'!$E$144*'2-3.設備仕様入力'!$E$150*3.6/1000*VLOOKUP('2-3.設備仕様入力'!$E$146,計算!$N$16:$P$26,3,FALSE),1),""),""),"")</f>
        <v/>
      </c>
      <c r="AA57" s="46" t="str">
        <f t="shared" si="13"/>
        <v/>
      </c>
      <c r="AB57" s="46" t="str">
        <f>IF('2-3.設備仕様入力'!$E$143="ガスヒートポンプ式空調機",IF('2-3.設備仕様入力'!$E$145="LPG",IF('2-3.設備仕様入力'!$E$151="kg/h",ROUND('2-3.設備仕様入力'!$E$144*'2-3.設備仕様入力'!$E$149*計算!$C$11/1000*VLOOKUP('2-3.設備仕様入力'!$E$146,計算!$N$16:$P$26,2,FALSE),1),""),""),"")</f>
        <v/>
      </c>
      <c r="AC57" s="46" t="str">
        <f>IF('2-3.設備仕様入力'!$E$143="ガスヒートポンプ式空調機",IF('2-3.設備仕様入力'!$E$145="LPG",IF('2-3.設備仕様入力'!$E$151="kg/h",ROUND('2-3.設備仕様入力'!$E$144*'2-3.設備仕様入力'!$E$150*計算!$C$11/1000*VLOOKUP('2-3.設備仕様入力'!$E$146,計算!$N$16:$P$26,3,FALSE),1),""),""),"")</f>
        <v/>
      </c>
      <c r="AD57" s="46" t="str">
        <f t="shared" si="14"/>
        <v/>
      </c>
    </row>
    <row r="58" spans="6:30" ht="20.25" thickBot="1" x14ac:dyDescent="0.5">
      <c r="I58" s="88" t="s">
        <v>185</v>
      </c>
      <c r="J58" s="11" t="str">
        <f>IF(ISERROR('4.エネルギー使用量'!$O$80/1000*$C$21*$C$7),"",ROUND('4.エネルギー使用量'!$O$80/1000*$C$21*$C$7,2))</f>
        <v/>
      </c>
      <c r="K58" s="10" t="str">
        <f>IF(ISERROR('4.エネルギー使用量'!$O$80/1000*$C$21*$E$21*$E$7),"",ROUND('4.エネルギー使用量'!$O$80/1000*$C$21*$E$21*$E$7,2))</f>
        <v/>
      </c>
      <c r="N58" s="86" t="s">
        <v>113</v>
      </c>
      <c r="O58" s="39" t="str">
        <f>IF(AND('2-3.設備仕様入力'!F$145="電気",'2-3.設備仕様入力'!F$151="kW"),1,IF(AND('2-3.設備仕様入力'!F$145="都市ガス",'2-3.設備仕様入力'!F$151="kW"),2,IF(AND('2-3.設備仕様入力'!F$145="都市ガス",'2-3.設備仕様入力'!F$151="ｍ3N/h"),3,IF(AND('2-3.設備仕様入力'!F$145="LPG",'2-3.設備仕様入力'!F$151="kW"),4,IF(AND('2-3.設備仕様入力'!F$145="LPG",'2-3.設備仕様入力'!F$151="kg/h"),5,"")))))</f>
        <v/>
      </c>
      <c r="P58" s="46" t="str">
        <f>IF(OR('2-3.設備仕様入力'!$F$143="電気式パッケージ形空調機",'2-3.設備仕様入力'!$F$143="ルームエアコン"),ROUND('2-3.設備仕様入力'!$F$149*'2-3.設備仕様入力'!$F$144*計算!$C$3*VLOOKUP('2-3.設備仕様入力'!$F$146,計算!$N$16:$P$26,2,FALSE)/1000,1),"")</f>
        <v/>
      </c>
      <c r="Q58" s="46" t="str">
        <f>IF(OR('2-3.設備仕様入力'!$F$143="電気式パッケージ形空調機",'2-3.設備仕様入力'!$F$143="ルームエアコン"),ROUND('2-3.設備仕様入力'!$F$150*'2-3.設備仕様入力'!$F$144*計算!$C$3*VLOOKUP('2-3.設備仕様入力'!$F$146,計算!$N$16:$P$26,3,FALSE)/1000,1),"")</f>
        <v/>
      </c>
      <c r="R58" s="46" t="str">
        <f t="shared" si="10"/>
        <v/>
      </c>
      <c r="S58" s="46" t="str">
        <f>IF('2-3.設備仕様入力'!$F$143="ガスヒートポンプ式空調機",IF('2-3.設備仕様入力'!$F$145="都市ガス",IF('2-3.設備仕様入力'!$F$151="kW",ROUND('2-3.設備仕様入力'!$F$144*'2-3.設備仕様入力'!$F$149*3.6/1000*VLOOKUP('2-3.設備仕様入力'!$F$146,計算!$N$16:$P$26,2,FALSE),1),""),""),"")</f>
        <v/>
      </c>
      <c r="T58" s="46" t="str">
        <f>IF('2-3.設備仕様入力'!$F$143="ガスヒートポンプ式空調機",IF('2-3.設備仕様入力'!$F$145="都市ガス",IF('2-3.設備仕様入力'!$F$151="kW",ROUND('2-3.設備仕様入力'!$F$144*'2-3.設備仕様入力'!$F$150*3.6/1000*VLOOKUP('2-3.設備仕様入力'!$F$146,計算!$N$16:$P$26,3,FALSE),1),""),""),"")</f>
        <v/>
      </c>
      <c r="U58" s="46" t="str">
        <f t="shared" si="11"/>
        <v/>
      </c>
      <c r="V58" s="46" t="str">
        <f>IF('2-3.設備仕様入力'!$F$143="ガスヒートポンプ式空調機",IF('2-3.設備仕様入力'!$F$151="ｍ3N/h",ROUND('2-3.設備仕様入力'!$F$144*'2-3.設備仕様入力'!$F$149*計算!$C$10/1000*VLOOKUP('2-3.設備仕様入力'!$F$146,計算!$N$16:$P$26,2,FALSE),1),""),"")</f>
        <v/>
      </c>
      <c r="W58" s="46" t="str">
        <f>IF('2-3.設備仕様入力'!$F$143="ガスヒートポンプ式空調機",IF('2-3.設備仕様入力'!$F$151="ｍ3N/h",ROUND('2-3.設備仕様入力'!$F$144*'2-3.設備仕様入力'!$F$150*計算!$C$10/1000*VLOOKUP('2-3.設備仕様入力'!$F$146,計算!$N$16:$P$26,3,FALSE),1),""),"")</f>
        <v/>
      </c>
      <c r="X58" s="46" t="str">
        <f t="shared" si="12"/>
        <v/>
      </c>
      <c r="Y58" s="46" t="str">
        <f>IF('2-3.設備仕様入力'!$F$143="ガスヒートポンプ式空調機",IF('2-3.設備仕様入力'!$F$145="LPG",IF('2-3.設備仕様入力'!$F$151="kW",ROUND('2-3.設備仕様入力'!$F$144*'2-3.設備仕様入力'!$F$149*3.6/1000*VLOOKUP('2-3.設備仕様入力'!$F$146,計算!$N$16:$P$26,2,FALSE),1),""),""),"")</f>
        <v/>
      </c>
      <c r="Z58" s="46" t="str">
        <f>IF('2-3.設備仕様入力'!$F$143="ガスヒートポンプ式空調機",IF('2-3.設備仕様入力'!$F$145="LPG",IF('2-3.設備仕様入力'!$F$151="kW",ROUND('2-3.設備仕様入力'!$F$144*'2-3.設備仕様入力'!$F$150*3.6/1000*VLOOKUP('2-3.設備仕様入力'!$F$146,計算!$N$16:$P$26,3,FALSE),1),""),""),"")</f>
        <v/>
      </c>
      <c r="AA58" s="46" t="str">
        <f t="shared" si="13"/>
        <v/>
      </c>
      <c r="AB58" s="46" t="str">
        <f>IF('2-3.設備仕様入力'!$F$143="ガスヒートポンプ式空調機",IF('2-3.設備仕様入力'!$F$145="LPG",IF('2-3.設備仕様入力'!$F$151="kg/h",ROUND('2-3.設備仕様入力'!$F$144*'2-3.設備仕様入力'!$F$149*計算!$C$11/1000*VLOOKUP('2-3.設備仕様入力'!$F$146,計算!$N$16:$P$26,2,FALSE),1),""),""),"")</f>
        <v/>
      </c>
      <c r="AC58" s="46" t="str">
        <f>IF('2-3.設備仕様入力'!$F$143="ガスヒートポンプ式空調機",IF('2-3.設備仕様入力'!$F$145="LPG",IF('2-3.設備仕様入力'!$F$151="kg/h",ROUND('2-3.設備仕様入力'!$F$144*'2-3.設備仕様入力'!$F$150*計算!$C$11/1000*VLOOKUP('2-3.設備仕様入力'!$F$146,計算!$N$16:$P$26,3,FALSE),1),""),""),"")</f>
        <v/>
      </c>
      <c r="AD58" s="46" t="str">
        <f t="shared" si="14"/>
        <v/>
      </c>
    </row>
    <row r="59" spans="6:30" ht="19.5" x14ac:dyDescent="0.45">
      <c r="I59" s="88"/>
      <c r="J59" s="155"/>
      <c r="K59" s="155"/>
      <c r="N59" s="86" t="s">
        <v>114</v>
      </c>
      <c r="O59" s="39" t="str">
        <f>IF(AND('2-3.設備仕様入力'!G$145="電気",'2-3.設備仕様入力'!G$151="kW"),1,IF(AND('2-3.設備仕様入力'!G$145="都市ガス",'2-3.設備仕様入力'!G$151="kW"),2,IF(AND('2-3.設備仕様入力'!G$145="都市ガス",'2-3.設備仕様入力'!G$151="ｍ3N/h"),3,IF(AND('2-3.設備仕様入力'!G$145="LPG",'2-3.設備仕様入力'!G$151="kW"),4,IF(AND('2-3.設備仕様入力'!G$145="LPG",'2-3.設備仕様入力'!G$151="kg/h"),5,"")))))</f>
        <v/>
      </c>
      <c r="P59" s="46" t="str">
        <f>IF(OR('2-3.設備仕様入力'!$G$143="電気式パッケージ形空調機",'2-3.設備仕様入力'!$G$143="ルームエアコン"),ROUND('2-3.設備仕様入力'!$G$149*'2-3.設備仕様入力'!$G$144*計算!$C$3*VLOOKUP('2-3.設備仕様入力'!$G$146,計算!$N$16:$P$26,2,FALSE)/1000,1),"")</f>
        <v/>
      </c>
      <c r="Q59" s="46" t="str">
        <f>IF(OR('2-3.設備仕様入力'!$G$143="電気式パッケージ形空調機",'2-3.設備仕様入力'!$G$143="ルームエアコン"),ROUND('2-3.設備仕様入力'!$G$150*'2-3.設備仕様入力'!$G$144*計算!$C$3*VLOOKUP('2-3.設備仕様入力'!$G$146,計算!$N$16:$P$26,3,FALSE)/1000,1),"")</f>
        <v/>
      </c>
      <c r="R59" s="46" t="str">
        <f t="shared" si="10"/>
        <v/>
      </c>
      <c r="S59" s="46" t="str">
        <f>IF('2-3.設備仕様入力'!$G$143="ガスヒートポンプ式空調機",IF('2-3.設備仕様入力'!$G$145="都市ガス",IF('2-3.設備仕様入力'!$G$151="kW",ROUND('2-3.設備仕様入力'!$G$144*'2-3.設備仕様入力'!$G$149*3.6/1000*VLOOKUP('2-3.設備仕様入力'!$G$146,計算!$N$16:$P$26,2,FALSE),1),""),""),"")</f>
        <v/>
      </c>
      <c r="T59" s="46" t="str">
        <f>IF('2-3.設備仕様入力'!$G$143="ガスヒートポンプ式空調機",IF('2-3.設備仕様入力'!$G$145="都市ガス",IF('2-3.設備仕様入力'!$G$151="kW",ROUND('2-3.設備仕様入力'!$G$144*'2-3.設備仕様入力'!$G$150*3.6/1000*VLOOKUP('2-3.設備仕様入力'!$G$146,計算!$N$16:$P$26,3,FALSE),1),""),""),"")</f>
        <v/>
      </c>
      <c r="U59" s="46" t="str">
        <f t="shared" si="11"/>
        <v/>
      </c>
      <c r="V59" s="46" t="str">
        <f>IF('2-3.設備仕様入力'!$G$143="ガスヒートポンプ式空調機",IF('2-3.設備仕様入力'!$G$151="ｍ3N/h",ROUND('2-3.設備仕様入力'!$G$144*'2-3.設備仕様入力'!$G$149*計算!$C$10/1000*VLOOKUP('2-3.設備仕様入力'!$G$146,計算!$N$16:$P$26,2,FALSE),1),""),"")</f>
        <v/>
      </c>
      <c r="W59" s="46" t="str">
        <f>IF('2-3.設備仕様入力'!$G$143="ガスヒートポンプ式空調機",IF('2-3.設備仕様入力'!$G$151="ｍ3N/h",ROUND('2-3.設備仕様入力'!$G$144*'2-3.設備仕様入力'!$G$150*計算!$C$10/1000*VLOOKUP('2-3.設備仕様入力'!$G$146,計算!$N$16:$P$26,3,FALSE),1),""),"")</f>
        <v/>
      </c>
      <c r="X59" s="46" t="str">
        <f t="shared" si="12"/>
        <v/>
      </c>
      <c r="Y59" s="46" t="str">
        <f>IF('2-3.設備仕様入力'!$G$143="ガスヒートポンプ式空調機",IF('2-3.設備仕様入力'!$G$145="LPG",IF('2-3.設備仕様入力'!$G$151="kW",ROUND('2-3.設備仕様入力'!$G$144*'2-3.設備仕様入力'!$G$149*3.6/1000*VLOOKUP('2-3.設備仕様入力'!$G$146,計算!$N$16:$P$26,2,FALSE),1),""),""),"")</f>
        <v/>
      </c>
      <c r="Z59" s="46" t="str">
        <f>IF('2-3.設備仕様入力'!$G$143="ガスヒートポンプ式空調機",IF('2-3.設備仕様入力'!$G$145="LPG",IF('2-3.設備仕様入力'!$G$151="kW",ROUND('2-3.設備仕様入力'!$G$144*'2-3.設備仕様入力'!$G$150*3.6/1000*VLOOKUP('2-3.設備仕様入力'!$G$146,計算!$N$16:$P$26,3,FALSE),1),""),""),"")</f>
        <v/>
      </c>
      <c r="AA59" s="46" t="str">
        <f t="shared" si="13"/>
        <v/>
      </c>
      <c r="AB59" s="46" t="str">
        <f>IF('2-3.設備仕様入力'!$G$143="ガスヒートポンプ式空調機",IF('2-3.設備仕様入力'!$G$145="LPG",IF('2-3.設備仕様入力'!$G$151="kg/h",ROUND('2-3.設備仕様入力'!$G$144*'2-3.設備仕様入力'!$G$149*計算!$C$11/1000*VLOOKUP('2-3.設備仕様入力'!$G$146,計算!$N$16:$P$26,2,FALSE),1),""),""),"")</f>
        <v/>
      </c>
      <c r="AC59" s="46" t="str">
        <f>IF('2-3.設備仕様入力'!$G$143="ガスヒートポンプ式空調機",IF('2-3.設備仕様入力'!$G$145="LPG",IF('2-3.設備仕様入力'!$G$151="kg/h",ROUND('2-3.設備仕様入力'!$G$144*'2-3.設備仕様入力'!$G$150*計算!$C$11/1000*VLOOKUP('2-3.設備仕様入力'!$G$146,計算!$N$16:$P$26,3,FALSE),1),""),""),"")</f>
        <v/>
      </c>
      <c r="AD59" s="46" t="str">
        <f t="shared" si="14"/>
        <v/>
      </c>
    </row>
    <row r="60" spans="6:30" ht="19.5" x14ac:dyDescent="0.45">
      <c r="N60" s="86" t="s">
        <v>115</v>
      </c>
      <c r="O60" s="39" t="str">
        <f>IF(AND('2-3.設備仕様入力'!H$145="電気",'2-3.設備仕様入力'!H$151="kW"),1,IF(AND('2-3.設備仕様入力'!H$145="都市ガス",'2-3.設備仕様入力'!H$151="kW"),2,IF(AND('2-3.設備仕様入力'!H$145="都市ガス",'2-3.設備仕様入力'!H$151="ｍ3N/h"),3,IF(AND('2-3.設備仕様入力'!H$145="LPG",'2-3.設備仕様入力'!H$151="kW"),4,IF(AND('2-3.設備仕様入力'!H$145="LPG",'2-3.設備仕様入力'!H$151="kg/h"),5,"")))))</f>
        <v/>
      </c>
      <c r="P60" s="46" t="str">
        <f>IF(OR('2-3.設備仕様入力'!$H$143="電気式パッケージ形空調機",'2-3.設備仕様入力'!$H$143="ルームエアコン"),ROUND('2-3.設備仕様入力'!$H$149*'2-3.設備仕様入力'!$H$144*計算!$C$3*VLOOKUP('2-3.設備仕様入力'!$H$146,計算!$N$16:$P$26,2,FALSE)/1000,1),"")</f>
        <v/>
      </c>
      <c r="Q60" s="46" t="str">
        <f>IF(OR('2-3.設備仕様入力'!$H$143="電気式パッケージ形空調機",'2-3.設備仕様入力'!$H$143="ルームエアコン"),ROUND('2-3.設備仕様入力'!$H$150*'2-3.設備仕様入力'!$H$144*計算!$C$3*VLOOKUP('2-3.設備仕様入力'!$H$146,計算!$N$16:$P$26,3,FALSE)/1000,1),"")</f>
        <v/>
      </c>
      <c r="R60" s="46" t="str">
        <f t="shared" si="10"/>
        <v/>
      </c>
      <c r="S60" s="46" t="str">
        <f>IF('2-3.設備仕様入力'!$H$143="ガスヒートポンプ式空調機",IF('2-3.設備仕様入力'!$H$145="都市ガス",IF('2-3.設備仕様入力'!$H$151="kW",ROUND('2-3.設備仕様入力'!$H$144*'2-3.設備仕様入力'!$H$149*3.6/1000*VLOOKUP('2-3.設備仕様入力'!$H$146,計算!$N$16:$P$26,2,FALSE),1),""),""),"")</f>
        <v/>
      </c>
      <c r="T60" s="46" t="str">
        <f>IF('2-3.設備仕様入力'!$H$143="ガスヒートポンプ式空調機",IF('2-3.設備仕様入力'!$H$145="都市ガス",IF('2-3.設備仕様入力'!$H$151="kW",ROUND('2-3.設備仕様入力'!$H$144*'2-3.設備仕様入力'!$H$150*3.6/1000*VLOOKUP('2-3.設備仕様入力'!$H$146,計算!$N$16:$P$26,3,FALSE),1),""),""),"")</f>
        <v/>
      </c>
      <c r="U60" s="46" t="str">
        <f t="shared" si="11"/>
        <v/>
      </c>
      <c r="V60" s="46" t="str">
        <f>IF('2-3.設備仕様入力'!$H$143="ガスヒートポンプ式空調機",IF('2-3.設備仕様入力'!$H$151="ｍ3N/h",ROUND('2-3.設備仕様入力'!$H$144*'2-3.設備仕様入力'!$H$149*計算!$C$10/1000*VLOOKUP('2-3.設備仕様入力'!$H$146,計算!$N$16:$P$26,2,FALSE),1),""),"")</f>
        <v/>
      </c>
      <c r="W60" s="46" t="str">
        <f>IF('2-3.設備仕様入力'!$H$143="ガスヒートポンプ式空調機",IF('2-3.設備仕様入力'!$H$151="ｍ3N/h",ROUND('2-3.設備仕様入力'!$H$144*'2-3.設備仕様入力'!$H$150*計算!$C$10/1000*VLOOKUP('2-3.設備仕様入力'!$H$146,計算!$N$16:$P$26,3,FALSE),1),""),"")</f>
        <v/>
      </c>
      <c r="X60" s="46" t="str">
        <f t="shared" si="12"/>
        <v/>
      </c>
      <c r="Y60" s="46" t="str">
        <f>IF('2-3.設備仕様入力'!$H$143="ガスヒートポンプ式空調機",IF('2-3.設備仕様入力'!$H$145="LPG",IF('2-3.設備仕様入力'!$H$151="kW",ROUND('2-3.設備仕様入力'!$H$144*'2-3.設備仕様入力'!$H$149*3.6/1000*VLOOKUP('2-3.設備仕様入力'!$H$146,計算!$N$16:$P$26,2,FALSE),1),""),""),"")</f>
        <v/>
      </c>
      <c r="Z60" s="46" t="str">
        <f>IF('2-3.設備仕様入力'!$H$143="ガスヒートポンプ式空調機",IF('2-3.設備仕様入力'!$H$145="LPG",IF('2-3.設備仕様入力'!$H$151="kW",ROUND('2-3.設備仕様入力'!$H$144*'2-3.設備仕様入力'!$H$150*3.6/1000*VLOOKUP('2-3.設備仕様入力'!$H$146,計算!$N$16:$P$26,3,FALSE),1),""),""),"")</f>
        <v/>
      </c>
      <c r="AA60" s="46" t="str">
        <f t="shared" si="13"/>
        <v/>
      </c>
      <c r="AB60" s="46" t="str">
        <f>IF('2-3.設備仕様入力'!$H$143="ガスヒートポンプ式空調機",IF('2-3.設備仕様入力'!$H$145="LPG",IF('2-3.設備仕様入力'!$H$151="kg/h",ROUND('2-3.設備仕様入力'!$H$144*'2-3.設備仕様入力'!$H$149*計算!$C$11/1000*VLOOKUP('2-3.設備仕様入力'!$H$146,計算!$N$16:$P$26,2,FALSE),1),""),""),"")</f>
        <v/>
      </c>
      <c r="AC60" s="46" t="str">
        <f>IF('2-3.設備仕様入力'!$H$143="ガスヒートポンプ式空調機",IF('2-3.設備仕様入力'!$H$145="LPG",IF('2-3.設備仕様入力'!$H$151="kg/h",ROUND('2-3.設備仕様入力'!$H$144*'2-3.設備仕様入力'!$H$150*計算!$C$11/1000*VLOOKUP('2-3.設備仕様入力'!$H$146,計算!$N$16:$P$26,3,FALSE),1),""),""),"")</f>
        <v/>
      </c>
      <c r="AD60" s="46" t="str">
        <f t="shared" si="14"/>
        <v/>
      </c>
    </row>
    <row r="61" spans="6:30" ht="19.5" x14ac:dyDescent="0.45">
      <c r="N61" s="86" t="s">
        <v>116</v>
      </c>
      <c r="O61" s="39" t="str">
        <f>IF(AND('2-3.設備仕様入力'!I$145="電気",'2-3.設備仕様入力'!I$151="kW"),1,IF(AND('2-3.設備仕様入力'!I$145="都市ガス",'2-3.設備仕様入力'!I$151="kW"),2,IF(AND('2-3.設備仕様入力'!I$145="都市ガス",'2-3.設備仕様入力'!I$151="ｍ3N/h"),3,IF(AND('2-3.設備仕様入力'!I$145="LPG",'2-3.設備仕様入力'!I$151="kW"),4,IF(AND('2-3.設備仕様入力'!I$145="LPG",'2-3.設備仕様入力'!I$151="kg/h"),5,"")))))</f>
        <v/>
      </c>
      <c r="P61" s="46" t="str">
        <f>IF(OR('2-3.設備仕様入力'!$I$143="電気式パッケージ形空調機",'2-3.設備仕様入力'!$I$143="ルームエアコン"),ROUND('2-3.設備仕様入力'!$I$149*'2-3.設備仕様入力'!$I$144*計算!$C$3*VLOOKUP('2-3.設備仕様入力'!$I$146,計算!$N$16:$P$26,2,FALSE)/1000,1),"")</f>
        <v/>
      </c>
      <c r="Q61" s="46" t="str">
        <f>IF(OR('2-3.設備仕様入力'!$I$143="電気式パッケージ形空調機",'2-3.設備仕様入力'!$I$143="ルームエアコン"),ROUND('2-3.設備仕様入力'!$I$150*'2-3.設備仕様入力'!$I$144*計算!$C$3*VLOOKUP('2-3.設備仕様入力'!$I$146,計算!$N$16:$P$26,3,FALSE)/1000,1),"")</f>
        <v/>
      </c>
      <c r="R61" s="46" t="str">
        <f t="shared" si="10"/>
        <v/>
      </c>
      <c r="S61" s="46" t="str">
        <f>IF('2-3.設備仕様入力'!$I$143="ガスヒートポンプ式空調機",IF('2-3.設備仕様入力'!$I$145="都市ガス",IF('2-3.設備仕様入力'!$I$151="kW",ROUND('2-3.設備仕様入力'!$I$144*'2-3.設備仕様入力'!$I$149*3.6/1000*VLOOKUP('2-3.設備仕様入力'!$I$146,計算!$N$16:$P$26,2,FALSE),1),""),""),"")</f>
        <v/>
      </c>
      <c r="T61" s="46" t="str">
        <f>IF('2-3.設備仕様入力'!$I$143="ガスヒートポンプ式空調機",IF('2-3.設備仕様入力'!$I$145="都市ガス",IF('2-3.設備仕様入力'!$I$151="kW",ROUND('2-3.設備仕様入力'!$I$144*'2-3.設備仕様入力'!$I$150*3.6/1000*VLOOKUP('2-3.設備仕様入力'!$I$146,計算!$N$16:$P$26,3,FALSE),1),""),""),"")</f>
        <v/>
      </c>
      <c r="U61" s="46" t="str">
        <f t="shared" si="11"/>
        <v/>
      </c>
      <c r="V61" s="46" t="str">
        <f>IF('2-3.設備仕様入力'!$I$143="ガスヒートポンプ式空調機",IF('2-3.設備仕様入力'!$I$151="ｍ3N/h",ROUND('2-3.設備仕様入力'!$I$144*'2-3.設備仕様入力'!$I$149*計算!$C$10/1000*VLOOKUP('2-3.設備仕様入力'!$I$146,計算!$N$16:$P$26,2,FALSE),1),""),"")</f>
        <v/>
      </c>
      <c r="W61" s="46" t="str">
        <f>IF('2-3.設備仕様入力'!$I$143="ガスヒートポンプ式空調機",IF('2-3.設備仕様入力'!$I$151="ｍ3N/h",ROUND('2-3.設備仕様入力'!$I$144*'2-3.設備仕様入力'!$I$150*計算!$C$10/1000*VLOOKUP('2-3.設備仕様入力'!$I$146,計算!$N$16:$P$26,3,FALSE),1),""),"")</f>
        <v/>
      </c>
      <c r="X61" s="46" t="str">
        <f t="shared" si="12"/>
        <v/>
      </c>
      <c r="Y61" s="46" t="str">
        <f>IF('2-3.設備仕様入力'!$I$143="ガスヒートポンプ式空調機",IF('2-3.設備仕様入力'!$I$145="LPG",IF('2-3.設備仕様入力'!$I$151="kW",ROUND('2-3.設備仕様入力'!$I$144*'2-3.設備仕様入力'!$I$149*3.6/1000*VLOOKUP('2-3.設備仕様入力'!$I$146,計算!$N$16:$P$26,2,FALSE),1),""),""),"")</f>
        <v/>
      </c>
      <c r="Z61" s="46" t="str">
        <f>IF('2-3.設備仕様入力'!$I$143="ガスヒートポンプ式空調機",IF('2-3.設備仕様入力'!$I$145="LPG",IF('2-3.設備仕様入力'!$I$151="kW",ROUND('2-3.設備仕様入力'!$I$144*'2-3.設備仕様入力'!$I$150*3.6/1000*VLOOKUP('2-3.設備仕様入力'!$I$146,計算!$N$16:$P$26,3,FALSE),1),""),""),"")</f>
        <v/>
      </c>
      <c r="AA61" s="46" t="str">
        <f t="shared" si="13"/>
        <v/>
      </c>
      <c r="AB61" s="46" t="str">
        <f>IF('2-3.設備仕様入力'!$I$143="ガスヒートポンプ式空調機",IF('2-3.設備仕様入力'!$I$145="LPG",IF('2-3.設備仕様入力'!$I$151="kg/h",ROUND('2-3.設備仕様入力'!$I$144*'2-3.設備仕様入力'!$I$149*計算!$C$11/1000*VLOOKUP('2-3.設備仕様入力'!$I$146,計算!$N$16:$P$26,2,FALSE),1),""),""),"")</f>
        <v/>
      </c>
      <c r="AC61" s="46" t="str">
        <f>IF('2-3.設備仕様入力'!$I$143="ガスヒートポンプ式空調機",IF('2-3.設備仕様入力'!$I$145="LPG",IF('2-3.設備仕様入力'!$I$151="kg/h",ROUND('2-3.設備仕様入力'!$I$144*'2-3.設備仕様入力'!$I$150*計算!$C$11/1000*VLOOKUP('2-3.設備仕様入力'!$I$146,計算!$N$16:$P$26,3,FALSE),1),""),""),"")</f>
        <v/>
      </c>
      <c r="AD61" s="46" t="str">
        <f t="shared" si="14"/>
        <v/>
      </c>
    </row>
    <row r="62" spans="6:30" ht="19.5" x14ac:dyDescent="0.45">
      <c r="N62" s="86" t="s">
        <v>117</v>
      </c>
      <c r="O62" s="39" t="str">
        <f>IF(AND('2-3.設備仕様入力'!J$145="電気",'2-3.設備仕様入力'!J$151="kW"),1,IF(AND('2-3.設備仕様入力'!J$145="都市ガス",'2-3.設備仕様入力'!J$151="kW"),2,IF(AND('2-3.設備仕様入力'!J$145="都市ガス",'2-3.設備仕様入力'!J$151="ｍ3N/h"),3,IF(AND('2-3.設備仕様入力'!J$145="LPG",'2-3.設備仕様入力'!J$151="kW"),4,IF(AND('2-3.設備仕様入力'!J$145="LPG",'2-3.設備仕様入力'!J$151="kg/h"),5,"")))))</f>
        <v/>
      </c>
      <c r="P62" s="46" t="str">
        <f>IF(OR('2-3.設備仕様入力'!$J$143="電気式パッケージ形空調機",'2-3.設備仕様入力'!$J$143="ルームエアコン"),ROUND('2-3.設備仕様入力'!$J$149*'2-3.設備仕様入力'!$J$144*計算!$C$3*VLOOKUP('2-3.設備仕様入力'!$J$146,計算!$N$16:$P$26,2,FALSE)/1000,1),"")</f>
        <v/>
      </c>
      <c r="Q62" s="46" t="str">
        <f>IF(OR('2-3.設備仕様入力'!$J$143="電気式パッケージ形空調機",'2-3.設備仕様入力'!$J$143="ルームエアコン"),ROUND('2-3.設備仕様入力'!$J$150*'2-3.設備仕様入力'!$J$144*計算!$C$3*VLOOKUP('2-3.設備仕様入力'!$J$146,計算!$N$16:$P$26,3,FALSE)/1000,1),"")</f>
        <v/>
      </c>
      <c r="R62" s="46" t="str">
        <f t="shared" si="10"/>
        <v/>
      </c>
      <c r="S62" s="46" t="str">
        <f>IF('2-3.設備仕様入力'!$J$143="ガスヒートポンプ式空調機",IF('2-3.設備仕様入力'!$J$145="都市ガス",IF('2-3.設備仕様入力'!$J$151="kW",ROUND('2-3.設備仕様入力'!$J$144*'2-3.設備仕様入力'!$J$149*3.6/1000*VLOOKUP('2-3.設備仕様入力'!$J$146,計算!$N$16:$P$26,2,FALSE),1),""),""),"")</f>
        <v/>
      </c>
      <c r="T62" s="46" t="str">
        <f>IF('2-3.設備仕様入力'!$J$143="ガスヒートポンプ式空調機",IF('2-3.設備仕様入力'!$J$145="都市ガス",IF('2-3.設備仕様入力'!$J$151="kW",ROUND('2-3.設備仕様入力'!$J$144*'2-3.設備仕様入力'!$J$150*3.6/1000*VLOOKUP('2-3.設備仕様入力'!$J$146,計算!$N$16:$P$26,3,FALSE),1),""),""),"")</f>
        <v/>
      </c>
      <c r="U62" s="46" t="str">
        <f t="shared" si="11"/>
        <v/>
      </c>
      <c r="V62" s="46" t="str">
        <f>IF('2-3.設備仕様入力'!$J$143="ガスヒートポンプ式空調機",IF('2-3.設備仕様入力'!$J$151="ｍ3N/h",ROUND('2-3.設備仕様入力'!$J$144*'2-3.設備仕様入力'!$J$149*計算!$C$10/1000*VLOOKUP('2-3.設備仕様入力'!$J$146,計算!$N$16:$P$26,2,FALSE),1),""),"")</f>
        <v/>
      </c>
      <c r="W62" s="46" t="str">
        <f>IF('2-3.設備仕様入力'!$J$143="ガスヒートポンプ式空調機",IF('2-3.設備仕様入力'!$J$151="ｍ3N/h",ROUND('2-3.設備仕様入力'!$J$144*'2-3.設備仕様入力'!$J$150*計算!$C$10/1000*VLOOKUP('2-3.設備仕様入力'!$J$146,計算!$N$16:$P$26,3,FALSE),1),""),"")</f>
        <v/>
      </c>
      <c r="X62" s="46" t="str">
        <f t="shared" si="12"/>
        <v/>
      </c>
      <c r="Y62" s="46" t="str">
        <f>IF('2-3.設備仕様入力'!$J$143="ガスヒートポンプ式空調機",IF('2-3.設備仕様入力'!$J$145="LPG",IF('2-3.設備仕様入力'!$J$151="kW",ROUND('2-3.設備仕様入力'!$J$144*'2-3.設備仕様入力'!$J$149*3.6/1000*VLOOKUP('2-3.設備仕様入力'!$J$146,計算!$N$16:$P$26,2,FALSE),1),""),""),"")</f>
        <v/>
      </c>
      <c r="Z62" s="46" t="str">
        <f>IF('2-3.設備仕様入力'!$J$143="ガスヒートポンプ式空調機",IF('2-3.設備仕様入力'!$J$145="LPG",IF('2-3.設備仕様入力'!$J$151="kW",ROUND('2-3.設備仕様入力'!$J$144*'2-3.設備仕様入力'!$J$150*3.6/1000*VLOOKUP('2-3.設備仕様入力'!$J$146,計算!$N$16:$P$26,3,FALSE),1),""),""),"")</f>
        <v/>
      </c>
      <c r="AA62" s="46" t="str">
        <f t="shared" si="13"/>
        <v/>
      </c>
      <c r="AB62" s="46" t="str">
        <f>IF('2-3.設備仕様入力'!$J$143="ガスヒートポンプ式空調機",IF('2-3.設備仕様入力'!$J$145="LPG",IF('2-3.設備仕様入力'!$J$151="kg/h",ROUND('2-3.設備仕様入力'!$J$144*'2-3.設備仕様入力'!$J$149*計算!$C$11/1000*VLOOKUP('2-3.設備仕様入力'!$J$146,計算!$N$16:$P$26,2,FALSE),1),""),""),"")</f>
        <v/>
      </c>
      <c r="AC62" s="46" t="str">
        <f>IF('2-3.設備仕様入力'!$J$143="ガスヒートポンプ式空調機",IF('2-3.設備仕様入力'!$J$145="LPG",IF('2-3.設備仕様入力'!$J$151="kg/h",ROUND('2-3.設備仕様入力'!$J$144*'2-3.設備仕様入力'!$J$150*計算!$C$11/1000*VLOOKUP('2-3.設備仕様入力'!$J$146,計算!$N$16:$P$26,3,FALSE),1),""),""),"")</f>
        <v/>
      </c>
      <c r="AD62" s="46" t="str">
        <f t="shared" si="14"/>
        <v/>
      </c>
    </row>
    <row r="63" spans="6:30" ht="19.5" x14ac:dyDescent="0.45">
      <c r="N63" s="86" t="s">
        <v>118</v>
      </c>
      <c r="O63" s="39" t="str">
        <f>IF(AND('2-3.設備仕様入力'!K$145="電気",'2-3.設備仕様入力'!K$151="kW"),1,IF(AND('2-3.設備仕様入力'!K$145="都市ガス",'2-3.設備仕様入力'!K$151="kW"),2,IF(AND('2-3.設備仕様入力'!K$145="都市ガス",'2-3.設備仕様入力'!K$151="ｍ3N/h"),3,IF(AND('2-3.設備仕様入力'!K$145="LPG",'2-3.設備仕様入力'!K$151="kW"),4,IF(AND('2-3.設備仕様入力'!K$145="LPG",'2-3.設備仕様入力'!K$151="kg/h"),5,"")))))</f>
        <v/>
      </c>
      <c r="P63" s="46" t="str">
        <f>IF(OR('2-3.設備仕様入力'!$K$143="電気式パッケージ形空調機",'2-3.設備仕様入力'!$K$143="ルームエアコン"),ROUND('2-3.設備仕様入力'!$K$149*'2-3.設備仕様入力'!$K$144*計算!$C$3*VLOOKUP('2-3.設備仕様入力'!$K$146,計算!$N$16:$P$26,2,FALSE)/1000,1),"")</f>
        <v/>
      </c>
      <c r="Q63" s="46" t="str">
        <f>IF(OR('2-3.設備仕様入力'!$K$143="電気式パッケージ形空調機",'2-3.設備仕様入力'!$K$143="ルームエアコン"),ROUND('2-3.設備仕様入力'!$K$150*'2-3.設備仕様入力'!$K$144*計算!$C$3*VLOOKUP('2-3.設備仕様入力'!$K$146,計算!$N$16:$P$26,3,FALSE)/1000,1),"")</f>
        <v/>
      </c>
      <c r="R63" s="46" t="str">
        <f t="shared" si="10"/>
        <v/>
      </c>
      <c r="S63" s="46" t="str">
        <f>IF('2-3.設備仕様入力'!$K$143="ガスヒートポンプ式空調機",IF('2-3.設備仕様入力'!$K$145="都市ガス",IF('2-3.設備仕様入力'!$K$151="kW",ROUND('2-3.設備仕様入力'!$K$144*'2-3.設備仕様入力'!$K$149*3.6/1000*VLOOKUP('2-3.設備仕様入力'!$K$146,計算!$N$16:$P$26,2,FALSE),1),""),""),"")</f>
        <v/>
      </c>
      <c r="T63" s="46" t="str">
        <f>IF('2-3.設備仕様入力'!$K$143="ガスヒートポンプ式空調機",IF('2-3.設備仕様入力'!$K$145="都市ガス",IF('2-3.設備仕様入力'!$K$151="kW",ROUND('2-3.設備仕様入力'!$K$144*'2-3.設備仕様入力'!$K$150*3.6/1000*VLOOKUP('2-3.設備仕様入力'!$K$146,計算!$N$16:$P$26,3,FALSE),1),""),""),"")</f>
        <v/>
      </c>
      <c r="U63" s="46" t="str">
        <f t="shared" si="11"/>
        <v/>
      </c>
      <c r="V63" s="46" t="str">
        <f>IF('2-3.設備仕様入力'!$K$143="ガスヒートポンプ式空調機",IF('2-3.設備仕様入力'!$K$151="ｍ3N/h",ROUND('2-3.設備仕様入力'!$K$144*'2-3.設備仕様入力'!$K$149*計算!$C$10/1000*VLOOKUP('2-3.設備仕様入力'!$K$146,計算!$N$16:$P$26,2,FALSE),1),""),"")</f>
        <v/>
      </c>
      <c r="W63" s="46" t="str">
        <f>IF('2-3.設備仕様入力'!$K$143="ガスヒートポンプ式空調機",IF('2-3.設備仕様入力'!$K$151="ｍ3N/h",ROUND('2-3.設備仕様入力'!$K$144*'2-3.設備仕様入力'!$K$150*計算!$C$10/1000*VLOOKUP('2-3.設備仕様入力'!$K$146,計算!$N$16:$P$26,3,FALSE),1),""),"")</f>
        <v/>
      </c>
      <c r="X63" s="46" t="str">
        <f t="shared" si="12"/>
        <v/>
      </c>
      <c r="Y63" s="46" t="str">
        <f>IF('2-3.設備仕様入力'!$K$143="ガスヒートポンプ式空調機",IF('2-3.設備仕様入力'!$K$145="LPG",IF('2-3.設備仕様入力'!$K$151="kW",ROUND('2-3.設備仕様入力'!$K$144*'2-3.設備仕様入力'!$K$149*3.6/1000*VLOOKUP('2-3.設備仕様入力'!$K$146,計算!$N$16:$P$26,2,FALSE),1),""),""),"")</f>
        <v/>
      </c>
      <c r="Z63" s="46" t="str">
        <f>IF('2-3.設備仕様入力'!$K$143="ガスヒートポンプ式空調機",IF('2-3.設備仕様入力'!$K$145="LPG",IF('2-3.設備仕様入力'!$K$151="kW",ROUND('2-3.設備仕様入力'!$K$144*'2-3.設備仕様入力'!$K$150*3.6/1000*VLOOKUP('2-3.設備仕様入力'!$K$146,計算!$N$16:$P$26,3,FALSE),1),""),""),"")</f>
        <v/>
      </c>
      <c r="AA63" s="46" t="str">
        <f t="shared" si="13"/>
        <v/>
      </c>
      <c r="AB63" s="46" t="str">
        <f>IF('2-3.設備仕様入力'!$K$143="ガスヒートポンプ式空調機",IF('2-3.設備仕様入力'!$K$145="LPG",IF('2-3.設備仕様入力'!$K$151="kg/h",ROUND('2-3.設備仕様入力'!$K$144*'2-3.設備仕様入力'!$K$149*計算!$C$11/1000*VLOOKUP('2-3.設備仕様入力'!$K$146,計算!$N$16:$P$26,2,FALSE),1),""),""),"")</f>
        <v/>
      </c>
      <c r="AC63" s="46" t="str">
        <f>IF('2-3.設備仕様入力'!$K$143="ガスヒートポンプ式空調機",IF('2-3.設備仕様入力'!$K$145="LPG",IF('2-3.設備仕様入力'!$K$151="kg/h",ROUND('2-3.設備仕様入力'!$K$144*'2-3.設備仕様入力'!$K$150*計算!$C$11/1000*VLOOKUP('2-3.設備仕様入力'!$K$146,計算!$N$16:$P$26,3,FALSE),1),""),""),"")</f>
        <v/>
      </c>
      <c r="AD63" s="46" t="str">
        <f t="shared" si="14"/>
        <v/>
      </c>
    </row>
    <row r="64" spans="6:30" ht="19.5" x14ac:dyDescent="0.45">
      <c r="N64" s="86" t="s">
        <v>119</v>
      </c>
      <c r="O64" s="39" t="str">
        <f>IF(AND('2-3.設備仕様入力'!L$145="電気",'2-3.設備仕様入力'!L$151="kW"),1,IF(AND('2-3.設備仕様入力'!L$145="都市ガス",'2-3.設備仕様入力'!L$151="kW"),2,IF(AND('2-3.設備仕様入力'!L$145="都市ガス",'2-3.設備仕様入力'!L$151="ｍ3N/h"),3,IF(AND('2-3.設備仕様入力'!L$145="LPG",'2-3.設備仕様入力'!L$151="kW"),4,IF(AND('2-3.設備仕様入力'!L$145="LPG",'2-3.設備仕様入力'!L$151="kg/h"),5,"")))))</f>
        <v/>
      </c>
      <c r="P64" s="46" t="str">
        <f>IF(OR('2-3.設備仕様入力'!$L$143="電気式パッケージ形空調機",'2-3.設備仕様入力'!$L$143="ルームエアコン"),ROUND('2-3.設備仕様入力'!$L$149*'2-3.設備仕様入力'!$L$144*計算!$C$3*VLOOKUP('2-3.設備仕様入力'!$L$146,計算!$N$16:$P$26,2,FALSE)/1000,1),"")</f>
        <v/>
      </c>
      <c r="Q64" s="46" t="str">
        <f>IF(OR('2-3.設備仕様入力'!$L$143="電気式パッケージ形空調機",'2-3.設備仕様入力'!$L$143="ルームエアコン"),ROUND('2-3.設備仕様入力'!$L$150*'2-3.設備仕様入力'!$L$144*計算!$C$3*VLOOKUP('2-3.設備仕様入力'!$L$146,計算!$N$16:$P$26,3,FALSE)/1000,1),"")</f>
        <v/>
      </c>
      <c r="R64" s="46" t="str">
        <f t="shared" si="10"/>
        <v/>
      </c>
      <c r="S64" s="46" t="str">
        <f>IF('2-3.設備仕様入力'!$L$143="ガスヒートポンプ式空調機",IF('2-3.設備仕様入力'!$L$145="都市ガス",IF('2-3.設備仕様入力'!$L$151="kW",ROUND('2-3.設備仕様入力'!$L$144*'2-3.設備仕様入力'!$L$149*3.6/1000*VLOOKUP('2-3.設備仕様入力'!$L$146,計算!$N$16:$P$26,2,FALSE),1),""),""),"")</f>
        <v/>
      </c>
      <c r="T64" s="46" t="str">
        <f>IF('2-3.設備仕様入力'!$L$143="ガスヒートポンプ式空調機",IF('2-3.設備仕様入力'!$L$145="都市ガス",IF('2-3.設備仕様入力'!$L$151="kW",ROUND('2-3.設備仕様入力'!$L$144*'2-3.設備仕様入力'!$L$150*3.6/1000*VLOOKUP('2-3.設備仕様入力'!$L$146,計算!$N$16:$P$26,3,FALSE),1),""),""),"")</f>
        <v/>
      </c>
      <c r="U64" s="46" t="str">
        <f t="shared" si="11"/>
        <v/>
      </c>
      <c r="V64" s="46" t="str">
        <f>IF('2-3.設備仕様入力'!$L$143="ガスヒートポンプ式空調機",IF('2-3.設備仕様入力'!$L$151="ｍ3N/h",ROUND('2-3.設備仕様入力'!$L$144*'2-3.設備仕様入力'!$L$149*計算!$C$10/1000*VLOOKUP('2-3.設備仕様入力'!$L$146,計算!$N$16:$P$26,2,FALSE),1),""),"")</f>
        <v/>
      </c>
      <c r="W64" s="46" t="str">
        <f>IF('2-3.設備仕様入力'!$L$143="ガスヒートポンプ式空調機",IF('2-3.設備仕様入力'!$L$151="ｍ3N/h",ROUND('2-3.設備仕様入力'!$L$144*'2-3.設備仕様入力'!$L$150*計算!$C$10/1000*VLOOKUP('2-3.設備仕様入力'!$L$146,計算!$N$16:$P$26,3,FALSE),1),""),"")</f>
        <v/>
      </c>
      <c r="X64" s="46" t="str">
        <f t="shared" si="12"/>
        <v/>
      </c>
      <c r="Y64" s="46" t="str">
        <f>IF('2-3.設備仕様入力'!$L$143="ガスヒートポンプ式空調機",IF('2-3.設備仕様入力'!$L$145="LPG",IF('2-3.設備仕様入力'!$L$151="kW",ROUND('2-3.設備仕様入力'!$L$144*'2-3.設備仕様入力'!$L$149*3.6/1000*VLOOKUP('2-3.設備仕様入力'!$L$146,計算!$N$16:$P$26,2,FALSE),1),""),""),"")</f>
        <v/>
      </c>
      <c r="Z64" s="46" t="str">
        <f>IF('2-3.設備仕様入力'!$L$143="ガスヒートポンプ式空調機",IF('2-3.設備仕様入力'!$L$145="LPG",IF('2-3.設備仕様入力'!$L$151="kW",ROUND('2-3.設備仕様入力'!$L$144*'2-3.設備仕様入力'!$L$150*3.6/1000*VLOOKUP('2-3.設備仕様入力'!$L$146,計算!$N$16:$P$26,3,FALSE),1),""),""),"")</f>
        <v/>
      </c>
      <c r="AA64" s="46" t="str">
        <f t="shared" si="13"/>
        <v/>
      </c>
      <c r="AB64" s="46" t="str">
        <f>IF('2-3.設備仕様入力'!$L$143="ガスヒートポンプ式空調機",IF('2-3.設備仕様入力'!$L$145="LPG",IF('2-3.設備仕様入力'!$L$151="kg/h",ROUND('2-3.設備仕様入力'!$L$144*'2-3.設備仕様入力'!$L$149*計算!$C$11/1000*VLOOKUP('2-3.設備仕様入力'!$L$146,計算!$N$16:$P$26,2,FALSE),1),""),""),"")</f>
        <v/>
      </c>
      <c r="AC64" s="46" t="str">
        <f>IF('2-3.設備仕様入力'!$L$143="ガスヒートポンプ式空調機",IF('2-3.設備仕様入力'!$L$145="LPG",IF('2-3.設備仕様入力'!$L$151="kg/h",ROUND('2-3.設備仕様入力'!$L$144*'2-3.設備仕様入力'!$L$150*計算!$C$11/1000*VLOOKUP('2-3.設備仕様入力'!$L$146,計算!$N$16:$P$26,3,FALSE),1),""),""),"")</f>
        <v/>
      </c>
      <c r="AD64" s="46" t="str">
        <f t="shared" si="14"/>
        <v/>
      </c>
    </row>
    <row r="65" spans="14:30" ht="19.5" x14ac:dyDescent="0.45">
      <c r="N65" s="86" t="s">
        <v>120</v>
      </c>
      <c r="O65" s="39" t="str">
        <f>IF(AND('2-3.設備仕様入力'!M$145="電気",'2-3.設備仕様入力'!M$151="kW"),1,IF(AND('2-3.設備仕様入力'!M$145="都市ガス",'2-3.設備仕様入力'!M$151="kW"),2,IF(AND('2-3.設備仕様入力'!M$145="都市ガス",'2-3.設備仕様入力'!M$151="ｍ3N/h"),3,IF(AND('2-3.設備仕様入力'!M$145="LPG",'2-3.設備仕様入力'!M$151="kW"),4,IF(AND('2-3.設備仕様入力'!M$145="LPG",'2-3.設備仕様入力'!M$151="kg/h"),5,"")))))</f>
        <v/>
      </c>
      <c r="P65" s="46" t="str">
        <f>IF(OR('2-3.設備仕様入力'!$M$143="電気式パッケージ形空調機",'2-3.設備仕様入力'!$M$143="ルームエアコン"),ROUND('2-3.設備仕様入力'!$M$149*'2-3.設備仕様入力'!$M$144*計算!$C$3*VLOOKUP('2-3.設備仕様入力'!$M$146,計算!$N$16:$P$26,2,FALSE)/1000,1),"")</f>
        <v/>
      </c>
      <c r="Q65" s="46" t="str">
        <f>IF(OR('2-3.設備仕様入力'!$M$143="電気式パッケージ形空調機",'2-3.設備仕様入力'!$M$143="ルームエアコン"),ROUND('2-3.設備仕様入力'!$M$150*'2-3.設備仕様入力'!$M$144*計算!$C$3*VLOOKUP('2-3.設備仕様入力'!$M$146,計算!$N$16:$P$26,3,FALSE)/1000,1),"")</f>
        <v/>
      </c>
      <c r="R65" s="46" t="str">
        <f t="shared" si="10"/>
        <v/>
      </c>
      <c r="S65" s="46" t="str">
        <f>IF('2-3.設備仕様入力'!$M$143="ガスヒートポンプ式空調機",IF('2-3.設備仕様入力'!$M$145="都市ガス",IF('2-3.設備仕様入力'!$M$151="kW",ROUND('2-3.設備仕様入力'!$M$144*'2-3.設備仕様入力'!$M$149*3.6/1000*VLOOKUP('2-3.設備仕様入力'!$M$146,計算!$N$16:$P$26,2,FALSE),1),""),""),"")</f>
        <v/>
      </c>
      <c r="T65" s="46" t="str">
        <f>IF('2-3.設備仕様入力'!$M$143="ガスヒートポンプ式空調機",IF('2-3.設備仕様入力'!$M$145="都市ガス",IF('2-3.設備仕様入力'!$M$151="kW",ROUND('2-3.設備仕様入力'!$M$144*'2-3.設備仕様入力'!$M$150*3.6/1000*VLOOKUP('2-3.設備仕様入力'!$M$146,計算!$N$16:$P$26,3,FALSE),1),""),""),"")</f>
        <v/>
      </c>
      <c r="U65" s="46" t="str">
        <f t="shared" si="11"/>
        <v/>
      </c>
      <c r="V65" s="46" t="str">
        <f>IF('2-3.設備仕様入力'!$M$143="ガスヒートポンプ式空調機",IF('2-3.設備仕様入力'!$M$151="ｍ3N/h",ROUND('2-3.設備仕様入力'!$M$144*'2-3.設備仕様入力'!$M$149*計算!$C$10/1000*VLOOKUP('2-3.設備仕様入力'!$M$146,計算!$N$16:$P$26,2,FALSE),1),""),"")</f>
        <v/>
      </c>
      <c r="W65" s="46" t="str">
        <f>IF('2-3.設備仕様入力'!$M$143="ガスヒートポンプ式空調機",IF('2-3.設備仕様入力'!$M$151="ｍ3N/h",ROUND('2-3.設備仕様入力'!$M$144*'2-3.設備仕様入力'!$M$150*計算!$C$10/1000*VLOOKUP('2-3.設備仕様入力'!$M$146,計算!$N$16:$P$26,3,FALSE),1),""),"")</f>
        <v/>
      </c>
      <c r="X65" s="46" t="str">
        <f t="shared" si="12"/>
        <v/>
      </c>
      <c r="Y65" s="46" t="str">
        <f>IF('2-3.設備仕様入力'!$M$143="ガスヒートポンプ式空調機",IF('2-3.設備仕様入力'!$M$145="LPG",IF('2-3.設備仕様入力'!$M$151="kW",ROUND('2-3.設備仕様入力'!$M$144*'2-3.設備仕様入力'!$M$149*3.6/1000*VLOOKUP('2-3.設備仕様入力'!$M$146,計算!$N$16:$P$26,2,FALSE),1),""),""),"")</f>
        <v/>
      </c>
      <c r="Z65" s="46" t="str">
        <f>IF('2-3.設備仕様入力'!$M$143="ガスヒートポンプ式空調機",IF('2-3.設備仕様入力'!$M$145="LPG",IF('2-3.設備仕様入力'!$M$151="kW",ROUND('2-3.設備仕様入力'!$M$144*'2-3.設備仕様入力'!$M$150*3.6/1000*VLOOKUP('2-3.設備仕様入力'!$M$146,計算!$N$16:$P$26,3,FALSE),1),""),""),"")</f>
        <v/>
      </c>
      <c r="AA65" s="46" t="str">
        <f t="shared" si="13"/>
        <v/>
      </c>
      <c r="AB65" s="46" t="str">
        <f>IF('2-3.設備仕様入力'!$M$143="ガスヒートポンプ式空調機",IF('2-3.設備仕様入力'!$M$145="LPG",IF('2-3.設備仕様入力'!$M$151="kg/h",ROUND('2-3.設備仕様入力'!$M$144*'2-3.設備仕様入力'!$M$149*計算!$C$11/1000*VLOOKUP('2-3.設備仕様入力'!$M$146,計算!$N$16:$P$26,2,FALSE),1),""),""),"")</f>
        <v/>
      </c>
      <c r="AC65" s="46" t="str">
        <f>IF('2-3.設備仕様入力'!$M$143="ガスヒートポンプ式空調機",IF('2-3.設備仕様入力'!$M$145="LPG",IF('2-3.設備仕様入力'!$M$151="kg/h",ROUND('2-3.設備仕様入力'!$M$144*'2-3.設備仕様入力'!$M$150*計算!$C$11/1000*VLOOKUP('2-3.設備仕様入力'!$M$146,計算!$N$16:$P$26,3,FALSE),1),""),""),"")</f>
        <v/>
      </c>
      <c r="AD65" s="46" t="str">
        <f t="shared" si="14"/>
        <v/>
      </c>
    </row>
    <row r="66" spans="14:30" ht="19.5" x14ac:dyDescent="0.45">
      <c r="N66" s="86" t="s">
        <v>377</v>
      </c>
      <c r="O66" s="39" t="str">
        <f>IF(AND('2-3.設備仕様入力'!N$145="電気",'2-3.設備仕様入力'!N$151="kW"),1,IF(AND('2-3.設備仕様入力'!N$145="都市ガス",'2-3.設備仕様入力'!N$151="kW"),2,IF(AND('2-3.設備仕様入力'!N$145="都市ガス",'2-3.設備仕様入力'!N$151="ｍ3N/h"),3,IF(AND('2-3.設備仕様入力'!N$145="LPG",'2-3.設備仕様入力'!N$151="kW"),4,IF(AND('2-3.設備仕様入力'!N$145="LPG",'2-3.設備仕様入力'!N$151="kg/h"),5,"")))))</f>
        <v/>
      </c>
      <c r="P66" s="46" t="str">
        <f>IF(OR('2-3.設備仕様入力'!$N$143="電気式パッケージ形空調機",'2-3.設備仕様入力'!$N$143="ルームエアコン"),ROUND('2-3.設備仕様入力'!$N$149*'2-3.設備仕様入力'!$N$144*計算!$C$3*VLOOKUP('2-3.設備仕様入力'!$N$146,計算!$N$16:$P$26,2,FALSE)/1000,1),"")</f>
        <v/>
      </c>
      <c r="Q66" s="46" t="str">
        <f>IF(OR('2-3.設備仕様入力'!$N$143="電気式パッケージ形空調機",'2-3.設備仕様入力'!$N$143="ルームエアコン"),ROUND('2-3.設備仕様入力'!$N$150*'2-3.設備仕様入力'!$N$144*計算!$C$3*VLOOKUP('2-3.設備仕様入力'!$N$146,計算!$N$16:$P$26,3,FALSE)/1000,1),"")</f>
        <v/>
      </c>
      <c r="R66" s="46" t="str">
        <f t="shared" ref="R66:R75" si="15">IF(AND(P66="",Q66=""),"",P66+Q66)</f>
        <v/>
      </c>
      <c r="S66" s="46" t="str">
        <f>IF('2-3.設備仕様入力'!$N$143="ガスヒートポンプ式空調機",IF('2-3.設備仕様入力'!$N$145="都市ガス",IF('2-3.設備仕様入力'!$N$151="kW",ROUND('2-3.設備仕様入力'!$N$144*'2-3.設備仕様入力'!$N$149*3.6/1000*VLOOKUP('2-3.設備仕様入力'!$N$146,計算!$N$16:$P$26,2,FALSE),1),""),""),"")</f>
        <v/>
      </c>
      <c r="T66" s="46" t="str">
        <f>IF('2-3.設備仕様入力'!$N$143="ガスヒートポンプ式空調機",IF('2-3.設備仕様入力'!$N$145="都市ガス",IF('2-3.設備仕様入力'!$N$151="kW",ROUND('2-3.設備仕様入力'!$N$144*'2-3.設備仕様入力'!$N$150*3.6/1000*VLOOKUP('2-3.設備仕様入力'!$N$146,計算!$N$16:$P$26,3,FALSE),1),""),""),"")</f>
        <v/>
      </c>
      <c r="U66" s="46" t="str">
        <f t="shared" ref="U66:U75" si="16">IF(AND(S66="",T66=""),"",S66+T66)</f>
        <v/>
      </c>
      <c r="V66" s="46" t="str">
        <f>IF('2-3.設備仕様入力'!$N$143="ガスヒートポンプ式空調機",IF('2-3.設備仕様入力'!$N$151="ｍ3N/h",ROUND('2-3.設備仕様入力'!$N$144*'2-3.設備仕様入力'!$N$149*計算!$C$10/1000*VLOOKUP('2-3.設備仕様入力'!$N$146,計算!$N$16:$P$26,2,FALSE),1),""),"")</f>
        <v/>
      </c>
      <c r="W66" s="46" t="str">
        <f>IF('2-3.設備仕様入力'!$N$143="ガスヒートポンプ式空調機",IF('2-3.設備仕様入力'!$N$151="ｍ3N/h",ROUND('2-3.設備仕様入力'!$N$144*'2-3.設備仕様入力'!$N$150*計算!$C$10/1000*VLOOKUP('2-3.設備仕様入力'!$N$146,計算!$N$16:$P$26,3,FALSE),1),""),"")</f>
        <v/>
      </c>
      <c r="X66" s="46" t="str">
        <f t="shared" ref="X66:X75" si="17">IF(AND(V66="",W66=""),"",V66+W66)</f>
        <v/>
      </c>
      <c r="Y66" s="46" t="str">
        <f>IF('2-3.設備仕様入力'!$N$143="ガスヒートポンプ式空調機",IF('2-3.設備仕様入力'!$N$145="LPG",IF('2-3.設備仕様入力'!$N$151="kW",ROUND('2-3.設備仕様入力'!$N$144*'2-3.設備仕様入力'!$N$149*3.6/1000*VLOOKUP('2-3.設備仕様入力'!$N$146,計算!$N$16:$P$26,2,FALSE),1),""),""),"")</f>
        <v/>
      </c>
      <c r="Z66" s="46" t="str">
        <f>IF('2-3.設備仕様入力'!$N$143="ガスヒートポンプ式空調機",IF('2-3.設備仕様入力'!$N$145="LPG",IF('2-3.設備仕様入力'!$N$151="kW",ROUND('2-3.設備仕様入力'!$N$144*'2-3.設備仕様入力'!$N$150*3.6/1000*VLOOKUP('2-3.設備仕様入力'!$N$146,計算!$N$16:$P$26,3,FALSE),1),""),""),"")</f>
        <v/>
      </c>
      <c r="AA66" s="46" t="str">
        <f t="shared" ref="AA66:AA75" si="18">IF(AND(Y66="",Z66=""),"",Y66+Z66)</f>
        <v/>
      </c>
      <c r="AB66" s="46" t="str">
        <f>IF('2-3.設備仕様入力'!$N$143="ガスヒートポンプ式空調機",IF('2-3.設備仕様入力'!$N$145="LPG",IF('2-3.設備仕様入力'!$N$151="kg/h",ROUND('2-3.設備仕様入力'!$N$144*'2-3.設備仕様入力'!$N$149*計算!$C$11/1000*VLOOKUP('2-3.設備仕様入力'!$N$146,計算!$N$16:$P$26,2,FALSE),1),""),""),"")</f>
        <v/>
      </c>
      <c r="AC66" s="46" t="str">
        <f>IF('2-3.設備仕様入力'!$N$143="ガスヒートポンプ式空調機",IF('2-3.設備仕様入力'!$N$145="LPG",IF('2-3.設備仕様入力'!$N$151="kg/h",ROUND('2-3.設備仕様入力'!$N$144*'2-3.設備仕様入力'!$N$150*計算!$C$11/1000*VLOOKUP('2-3.設備仕様入力'!$N$146,計算!$N$16:$P$26,3,FALSE),1),""),""),"")</f>
        <v/>
      </c>
      <c r="AD66" s="46" t="str">
        <f t="shared" ref="AD66:AD75" si="19">IF(AND(AB66="",AC66=""),"",AB66+AC66)</f>
        <v/>
      </c>
    </row>
    <row r="67" spans="14:30" ht="19.5" x14ac:dyDescent="0.45">
      <c r="N67" s="86" t="s">
        <v>378</v>
      </c>
      <c r="O67" s="39" t="str">
        <f>IF(AND('2-3.設備仕様入力'!O$145="電気",'2-3.設備仕様入力'!O$151="kW"),1,IF(AND('2-3.設備仕様入力'!O$145="都市ガス",'2-3.設備仕様入力'!O$151="kW"),2,IF(AND('2-3.設備仕様入力'!O$145="都市ガス",'2-3.設備仕様入力'!O$151="ｍ3N/h"),3,IF(AND('2-3.設備仕様入力'!O$145="LPG",'2-3.設備仕様入力'!O$151="kW"),4,IF(AND('2-3.設備仕様入力'!O$145="LPG",'2-3.設備仕様入力'!O$151="kg/h"),5,"")))))</f>
        <v/>
      </c>
      <c r="P67" s="46" t="str">
        <f>IF(OR('2-3.設備仕様入力'!$O$143="電気式パッケージ形空調機",'2-3.設備仕様入力'!$O$143="ルームエアコン"),ROUND('2-3.設備仕様入力'!$O$149*'2-3.設備仕様入力'!$O$144*計算!$C$3*VLOOKUP('2-3.設備仕様入力'!$O$146,計算!$N$16:$P$26,2,FALSE)/1000,1),"")</f>
        <v/>
      </c>
      <c r="Q67" s="46" t="str">
        <f>IF(OR('2-3.設備仕様入力'!$O$143="電気式パッケージ形空調機",'2-3.設備仕様入力'!$O$143="ルームエアコン"),ROUND('2-3.設備仕様入力'!$O$150*'2-3.設備仕様入力'!$O$144*計算!$C$3*VLOOKUP('2-3.設備仕様入力'!$O$146,計算!$N$16:$P$26,3,FALSE)/1000,1),"")</f>
        <v/>
      </c>
      <c r="R67" s="46" t="str">
        <f t="shared" si="15"/>
        <v/>
      </c>
      <c r="S67" s="46" t="str">
        <f>IF('2-3.設備仕様入力'!$O$143="ガスヒートポンプ式空調機",IF('2-3.設備仕様入力'!$O$145="都市ガス",IF('2-3.設備仕様入力'!$O$151="kW",ROUND('2-3.設備仕様入力'!$O$144*'2-3.設備仕様入力'!$O$149*3.6/1000*VLOOKUP('2-3.設備仕様入力'!$O$146,計算!$N$16:$P$26,2,FALSE),1),""),""),"")</f>
        <v/>
      </c>
      <c r="T67" s="46" t="str">
        <f>IF('2-3.設備仕様入力'!$O$143="ガスヒートポンプ式空調機",IF('2-3.設備仕様入力'!$O$145="都市ガス",IF('2-3.設備仕様入力'!$O$151="kW",ROUND('2-3.設備仕様入力'!$O$144*'2-3.設備仕様入力'!$O$150*3.6/1000*VLOOKUP('2-3.設備仕様入力'!$O$146,計算!$N$16:$P$26,3,FALSE),1),""),""),"")</f>
        <v/>
      </c>
      <c r="U67" s="46" t="str">
        <f t="shared" si="16"/>
        <v/>
      </c>
      <c r="V67" s="46" t="str">
        <f>IF('2-3.設備仕様入力'!$O$143="ガスヒートポンプ式空調機",IF('2-3.設備仕様入力'!$O$151="ｍ3N/h",ROUND('2-3.設備仕様入力'!$O$144*'2-3.設備仕様入力'!$O$149*計算!$C$10/1000*VLOOKUP('2-3.設備仕様入力'!$O$146,計算!$N$16:$P$26,2,FALSE),1),""),"")</f>
        <v/>
      </c>
      <c r="W67" s="46" t="str">
        <f>IF('2-3.設備仕様入力'!$O$143="ガスヒートポンプ式空調機",IF('2-3.設備仕様入力'!$O$151="ｍ3N/h",ROUND('2-3.設備仕様入力'!$O$144*'2-3.設備仕様入力'!$O$150*計算!$C$10/1000*VLOOKUP('2-3.設備仕様入力'!$O$146,計算!$N$16:$P$26,3,FALSE),1),""),"")</f>
        <v/>
      </c>
      <c r="X67" s="46" t="str">
        <f t="shared" si="17"/>
        <v/>
      </c>
      <c r="Y67" s="46" t="str">
        <f>IF('2-3.設備仕様入力'!$O$143="ガスヒートポンプ式空調機",IF('2-3.設備仕様入力'!$O$145="LPG",IF('2-3.設備仕様入力'!$O$151="kW",ROUND('2-3.設備仕様入力'!$O$144*'2-3.設備仕様入力'!$O$149*3.6/1000*VLOOKUP('2-3.設備仕様入力'!$O$146,計算!$N$16:$P$26,2,FALSE),1),""),""),"")</f>
        <v/>
      </c>
      <c r="Z67" s="46" t="str">
        <f>IF('2-3.設備仕様入力'!$O$143="ガスヒートポンプ式空調機",IF('2-3.設備仕様入力'!$O$145="LPG",IF('2-3.設備仕様入力'!$O$151="kW",ROUND('2-3.設備仕様入力'!$O$144*'2-3.設備仕様入力'!$O$150*3.6/1000*VLOOKUP('2-3.設備仕様入力'!$O$146,計算!$N$16:$P$26,3,FALSE),1),""),""),"")</f>
        <v/>
      </c>
      <c r="AA67" s="46" t="str">
        <f t="shared" si="18"/>
        <v/>
      </c>
      <c r="AB67" s="46" t="str">
        <f>IF('2-3.設備仕様入力'!$O$143="ガスヒートポンプ式空調機",IF('2-3.設備仕様入力'!$O$145="LPG",IF('2-3.設備仕様入力'!$O$151="kg/h",ROUND('2-3.設備仕様入力'!$O$144*'2-3.設備仕様入力'!$O$149*計算!$C$11/1000*VLOOKUP('2-3.設備仕様入力'!$O$146,計算!$N$16:$P$26,2,FALSE),1),""),""),"")</f>
        <v/>
      </c>
      <c r="AC67" s="46" t="str">
        <f>IF('2-3.設備仕様入力'!$O$143="ガスヒートポンプ式空調機",IF('2-3.設備仕様入力'!$O$145="LPG",IF('2-3.設備仕様入力'!$O$151="kg/h",ROUND('2-3.設備仕様入力'!$O$144*'2-3.設備仕様入力'!$O$150*計算!$C$11/1000*VLOOKUP('2-3.設備仕様入力'!$O$146,計算!$N$16:$P$26,3,FALSE),1),""),""),"")</f>
        <v/>
      </c>
      <c r="AD67" s="46" t="str">
        <f t="shared" si="19"/>
        <v/>
      </c>
    </row>
    <row r="68" spans="14:30" ht="19.5" x14ac:dyDescent="0.45">
      <c r="N68" s="86" t="s">
        <v>379</v>
      </c>
      <c r="O68" s="39" t="str">
        <f>IF(AND('2-3.設備仕様入力'!P$145="電気",'2-3.設備仕様入力'!P$151="kW"),1,IF(AND('2-3.設備仕様入力'!P$145="都市ガス",'2-3.設備仕様入力'!P$151="kW"),2,IF(AND('2-3.設備仕様入力'!P$145="都市ガス",'2-3.設備仕様入力'!P$151="ｍ3N/h"),3,IF(AND('2-3.設備仕様入力'!P$145="LPG",'2-3.設備仕様入力'!P$151="kW"),4,IF(AND('2-3.設備仕様入力'!P$145="LPG",'2-3.設備仕様入力'!P$151="kg/h"),5,"")))))</f>
        <v/>
      </c>
      <c r="P68" s="46" t="str">
        <f>IF(OR('2-3.設備仕様入力'!$P$143="電気式パッケージ形空調機",'2-3.設備仕様入力'!$P$143="ルームエアコン"),ROUND('2-3.設備仕様入力'!$P$149*'2-3.設備仕様入力'!$P$144*計算!$C$3*VLOOKUP('2-3.設備仕様入力'!$P$146,計算!$N$16:$P$26,2,FALSE)/1000,1),"")</f>
        <v/>
      </c>
      <c r="Q68" s="46" t="str">
        <f>IF(OR('2-3.設備仕様入力'!$P$143="電気式パッケージ形空調機",'2-3.設備仕様入力'!$P$143="ルームエアコン"),ROUND('2-3.設備仕様入力'!$P$150*'2-3.設備仕様入力'!$P$144*計算!$C$3*VLOOKUP('2-3.設備仕様入力'!$P$146,計算!$N$16:$P$26,3,FALSE)/1000,1),"")</f>
        <v/>
      </c>
      <c r="R68" s="46" t="str">
        <f t="shared" si="15"/>
        <v/>
      </c>
      <c r="S68" s="46" t="str">
        <f>IF('2-3.設備仕様入力'!$P$143="ガスヒートポンプ式空調機",IF('2-3.設備仕様入力'!$P$145="都市ガス",IF('2-3.設備仕様入力'!$P$151="kW",ROUND('2-3.設備仕様入力'!$P$144*'2-3.設備仕様入力'!$P$149*3.6/1000*VLOOKUP('2-3.設備仕様入力'!$P$146,計算!$N$16:$P$26,2,FALSE),1),""),""),"")</f>
        <v/>
      </c>
      <c r="T68" s="46" t="str">
        <f>IF('2-3.設備仕様入力'!$P$143="ガスヒートポンプ式空調機",IF('2-3.設備仕様入力'!$P$145="都市ガス",IF('2-3.設備仕様入力'!$P$151="kW",ROUND('2-3.設備仕様入力'!$P$144*'2-3.設備仕様入力'!$P$150*3.6/1000*VLOOKUP('2-3.設備仕様入力'!$P$146,計算!$N$16:$P$26,3,FALSE),1),""),""),"")</f>
        <v/>
      </c>
      <c r="U68" s="46" t="str">
        <f t="shared" si="16"/>
        <v/>
      </c>
      <c r="V68" s="46" t="str">
        <f>IF('2-3.設備仕様入力'!$P$143="ガスヒートポンプ式空調機",IF('2-3.設備仕様入力'!$P$151="ｍ3N/h",ROUND('2-3.設備仕様入力'!$P$144*'2-3.設備仕様入力'!$P$149*計算!$C$10/1000*VLOOKUP('2-3.設備仕様入力'!$P$146,計算!$N$16:$P$26,2,FALSE),1),""),"")</f>
        <v/>
      </c>
      <c r="W68" s="46" t="str">
        <f>IF('2-3.設備仕様入力'!$P$143="ガスヒートポンプ式空調機",IF('2-3.設備仕様入力'!$P$151="ｍ3N/h",ROUND('2-3.設備仕様入力'!$P$144*'2-3.設備仕様入力'!$P$150*計算!$C$10/1000*VLOOKUP('2-3.設備仕様入力'!$P$146,計算!$N$16:$P$26,3,FALSE),1),""),"")</f>
        <v/>
      </c>
      <c r="X68" s="46" t="str">
        <f t="shared" si="17"/>
        <v/>
      </c>
      <c r="Y68" s="46" t="str">
        <f>IF('2-3.設備仕様入力'!$P$143="ガスヒートポンプ式空調機",IF('2-3.設備仕様入力'!$P$145="LPG",IF('2-3.設備仕様入力'!$P$151="kW",ROUND('2-3.設備仕様入力'!$P$144*'2-3.設備仕様入力'!$P$149*3.6/1000*VLOOKUP('2-3.設備仕様入力'!$P$146,計算!$N$16:$P$26,2,FALSE),1),""),""),"")</f>
        <v/>
      </c>
      <c r="Z68" s="46" t="str">
        <f>IF('2-3.設備仕様入力'!$P$143="ガスヒートポンプ式空調機",IF('2-3.設備仕様入力'!$P$145="LPG",IF('2-3.設備仕様入力'!$P$151="kW",ROUND('2-3.設備仕様入力'!$P$144*'2-3.設備仕様入力'!$P$150*3.6/1000*VLOOKUP('2-3.設備仕様入力'!$P$146,計算!$N$16:$P$26,3,FALSE),1),""),""),"")</f>
        <v/>
      </c>
      <c r="AA68" s="46" t="str">
        <f t="shared" si="18"/>
        <v/>
      </c>
      <c r="AB68" s="46" t="str">
        <f>IF('2-3.設備仕様入力'!$P$143="ガスヒートポンプ式空調機",IF('2-3.設備仕様入力'!$P$145="LPG",IF('2-3.設備仕様入力'!$P$151="kg/h",ROUND('2-3.設備仕様入力'!$P$144*'2-3.設備仕様入力'!$P$149*計算!$C$11/1000*VLOOKUP('2-3.設備仕様入力'!$P$146,計算!$N$16:$P$26,2,FALSE),1),""),""),"")</f>
        <v/>
      </c>
      <c r="AC68" s="46" t="str">
        <f>IF('2-3.設備仕様入力'!$P$143="ガスヒートポンプ式空調機",IF('2-3.設備仕様入力'!$P$145="LPG",IF('2-3.設備仕様入力'!$P$151="kg/h",ROUND('2-3.設備仕様入力'!$P$144*'2-3.設備仕様入力'!$P$150*計算!$C$11/1000*VLOOKUP('2-3.設備仕様入力'!$P$146,計算!$N$16:$P$26,3,FALSE),1),""),""),"")</f>
        <v/>
      </c>
      <c r="AD68" s="46" t="str">
        <f t="shared" si="19"/>
        <v/>
      </c>
    </row>
    <row r="69" spans="14:30" ht="19.5" x14ac:dyDescent="0.45">
      <c r="N69" s="86" t="s">
        <v>380</v>
      </c>
      <c r="O69" s="39" t="str">
        <f>IF(AND('2-3.設備仕様入力'!Q$145="電気",'2-3.設備仕様入力'!Q$151="kW"),1,IF(AND('2-3.設備仕様入力'!Q$145="都市ガス",'2-3.設備仕様入力'!Q$151="kW"),2,IF(AND('2-3.設備仕様入力'!Q$145="都市ガス",'2-3.設備仕様入力'!Q$151="ｍ3N/h"),3,IF(AND('2-3.設備仕様入力'!Q$145="LPG",'2-3.設備仕様入力'!Q$151="kW"),4,IF(AND('2-3.設備仕様入力'!Q$145="LPG",'2-3.設備仕様入力'!Q$151="kg/h"),5,"")))))</f>
        <v/>
      </c>
      <c r="P69" s="46" t="str">
        <f>IF(OR('2-3.設備仕様入力'!$Q$143="電気式パッケージ形空調機",'2-3.設備仕様入力'!$Q$143="ルームエアコン"),ROUND('2-3.設備仕様入力'!$Q$149*'2-3.設備仕様入力'!$Q$144*計算!$C$3*VLOOKUP('2-3.設備仕様入力'!$Q$146,計算!$N$16:$P$26,2,FALSE)/1000,1),"")</f>
        <v/>
      </c>
      <c r="Q69" s="46" t="str">
        <f>IF(OR('2-3.設備仕様入力'!$Q$143="電気式パッケージ形空調機",'2-3.設備仕様入力'!$Q$143="ルームエアコン"),ROUND('2-3.設備仕様入力'!$Q$150*'2-3.設備仕様入力'!$Q$144*計算!$C$3*VLOOKUP('2-3.設備仕様入力'!$Q$146,計算!$N$16:$P$26,3,FALSE)/1000,1),"")</f>
        <v/>
      </c>
      <c r="R69" s="46" t="str">
        <f t="shared" si="15"/>
        <v/>
      </c>
      <c r="S69" s="46" t="str">
        <f>IF('2-3.設備仕様入力'!$Q$143="ガスヒートポンプ式空調機",IF('2-3.設備仕様入力'!$Q$145="都市ガス",IF('2-3.設備仕様入力'!$Q$151="kW",ROUND('2-3.設備仕様入力'!$Q$144*'2-3.設備仕様入力'!$Q$149*3.6/1000*VLOOKUP('2-3.設備仕様入力'!$Q$146,計算!$N$16:$P$26,2,FALSE),1),""),""),"")</f>
        <v/>
      </c>
      <c r="T69" s="46" t="str">
        <f>IF('2-3.設備仕様入力'!$Q$143="ガスヒートポンプ式空調機",IF('2-3.設備仕様入力'!$Q$145="都市ガス",IF('2-3.設備仕様入力'!$Q$151="kW",ROUND('2-3.設備仕様入力'!$Q$144*'2-3.設備仕様入力'!$Q$150*3.6/1000*VLOOKUP('2-3.設備仕様入力'!$Q$146,計算!$N$16:$P$26,3,FALSE),1),""),""),"")</f>
        <v/>
      </c>
      <c r="U69" s="46" t="str">
        <f t="shared" si="16"/>
        <v/>
      </c>
      <c r="V69" s="46" t="str">
        <f>IF('2-3.設備仕様入力'!$Q$143="ガスヒートポンプ式空調機",IF('2-3.設備仕様入力'!$Q$151="ｍ3N/h",ROUND('2-3.設備仕様入力'!$Q$144*'2-3.設備仕様入力'!$Q$149*計算!$C$10/1000*VLOOKUP('2-3.設備仕様入力'!$Q$146,計算!$N$16:$P$26,2,FALSE),1),""),"")</f>
        <v/>
      </c>
      <c r="W69" s="46" t="str">
        <f>IF('2-3.設備仕様入力'!$Q$143="ガスヒートポンプ式空調機",IF('2-3.設備仕様入力'!$Q$151="ｍ3N/h",ROUND('2-3.設備仕様入力'!$Q$144*'2-3.設備仕様入力'!$Q$150*計算!$C$10/1000*VLOOKUP('2-3.設備仕様入力'!$Q$146,計算!$N$16:$P$26,3,FALSE),1),""),"")</f>
        <v/>
      </c>
      <c r="X69" s="46" t="str">
        <f t="shared" si="17"/>
        <v/>
      </c>
      <c r="Y69" s="46" t="str">
        <f>IF('2-3.設備仕様入力'!$Q$143="ガスヒートポンプ式空調機",IF('2-3.設備仕様入力'!$Q$145="LPG",IF('2-3.設備仕様入力'!$Q$151="kW",ROUND('2-3.設備仕様入力'!$Q$144*'2-3.設備仕様入力'!$Q$149*3.6/1000*VLOOKUP('2-3.設備仕様入力'!$Q$146,計算!$N$16:$P$26,2,FALSE),1),""),""),"")</f>
        <v/>
      </c>
      <c r="Z69" s="46" t="str">
        <f>IF('2-3.設備仕様入力'!$Q$143="ガスヒートポンプ式空調機",IF('2-3.設備仕様入力'!$Q$145="LPG",IF('2-3.設備仕様入力'!$Q$151="kW",ROUND('2-3.設備仕様入力'!$Q$144*'2-3.設備仕様入力'!$Q$150*3.6/1000*VLOOKUP('2-3.設備仕様入力'!$Q$146,計算!$N$16:$P$26,3,FALSE),1),""),""),"")</f>
        <v/>
      </c>
      <c r="AA69" s="46" t="str">
        <f t="shared" si="18"/>
        <v/>
      </c>
      <c r="AB69" s="46" t="str">
        <f>IF('2-3.設備仕様入力'!$Q$143="ガスヒートポンプ式空調機",IF('2-3.設備仕様入力'!$Q$145="LPG",IF('2-3.設備仕様入力'!$Q$151="kg/h",ROUND('2-3.設備仕様入力'!$Q$144*'2-3.設備仕様入力'!$Q$149*計算!$C$11/1000*VLOOKUP('2-3.設備仕様入力'!$Q$146,計算!$N$16:$P$26,2,FALSE),1),""),""),"")</f>
        <v/>
      </c>
      <c r="AC69" s="46" t="str">
        <f>IF('2-3.設備仕様入力'!$Q$143="ガスヒートポンプ式空調機",IF('2-3.設備仕様入力'!$Q$145="LPG",IF('2-3.設備仕様入力'!$Q$151="kg/h",ROUND('2-3.設備仕様入力'!$Q$144*'2-3.設備仕様入力'!$Q$150*計算!$C$11/1000*VLOOKUP('2-3.設備仕様入力'!$Q$146,計算!$N$16:$P$26,3,FALSE),1),""),""),"")</f>
        <v/>
      </c>
      <c r="AD69" s="46" t="str">
        <f t="shared" si="19"/>
        <v/>
      </c>
    </row>
    <row r="70" spans="14:30" ht="19.5" x14ac:dyDescent="0.45">
      <c r="N70" s="86" t="s">
        <v>381</v>
      </c>
      <c r="O70" s="39" t="str">
        <f>IF(AND('2-3.設備仕様入力'!R$145="電気",'2-3.設備仕様入力'!R$151="kW"),1,IF(AND('2-3.設備仕様入力'!R$145="都市ガス",'2-3.設備仕様入力'!R$151="kW"),2,IF(AND('2-3.設備仕様入力'!R$145="都市ガス",'2-3.設備仕様入力'!R$151="ｍ3N/h"),3,IF(AND('2-3.設備仕様入力'!R$145="LPG",'2-3.設備仕様入力'!R$151="kW"),4,IF(AND('2-3.設備仕様入力'!R$145="LPG",'2-3.設備仕様入力'!R$151="kg/h"),5,"")))))</f>
        <v/>
      </c>
      <c r="P70" s="46" t="str">
        <f>IF(OR('2-3.設備仕様入力'!$R$143="電気式パッケージ形空調機",'2-3.設備仕様入力'!$R$143="ルームエアコン"),ROUND('2-3.設備仕様入力'!$R$149*'2-3.設備仕様入力'!$R$144*計算!$C$3*VLOOKUP('2-3.設備仕様入力'!$R$146,計算!$N$16:$P$26,2,FALSE)/1000,1),"")</f>
        <v/>
      </c>
      <c r="Q70" s="46" t="str">
        <f>IF(OR('2-3.設備仕様入力'!$R$143="電気式パッケージ形空調機",'2-3.設備仕様入力'!$R$143="ルームエアコン"),ROUND('2-3.設備仕様入力'!$R$150*'2-3.設備仕様入力'!$R$144*計算!$C$3*VLOOKUP('2-3.設備仕様入力'!$R$146,計算!$N$16:$P$26,3,FALSE)/1000,1),"")</f>
        <v/>
      </c>
      <c r="R70" s="46" t="str">
        <f t="shared" si="15"/>
        <v/>
      </c>
      <c r="S70" s="46" t="str">
        <f>IF('2-3.設備仕様入力'!$R$143="ガスヒートポンプ式空調機",IF('2-3.設備仕様入力'!$R$145="都市ガス",IF('2-3.設備仕様入力'!$R$151="kW",ROUND('2-3.設備仕様入力'!$R$144*'2-3.設備仕様入力'!$R$149*3.6/1000*VLOOKUP('2-3.設備仕様入力'!$R$146,計算!$N$16:$P$26,2,FALSE),1),""),""),"")</f>
        <v/>
      </c>
      <c r="T70" s="46" t="str">
        <f>IF('2-3.設備仕様入力'!$R$143="ガスヒートポンプ式空調機",IF('2-3.設備仕様入力'!$R$145="都市ガス",IF('2-3.設備仕様入力'!$R$151="kW",ROUND('2-3.設備仕様入力'!$R$144*'2-3.設備仕様入力'!$R$150*3.6/1000*VLOOKUP('2-3.設備仕様入力'!$R$146,計算!$N$16:$P$26,3,FALSE),1),""),""),"")</f>
        <v/>
      </c>
      <c r="U70" s="46" t="str">
        <f t="shared" si="16"/>
        <v/>
      </c>
      <c r="V70" s="46" t="str">
        <f>IF('2-3.設備仕様入力'!$R$143="ガスヒートポンプ式空調機",IF('2-3.設備仕様入力'!$R$151="ｍ3N/h",ROUND('2-3.設備仕様入力'!$R$144*'2-3.設備仕様入力'!$R$149*計算!$C$10/1000*VLOOKUP('2-3.設備仕様入力'!$R$146,計算!$N$16:$P$26,2,FALSE),1),""),"")</f>
        <v/>
      </c>
      <c r="W70" s="46" t="str">
        <f>IF('2-3.設備仕様入力'!$R$143="ガスヒートポンプ式空調機",IF('2-3.設備仕様入力'!$R$151="ｍ3N/h",ROUND('2-3.設備仕様入力'!$R$144*'2-3.設備仕様入力'!$R$150*計算!$C$10/1000*VLOOKUP('2-3.設備仕様入力'!$R$146,計算!$N$16:$P$26,3,FALSE),1),""),"")</f>
        <v/>
      </c>
      <c r="X70" s="46" t="str">
        <f t="shared" si="17"/>
        <v/>
      </c>
      <c r="Y70" s="46" t="str">
        <f>IF('2-3.設備仕様入力'!$R$143="ガスヒートポンプ式空調機",IF('2-3.設備仕様入力'!$R$145="LPG",IF('2-3.設備仕様入力'!$R$151="kW",ROUND('2-3.設備仕様入力'!$R$144*'2-3.設備仕様入力'!$R$149*3.6/1000*VLOOKUP('2-3.設備仕様入力'!$R$146,計算!$N$16:$P$26,2,FALSE),1),""),""),"")</f>
        <v/>
      </c>
      <c r="Z70" s="46" t="str">
        <f>IF('2-3.設備仕様入力'!$R$143="ガスヒートポンプ式空調機",IF('2-3.設備仕様入力'!$R$145="LPG",IF('2-3.設備仕様入力'!$R$151="kW",ROUND('2-3.設備仕様入力'!$R$144*'2-3.設備仕様入力'!$R$150*3.6/1000*VLOOKUP('2-3.設備仕様入力'!$R$146,計算!$N$16:$P$26,3,FALSE),1),""),""),"")</f>
        <v/>
      </c>
      <c r="AA70" s="46" t="str">
        <f t="shared" si="18"/>
        <v/>
      </c>
      <c r="AB70" s="46" t="str">
        <f>IF('2-3.設備仕様入力'!$R$143="ガスヒートポンプ式空調機",IF('2-3.設備仕様入力'!$R$145="LPG",IF('2-3.設備仕様入力'!$R$151="kg/h",ROUND('2-3.設備仕様入力'!$R$144*'2-3.設備仕様入力'!$R$149*計算!$C$11/1000*VLOOKUP('2-3.設備仕様入力'!$R$146,計算!$N$16:$P$26,2,FALSE),1),""),""),"")</f>
        <v/>
      </c>
      <c r="AC70" s="46" t="str">
        <f>IF('2-3.設備仕様入力'!$R$143="ガスヒートポンプ式空調機",IF('2-3.設備仕様入力'!$R$145="LPG",IF('2-3.設備仕様入力'!$R$151="kg/h",ROUND('2-3.設備仕様入力'!$R$144*'2-3.設備仕様入力'!$R$150*計算!$C$11/1000*VLOOKUP('2-3.設備仕様入力'!$R$146,計算!$N$16:$P$26,3,FALSE),1),""),""),"")</f>
        <v/>
      </c>
      <c r="AD70" s="46" t="str">
        <f t="shared" si="19"/>
        <v/>
      </c>
    </row>
    <row r="71" spans="14:30" ht="19.5" x14ac:dyDescent="0.45">
      <c r="N71" s="86" t="s">
        <v>382</v>
      </c>
      <c r="O71" s="39" t="str">
        <f>IF(AND('2-3.設備仕様入力'!S$145="電気",'2-3.設備仕様入力'!S$151="kW"),1,IF(AND('2-3.設備仕様入力'!S$145="都市ガス",'2-3.設備仕様入力'!S$151="kW"),2,IF(AND('2-3.設備仕様入力'!S$145="都市ガス",'2-3.設備仕様入力'!S$151="ｍ3N/h"),3,IF(AND('2-3.設備仕様入力'!S$145="LPG",'2-3.設備仕様入力'!S$151="kW"),4,IF(AND('2-3.設備仕様入力'!S$145="LPG",'2-3.設備仕様入力'!S$151="kg/h"),5,"")))))</f>
        <v/>
      </c>
      <c r="P71" s="46" t="str">
        <f>IF(OR('2-3.設備仕様入力'!$S$143="電気式パッケージ形空調機",'2-3.設備仕様入力'!$S$143="ルームエアコン"),ROUND('2-3.設備仕様入力'!$S$149*'2-3.設備仕様入力'!$S$144*計算!$C$3*VLOOKUP('2-3.設備仕様入力'!$S$146,計算!$N$16:$P$26,2,FALSE)/1000,1),"")</f>
        <v/>
      </c>
      <c r="Q71" s="46" t="str">
        <f>IF(OR('2-3.設備仕様入力'!$S$143="電気式パッケージ形空調機",'2-3.設備仕様入力'!$S$143="ルームエアコン"),ROUND('2-3.設備仕様入力'!$S$150*'2-3.設備仕様入力'!$S$144*計算!$C$3*VLOOKUP('2-3.設備仕様入力'!$S$146,計算!$N$16:$P$26,3,FALSE)/1000,1),"")</f>
        <v/>
      </c>
      <c r="R71" s="46" t="str">
        <f t="shared" si="15"/>
        <v/>
      </c>
      <c r="S71" s="46" t="str">
        <f>IF('2-3.設備仕様入力'!$S$143="ガスヒートポンプ式空調機",IF('2-3.設備仕様入力'!$S$145="都市ガス",IF('2-3.設備仕様入力'!$S$151="kW",ROUND('2-3.設備仕様入力'!$S$144*'2-3.設備仕様入力'!$S$149*3.6/1000*VLOOKUP('2-3.設備仕様入力'!$S$146,計算!$N$16:$P$26,2,FALSE),1),""),""),"")</f>
        <v/>
      </c>
      <c r="T71" s="46" t="str">
        <f>IF('2-3.設備仕様入力'!$S$143="ガスヒートポンプ式空調機",IF('2-3.設備仕様入力'!$S$145="都市ガス",IF('2-3.設備仕様入力'!$S$151="kW",ROUND('2-3.設備仕様入力'!$S$144*'2-3.設備仕様入力'!$S$150*3.6/1000*VLOOKUP('2-3.設備仕様入力'!$S$146,計算!$N$16:$P$26,3,FALSE),1),""),""),"")</f>
        <v/>
      </c>
      <c r="U71" s="46" t="str">
        <f t="shared" si="16"/>
        <v/>
      </c>
      <c r="V71" s="46" t="str">
        <f>IF('2-3.設備仕様入力'!$S$143="ガスヒートポンプ式空調機",IF('2-3.設備仕様入力'!$S$151="ｍ3N/h",ROUND('2-3.設備仕様入力'!$S$144*'2-3.設備仕様入力'!$S$149*計算!$C$10/1000*VLOOKUP('2-3.設備仕様入力'!$S$146,計算!$N$16:$P$26,2,FALSE),1),""),"")</f>
        <v/>
      </c>
      <c r="W71" s="46" t="str">
        <f>IF('2-3.設備仕様入力'!$S$143="ガスヒートポンプ式空調機",IF('2-3.設備仕様入力'!$S$151="ｍ3N/h",ROUND('2-3.設備仕様入力'!$S$144*'2-3.設備仕様入力'!$S$150*計算!$C$10/1000*VLOOKUP('2-3.設備仕様入力'!$S$146,計算!$N$16:$P$26,3,FALSE),1),""),"")</f>
        <v/>
      </c>
      <c r="X71" s="46" t="str">
        <f t="shared" si="17"/>
        <v/>
      </c>
      <c r="Y71" s="46" t="str">
        <f>IF('2-3.設備仕様入力'!$S$143="ガスヒートポンプ式空調機",IF('2-3.設備仕様入力'!$S$145="LPG",IF('2-3.設備仕様入力'!$S$151="kW",ROUND('2-3.設備仕様入力'!$S$144*'2-3.設備仕様入力'!$S$149*3.6/1000*VLOOKUP('2-3.設備仕様入力'!$S$146,計算!$N$16:$P$26,2,FALSE),1),""),""),"")</f>
        <v/>
      </c>
      <c r="Z71" s="46" t="str">
        <f>IF('2-3.設備仕様入力'!$S$143="ガスヒートポンプ式空調機",IF('2-3.設備仕様入力'!$S$145="LPG",IF('2-3.設備仕様入力'!$S$151="kW",ROUND('2-3.設備仕様入力'!$S$144*'2-3.設備仕様入力'!$S$150*3.6/1000*VLOOKUP('2-3.設備仕様入力'!$S$146,計算!$N$16:$P$26,3,FALSE),1),""),""),"")</f>
        <v/>
      </c>
      <c r="AA71" s="46" t="str">
        <f t="shared" si="18"/>
        <v/>
      </c>
      <c r="AB71" s="46" t="str">
        <f>IF('2-3.設備仕様入力'!$S$143="ガスヒートポンプ式空調機",IF('2-3.設備仕様入力'!$S$145="LPG",IF('2-3.設備仕様入力'!$S$151="kg/h",ROUND('2-3.設備仕様入力'!$S$144*'2-3.設備仕様入力'!$S$149*計算!$C$11/1000*VLOOKUP('2-3.設備仕様入力'!$S$146,計算!$N$16:$P$26,2,FALSE),1),""),""),"")</f>
        <v/>
      </c>
      <c r="AC71" s="46" t="str">
        <f>IF('2-3.設備仕様入力'!$S$143="ガスヒートポンプ式空調機",IF('2-3.設備仕様入力'!$S$145="LPG",IF('2-3.設備仕様入力'!$S$151="kg/h",ROUND('2-3.設備仕様入力'!$S$144*'2-3.設備仕様入力'!$S$150*計算!$C$11/1000*VLOOKUP('2-3.設備仕様入力'!$S$146,計算!$N$16:$P$26,3,FALSE),1),""),""),"")</f>
        <v/>
      </c>
      <c r="AD71" s="46" t="str">
        <f t="shared" si="19"/>
        <v/>
      </c>
    </row>
    <row r="72" spans="14:30" ht="19.5" x14ac:dyDescent="0.45">
      <c r="N72" s="86" t="s">
        <v>383</v>
      </c>
      <c r="O72" s="39" t="str">
        <f>IF(AND('2-3.設備仕様入力'!T$145="電気",'2-3.設備仕様入力'!T$151="kW"),1,IF(AND('2-3.設備仕様入力'!T$145="都市ガス",'2-3.設備仕様入力'!T$151="kW"),2,IF(AND('2-3.設備仕様入力'!T$145="都市ガス",'2-3.設備仕様入力'!T$151="ｍ3N/h"),3,IF(AND('2-3.設備仕様入力'!T$145="LPG",'2-3.設備仕様入力'!T$151="kW"),4,IF(AND('2-3.設備仕様入力'!T$145="LPG",'2-3.設備仕様入力'!T$151="kg/h"),5,"")))))</f>
        <v/>
      </c>
      <c r="P72" s="46" t="str">
        <f>IF(OR('2-3.設備仕様入力'!$T$143="電気式パッケージ形空調機",'2-3.設備仕様入力'!$T$143="ルームエアコン"),ROUND('2-3.設備仕様入力'!$T$149*'2-3.設備仕様入力'!$T$144*計算!$C$3*VLOOKUP('2-3.設備仕様入力'!$T$146,計算!$N$16:$P$26,2,FALSE)/1000,1),"")</f>
        <v/>
      </c>
      <c r="Q72" s="46" t="str">
        <f>IF(OR('2-3.設備仕様入力'!$T$143="電気式パッケージ形空調機",'2-3.設備仕様入力'!$T$143="ルームエアコン"),ROUND('2-3.設備仕様入力'!$T$150*'2-3.設備仕様入力'!$T$144*計算!$C$3*VLOOKUP('2-3.設備仕様入力'!$T$146,計算!$N$16:$P$26,3,FALSE)/1000,1),"")</f>
        <v/>
      </c>
      <c r="R72" s="46" t="str">
        <f t="shared" si="15"/>
        <v/>
      </c>
      <c r="S72" s="46" t="str">
        <f>IF('2-3.設備仕様入力'!$T$143="ガスヒートポンプ式空調機",IF('2-3.設備仕様入力'!$T$145="都市ガス",IF('2-3.設備仕様入力'!$T$151="kW",ROUND('2-3.設備仕様入力'!$T$144*'2-3.設備仕様入力'!$T$149*3.6/1000*VLOOKUP('2-3.設備仕様入力'!$T$146,計算!$N$16:$P$26,2,FALSE),1),""),""),"")</f>
        <v/>
      </c>
      <c r="T72" s="46" t="str">
        <f>IF('2-3.設備仕様入力'!$T$143="ガスヒートポンプ式空調機",IF('2-3.設備仕様入力'!$T$145="都市ガス",IF('2-3.設備仕様入力'!$T$151="kW",ROUND('2-3.設備仕様入力'!$T$144*'2-3.設備仕様入力'!$T$150*3.6/1000*VLOOKUP('2-3.設備仕様入力'!$T$146,計算!$N$16:$P$26,3,FALSE),1),""),""),"")</f>
        <v/>
      </c>
      <c r="U72" s="46" t="str">
        <f t="shared" si="16"/>
        <v/>
      </c>
      <c r="V72" s="46" t="str">
        <f>IF('2-3.設備仕様入力'!$T$143="ガスヒートポンプ式空調機",IF('2-3.設備仕様入力'!$T$151="ｍ3N/h",ROUND('2-3.設備仕様入力'!$T$144*'2-3.設備仕様入力'!$T$149*計算!$C$10/1000*VLOOKUP('2-3.設備仕様入力'!$T$146,計算!$N$16:$P$26,2,FALSE),1),""),"")</f>
        <v/>
      </c>
      <c r="W72" s="46" t="str">
        <f>IF('2-3.設備仕様入力'!$T$143="ガスヒートポンプ式空調機",IF('2-3.設備仕様入力'!$T$151="ｍ3N/h",ROUND('2-3.設備仕様入力'!$T$144*'2-3.設備仕様入力'!$T$150*計算!$C$10/1000*VLOOKUP('2-3.設備仕様入力'!$T$146,計算!$N$16:$P$26,3,FALSE),1),""),"")</f>
        <v/>
      </c>
      <c r="X72" s="46" t="str">
        <f t="shared" si="17"/>
        <v/>
      </c>
      <c r="Y72" s="46" t="str">
        <f>IF('2-3.設備仕様入力'!$T$143="ガスヒートポンプ式空調機",IF('2-3.設備仕様入力'!$T$145="LPG",IF('2-3.設備仕様入力'!$T$151="kW",ROUND('2-3.設備仕様入力'!$T$144*'2-3.設備仕様入力'!$T$149*3.6/1000*VLOOKUP('2-3.設備仕様入力'!$T$146,計算!$N$16:$P$26,2,FALSE),1),""),""),"")</f>
        <v/>
      </c>
      <c r="Z72" s="46" t="str">
        <f>IF('2-3.設備仕様入力'!$T$143="ガスヒートポンプ式空調機",IF('2-3.設備仕様入力'!$T$145="LPG",IF('2-3.設備仕様入力'!$T$151="kW",ROUND('2-3.設備仕様入力'!$T$144*'2-3.設備仕様入力'!$T$150*3.6/1000*VLOOKUP('2-3.設備仕様入力'!$T$146,計算!$N$16:$P$26,3,FALSE),1),""),""),"")</f>
        <v/>
      </c>
      <c r="AA72" s="46" t="str">
        <f t="shared" si="18"/>
        <v/>
      </c>
      <c r="AB72" s="46" t="str">
        <f>IF('2-3.設備仕様入力'!$T$143="ガスヒートポンプ式空調機",IF('2-3.設備仕様入力'!$T$145="LPG",IF('2-3.設備仕様入力'!$T$151="kg/h",ROUND('2-3.設備仕様入力'!$T$144*'2-3.設備仕様入力'!$T$149*計算!$C$11/1000*VLOOKUP('2-3.設備仕様入力'!$T$146,計算!$N$16:$P$26,2,FALSE),1),""),""),"")</f>
        <v/>
      </c>
      <c r="AC72" s="46" t="str">
        <f>IF('2-3.設備仕様入力'!$T$143="ガスヒートポンプ式空調機",IF('2-3.設備仕様入力'!$T$145="LPG",IF('2-3.設備仕様入力'!$T$151="kg/h",ROUND('2-3.設備仕様入力'!$T$144*'2-3.設備仕様入力'!$T$150*計算!$C$11/1000*VLOOKUP('2-3.設備仕様入力'!$T$146,計算!$N$16:$P$26,3,FALSE),1),""),""),"")</f>
        <v/>
      </c>
      <c r="AD72" s="46" t="str">
        <f t="shared" si="19"/>
        <v/>
      </c>
    </row>
    <row r="73" spans="14:30" ht="19.5" x14ac:dyDescent="0.45">
      <c r="N73" s="86" t="s">
        <v>384</v>
      </c>
      <c r="O73" s="39" t="str">
        <f>IF(AND('2-3.設備仕様入力'!U$145="電気",'2-3.設備仕様入力'!U$151="kW"),1,IF(AND('2-3.設備仕様入力'!U$145="都市ガス",'2-3.設備仕様入力'!U$151="kW"),2,IF(AND('2-3.設備仕様入力'!U$145="都市ガス",'2-3.設備仕様入力'!U$151="ｍ3N/h"),3,IF(AND('2-3.設備仕様入力'!U$145="LPG",'2-3.設備仕様入力'!U$151="kW"),4,IF(AND('2-3.設備仕様入力'!U$145="LPG",'2-3.設備仕様入力'!U$151="kg/h"),5,"")))))</f>
        <v/>
      </c>
      <c r="P73" s="46" t="str">
        <f>IF(OR('2-3.設備仕様入力'!$U$143="電気式パッケージ形空調機",'2-3.設備仕様入力'!$U$143="ルームエアコン"),ROUND('2-3.設備仕様入力'!$U$149*'2-3.設備仕様入力'!$U$144*計算!$C$3*VLOOKUP('2-3.設備仕様入力'!$U$146,計算!$N$16:$P$26,2,FALSE)/1000,1),"")</f>
        <v/>
      </c>
      <c r="Q73" s="46" t="str">
        <f>IF(OR('2-3.設備仕様入力'!$U$143="電気式パッケージ形空調機",'2-3.設備仕様入力'!$U$143="ルームエアコン"),ROUND('2-3.設備仕様入力'!$U$150*'2-3.設備仕様入力'!$U$144*計算!$C$3*VLOOKUP('2-3.設備仕様入力'!$U$146,計算!$N$16:$P$26,3,FALSE)/1000,1),"")</f>
        <v/>
      </c>
      <c r="R73" s="46" t="str">
        <f t="shared" si="15"/>
        <v/>
      </c>
      <c r="S73" s="46" t="str">
        <f>IF('2-3.設備仕様入力'!$U$143="ガスヒートポンプ式空調機",IF('2-3.設備仕様入力'!$U$145="都市ガス",IF('2-3.設備仕様入力'!$U$151="kW",ROUND('2-3.設備仕様入力'!$U$144*'2-3.設備仕様入力'!$U$149*3.6/1000*VLOOKUP('2-3.設備仕様入力'!$U$146,計算!$N$16:$P$26,2,FALSE),1),""),""),"")</f>
        <v/>
      </c>
      <c r="T73" s="46" t="str">
        <f>IF('2-3.設備仕様入力'!$U$143="ガスヒートポンプ式空調機",IF('2-3.設備仕様入力'!$U$145="都市ガス",IF('2-3.設備仕様入力'!$U$151="kW",ROUND('2-3.設備仕様入力'!$U$144*'2-3.設備仕様入力'!$U$150*3.6/1000*VLOOKUP('2-3.設備仕様入力'!$U$146,計算!$N$16:$P$26,3,FALSE),1),""),""),"")</f>
        <v/>
      </c>
      <c r="U73" s="46" t="str">
        <f t="shared" si="16"/>
        <v/>
      </c>
      <c r="V73" s="46" t="str">
        <f>IF('2-3.設備仕様入力'!$U$143="ガスヒートポンプ式空調機",IF('2-3.設備仕様入力'!$U$151="ｍ3N/h",ROUND('2-3.設備仕様入力'!$U$144*'2-3.設備仕様入力'!$U$149*計算!$C$10/1000*VLOOKUP('2-3.設備仕様入力'!$U$146,計算!$N$16:$P$26,2,FALSE),1),""),"")</f>
        <v/>
      </c>
      <c r="W73" s="46" t="str">
        <f>IF('2-3.設備仕様入力'!$U$143="ガスヒートポンプ式空調機",IF('2-3.設備仕様入力'!$U$151="ｍ3N/h",ROUND('2-3.設備仕様入力'!$U$144*'2-3.設備仕様入力'!$U$150*計算!$C$10/1000*VLOOKUP('2-3.設備仕様入力'!$U$146,計算!$N$16:$P$26,3,FALSE),1),""),"")</f>
        <v/>
      </c>
      <c r="X73" s="46" t="str">
        <f t="shared" si="17"/>
        <v/>
      </c>
      <c r="Y73" s="46" t="str">
        <f>IF('2-3.設備仕様入力'!$U$143="ガスヒートポンプ式空調機",IF('2-3.設備仕様入力'!$U$145="LPG",IF('2-3.設備仕様入力'!$U$151="kW",ROUND('2-3.設備仕様入力'!$U$144*'2-3.設備仕様入力'!$U$149*3.6/1000*VLOOKUP('2-3.設備仕様入力'!$U$146,計算!$N$16:$P$26,2,FALSE),1),""),""),"")</f>
        <v/>
      </c>
      <c r="Z73" s="46" t="str">
        <f>IF('2-3.設備仕様入力'!$U$143="ガスヒートポンプ式空調機",IF('2-3.設備仕様入力'!$U$145="LPG",IF('2-3.設備仕様入力'!$U$151="kW",ROUND('2-3.設備仕様入力'!$U$144*'2-3.設備仕様入力'!$U$150*3.6/1000*VLOOKUP('2-3.設備仕様入力'!$U$146,計算!$N$16:$P$26,3,FALSE),1),""),""),"")</f>
        <v/>
      </c>
      <c r="AA73" s="46" t="str">
        <f t="shared" si="18"/>
        <v/>
      </c>
      <c r="AB73" s="46" t="str">
        <f>IF('2-3.設備仕様入力'!$U$143="ガスヒートポンプ式空調機",IF('2-3.設備仕様入力'!$U$145="LPG",IF('2-3.設備仕様入力'!$U$151="kg/h",ROUND('2-3.設備仕様入力'!$U$144*'2-3.設備仕様入力'!$U$149*計算!$C$11/1000*VLOOKUP('2-3.設備仕様入力'!$U$146,計算!$N$16:$P$26,2,FALSE),1),""),""),"")</f>
        <v/>
      </c>
      <c r="AC73" s="46" t="str">
        <f>IF('2-3.設備仕様入力'!$U$143="ガスヒートポンプ式空調機",IF('2-3.設備仕様入力'!$U$145="LPG",IF('2-3.設備仕様入力'!$U$151="kg/h",ROUND('2-3.設備仕様入力'!$U$144*'2-3.設備仕様入力'!$U$150*計算!$C$11/1000*VLOOKUP('2-3.設備仕様入力'!$U$146,計算!$N$16:$P$26,3,FALSE),1),""),""),"")</f>
        <v/>
      </c>
      <c r="AD73" s="46" t="str">
        <f t="shared" si="19"/>
        <v/>
      </c>
    </row>
    <row r="74" spans="14:30" ht="19.5" x14ac:dyDescent="0.45">
      <c r="N74" s="86" t="s">
        <v>385</v>
      </c>
      <c r="O74" s="39" t="str">
        <f>IF(AND('2-3.設備仕様入力'!V$145="電気",'2-3.設備仕様入力'!V$151="kW"),1,IF(AND('2-3.設備仕様入力'!V$145="都市ガス",'2-3.設備仕様入力'!V$151="kW"),2,IF(AND('2-3.設備仕様入力'!V$145="都市ガス",'2-3.設備仕様入力'!V$151="ｍ3N/h"),3,IF(AND('2-3.設備仕様入力'!V$145="LPG",'2-3.設備仕様入力'!V$151="kW"),4,IF(AND('2-3.設備仕様入力'!V$145="LPG",'2-3.設備仕様入力'!V$151="kg/h"),5,"")))))</f>
        <v/>
      </c>
      <c r="P74" s="46" t="str">
        <f>IF(OR('2-3.設備仕様入力'!$V$143="電気式パッケージ形空調機",'2-3.設備仕様入力'!$V$143="ルームエアコン"),ROUND('2-3.設備仕様入力'!$V$149*'2-3.設備仕様入力'!$V$144*計算!$C$3*VLOOKUP('2-3.設備仕様入力'!$V$146,計算!$N$16:$P$26,2,FALSE)/1000,1),"")</f>
        <v/>
      </c>
      <c r="Q74" s="46" t="str">
        <f>IF(OR('2-3.設備仕様入力'!$V$143="電気式パッケージ形空調機",'2-3.設備仕様入力'!$V$143="ルームエアコン"),ROUND('2-3.設備仕様入力'!$V$150*'2-3.設備仕様入力'!$V$144*計算!$C$3*VLOOKUP('2-3.設備仕様入力'!$V$146,計算!$N$16:$P$26,3,FALSE)/1000,1),"")</f>
        <v/>
      </c>
      <c r="R74" s="46" t="str">
        <f t="shared" si="15"/>
        <v/>
      </c>
      <c r="S74" s="46" t="str">
        <f>IF('2-3.設備仕様入力'!$V$143="ガスヒートポンプ式空調機",IF('2-3.設備仕様入力'!$V$145="都市ガス",IF('2-3.設備仕様入力'!$V$151="kW",ROUND('2-3.設備仕様入力'!$V$144*'2-3.設備仕様入力'!$V$149*3.6/1000*VLOOKUP('2-3.設備仕様入力'!$V$146,計算!$N$16:$P$26,2,FALSE),1),""),""),"")</f>
        <v/>
      </c>
      <c r="T74" s="46" t="str">
        <f>IF('2-3.設備仕様入力'!$V$143="ガスヒートポンプ式空調機",IF('2-3.設備仕様入力'!$V$145="都市ガス",IF('2-3.設備仕様入力'!$V$151="kW",ROUND('2-3.設備仕様入力'!$V$144*'2-3.設備仕様入力'!$V$150*3.6/1000*VLOOKUP('2-3.設備仕様入力'!$V$146,計算!$N$16:$P$26,3,FALSE),1),""),""),"")</f>
        <v/>
      </c>
      <c r="U74" s="46" t="str">
        <f t="shared" si="16"/>
        <v/>
      </c>
      <c r="V74" s="46" t="str">
        <f>IF('2-3.設備仕様入力'!$V$143="ガスヒートポンプ式空調機",IF('2-3.設備仕様入力'!$V$151="ｍ3N/h",ROUND('2-3.設備仕様入力'!$V$144*'2-3.設備仕様入力'!$V$149*計算!$C$10/1000*VLOOKUP('2-3.設備仕様入力'!$V$146,計算!$N$16:$P$26,2,FALSE),1),""),"")</f>
        <v/>
      </c>
      <c r="W74" s="46" t="str">
        <f>IF('2-3.設備仕様入力'!$V$143="ガスヒートポンプ式空調機",IF('2-3.設備仕様入力'!$V$151="ｍ3N/h",ROUND('2-3.設備仕様入力'!$V$144*'2-3.設備仕様入力'!$V$150*計算!$C$10/1000*VLOOKUP('2-3.設備仕様入力'!$V$146,計算!$N$16:$P$26,3,FALSE),1),""),"")</f>
        <v/>
      </c>
      <c r="X74" s="46" t="str">
        <f t="shared" si="17"/>
        <v/>
      </c>
      <c r="Y74" s="46" t="str">
        <f>IF('2-3.設備仕様入力'!$V$143="ガスヒートポンプ式空調機",IF('2-3.設備仕様入力'!$V$145="LPG",IF('2-3.設備仕様入力'!$V$151="kW",ROUND('2-3.設備仕様入力'!$V$144*'2-3.設備仕様入力'!$V$149*3.6/1000*VLOOKUP('2-3.設備仕様入力'!$V$146,計算!$N$16:$P$26,2,FALSE),1),""),""),"")</f>
        <v/>
      </c>
      <c r="Z74" s="46" t="str">
        <f>IF('2-3.設備仕様入力'!$V$143="ガスヒートポンプ式空調機",IF('2-3.設備仕様入力'!$V$145="LPG",IF('2-3.設備仕様入力'!$V$151="kW",ROUND('2-3.設備仕様入力'!$V$144*'2-3.設備仕様入力'!$V$150*3.6/1000*VLOOKUP('2-3.設備仕様入力'!$V$146,計算!$N$16:$P$26,3,FALSE),1),""),""),"")</f>
        <v/>
      </c>
      <c r="AA74" s="46" t="str">
        <f t="shared" si="18"/>
        <v/>
      </c>
      <c r="AB74" s="46" t="str">
        <f>IF('2-3.設備仕様入力'!$V$143="ガスヒートポンプ式空調機",IF('2-3.設備仕様入力'!$V$145="LPG",IF('2-3.設備仕様入力'!$V$151="kg/h",ROUND('2-3.設備仕様入力'!$V$144*'2-3.設備仕様入力'!$V$149*計算!$C$11/1000*VLOOKUP('2-3.設備仕様入力'!$V$146,計算!$N$16:$P$26,2,FALSE),1),""),""),"")</f>
        <v/>
      </c>
      <c r="AC74" s="46" t="str">
        <f>IF('2-3.設備仕様入力'!$V$143="ガスヒートポンプ式空調機",IF('2-3.設備仕様入力'!$V$145="LPG",IF('2-3.設備仕様入力'!$V$151="kg/h",ROUND('2-3.設備仕様入力'!$V$144*'2-3.設備仕様入力'!$V$150*計算!$C$11/1000*VLOOKUP('2-3.設備仕様入力'!$V$146,計算!$N$16:$P$26,3,FALSE),1),""),""),"")</f>
        <v/>
      </c>
      <c r="AD74" s="46" t="str">
        <f t="shared" si="19"/>
        <v/>
      </c>
    </row>
    <row r="75" spans="14:30" ht="19.5" x14ac:dyDescent="0.45">
      <c r="N75" s="86" t="s">
        <v>386</v>
      </c>
      <c r="O75" s="39" t="str">
        <f>IF(AND('2-3.設備仕様入力'!W$145="電気",'2-3.設備仕様入力'!W$151="kW"),1,IF(AND('2-3.設備仕様入力'!W$145="都市ガス",'2-3.設備仕様入力'!W$151="kW"),2,IF(AND('2-3.設備仕様入力'!W$145="都市ガス",'2-3.設備仕様入力'!W$151="ｍ3N/h"),3,IF(AND('2-3.設備仕様入力'!W$145="LPG",'2-3.設備仕様入力'!W$151="kW"),4,IF(AND('2-3.設備仕様入力'!W$145="LPG",'2-3.設備仕様入力'!W$151="kg/h"),5,"")))))</f>
        <v/>
      </c>
      <c r="P75" s="46" t="str">
        <f>IF(OR('2-3.設備仕様入力'!$W$143="電気式パッケージ形空調機",'2-3.設備仕様入力'!$W$143="ルームエアコン"),ROUND('2-3.設備仕様入力'!$W$149*'2-3.設備仕様入力'!$W$144*計算!$C$3*VLOOKUP('2-3.設備仕様入力'!$W$146,計算!$N$16:$P$26,2,FALSE)/1000,1),"")</f>
        <v/>
      </c>
      <c r="Q75" s="46" t="str">
        <f>IF(OR('2-3.設備仕様入力'!$W$143="電気式パッケージ形空調機",'2-3.設備仕様入力'!$W$143="ルームエアコン"),ROUND('2-3.設備仕様入力'!$W$150*'2-3.設備仕様入力'!$W$144*計算!$C$3*VLOOKUP('2-3.設備仕様入力'!$W$146,計算!$N$16:$P$26,3,FALSE)/1000,1),"")</f>
        <v/>
      </c>
      <c r="R75" s="46" t="str">
        <f t="shared" si="15"/>
        <v/>
      </c>
      <c r="S75" s="46" t="str">
        <f>IF('2-3.設備仕様入力'!$W$143="ガスヒートポンプ式空調機",IF('2-3.設備仕様入力'!$W$145="都市ガス",IF('2-3.設備仕様入力'!$W$151="kW",ROUND('2-3.設備仕様入力'!$W$144*'2-3.設備仕様入力'!$W$149*3.6/1000*VLOOKUP('2-3.設備仕様入力'!$W$146,計算!$N$16:$P$26,2,FALSE),1),""),""),"")</f>
        <v/>
      </c>
      <c r="T75" s="46" t="str">
        <f>IF('2-3.設備仕様入力'!$W$143="ガスヒートポンプ式空調機",IF('2-3.設備仕様入力'!$W$145="都市ガス",IF('2-3.設備仕様入力'!$W$151="kW",ROUND('2-3.設備仕様入力'!$W$144*'2-3.設備仕様入力'!$W$150*3.6/1000*VLOOKUP('2-3.設備仕様入力'!$W$146,計算!$N$16:$P$26,3,FALSE),1),""),""),"")</f>
        <v/>
      </c>
      <c r="U75" s="46" t="str">
        <f t="shared" si="16"/>
        <v/>
      </c>
      <c r="V75" s="46" t="str">
        <f>IF('2-3.設備仕様入力'!$W$143="ガスヒートポンプ式空調機",IF('2-3.設備仕様入力'!$W$151="ｍ3N/h",ROUND('2-3.設備仕様入力'!$W$144*'2-3.設備仕様入力'!$W$149*計算!$C$10/1000*VLOOKUP('2-3.設備仕様入力'!$W$146,計算!$N$16:$P$26,2,FALSE),1),""),"")</f>
        <v/>
      </c>
      <c r="W75" s="46" t="str">
        <f>IF('2-3.設備仕様入力'!$W$143="ガスヒートポンプ式空調機",IF('2-3.設備仕様入力'!$W$151="ｍ3N/h",ROUND('2-3.設備仕様入力'!$W$144*'2-3.設備仕様入力'!$W$150*計算!$C$10/1000*VLOOKUP('2-3.設備仕様入力'!$W$146,計算!$N$16:$P$26,3,FALSE),1),""),"")</f>
        <v/>
      </c>
      <c r="X75" s="46" t="str">
        <f t="shared" si="17"/>
        <v/>
      </c>
      <c r="Y75" s="46" t="str">
        <f>IF('2-3.設備仕様入力'!$W$143="ガスヒートポンプ式空調機",IF('2-3.設備仕様入力'!$W$145="LPG",IF('2-3.設備仕様入力'!$W$151="kW",ROUND('2-3.設備仕様入力'!$W$144*'2-3.設備仕様入力'!$W$149*3.6/1000*VLOOKUP('2-3.設備仕様入力'!$W$146,計算!$N$16:$P$26,2,FALSE),1),""),""),"")</f>
        <v/>
      </c>
      <c r="Z75" s="46" t="str">
        <f>IF('2-3.設備仕様入力'!$W$143="ガスヒートポンプ式空調機",IF('2-3.設備仕様入力'!$W$145="LPG",IF('2-3.設備仕様入力'!$W$151="kW",ROUND('2-3.設備仕様入力'!$W$144*'2-3.設備仕様入力'!$W$150*3.6/1000*VLOOKUP('2-3.設備仕様入力'!$W$146,計算!$N$16:$P$26,3,FALSE),1),""),""),"")</f>
        <v/>
      </c>
      <c r="AA75" s="46" t="str">
        <f t="shared" si="18"/>
        <v/>
      </c>
      <c r="AB75" s="46" t="str">
        <f>IF('2-3.設備仕様入力'!$W$143="ガスヒートポンプ式空調機",IF('2-3.設備仕様入力'!$W$145="LPG",IF('2-3.設備仕様入力'!$W$151="kg/h",ROUND('2-3.設備仕様入力'!$W$144*'2-3.設備仕様入力'!$W$149*計算!$C$11/1000*VLOOKUP('2-3.設備仕様入力'!$W$146,計算!$N$16:$P$26,2,FALSE),1),""),""),"")</f>
        <v/>
      </c>
      <c r="AC75" s="46" t="str">
        <f>IF('2-3.設備仕様入力'!$W$143="ガスヒートポンプ式空調機",IF('2-3.設備仕様入力'!$W$145="LPG",IF('2-3.設備仕様入力'!$W$151="kg/h",ROUND('2-3.設備仕様入力'!$W$144*'2-3.設備仕様入力'!$W$150*計算!$C$11/1000*VLOOKUP('2-3.設備仕様入力'!$W$146,計算!$N$16:$P$26,3,FALSE),1),""),""),"")</f>
        <v/>
      </c>
      <c r="AD75" s="46" t="str">
        <f t="shared" si="19"/>
        <v/>
      </c>
    </row>
    <row r="76" spans="14:30" ht="19.5" x14ac:dyDescent="0.45">
      <c r="P76" s="156"/>
      <c r="Q76" s="156"/>
      <c r="R76" s="156"/>
      <c r="S76" s="156"/>
      <c r="T76" s="156"/>
      <c r="U76" s="156"/>
      <c r="V76" s="156"/>
      <c r="W76" s="156"/>
      <c r="X76" s="156"/>
      <c r="Y76" s="156"/>
      <c r="Z76" s="156"/>
      <c r="AA76" s="156"/>
      <c r="AB76" s="156"/>
      <c r="AC76" s="156"/>
      <c r="AD76" s="156"/>
    </row>
  </sheetData>
  <mergeCells count="13">
    <mergeCell ref="P53:AD53"/>
    <mergeCell ref="P54:R54"/>
    <mergeCell ref="S54:U54"/>
    <mergeCell ref="V54:X54"/>
    <mergeCell ref="Y54:AA54"/>
    <mergeCell ref="AB54:AD54"/>
    <mergeCell ref="J1:K1"/>
    <mergeCell ref="P28:AD28"/>
    <mergeCell ref="Y29:AA29"/>
    <mergeCell ref="AB29:AD29"/>
    <mergeCell ref="P29:R29"/>
    <mergeCell ref="S29:U29"/>
    <mergeCell ref="V29:X29"/>
  </mergeCells>
  <phoneticPr fontId="2"/>
  <pageMargins left="0.7" right="0.7" top="0.75" bottom="0.75" header="0.3" footer="0.3"/>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outlinePr summaryBelow="0" summaryRight="0"/>
    <pageSetUpPr fitToPage="1"/>
  </sheetPr>
  <dimension ref="B1:BO54"/>
  <sheetViews>
    <sheetView tabSelected="1" topLeftCell="A13" zoomScale="80" zoomScaleNormal="80" workbookViewId="0">
      <selection activeCell="E24" sqref="E24"/>
    </sheetView>
  </sheetViews>
  <sheetFormatPr defaultColWidth="7.19921875" defaultRowHeight="19.5" x14ac:dyDescent="0.45"/>
  <cols>
    <col min="1" max="1" width="2.19921875" style="44" customWidth="1"/>
    <col min="2" max="2" width="14.8984375" style="44" customWidth="1"/>
    <col min="3" max="3" width="4.796875" style="44" customWidth="1"/>
    <col min="4" max="4" width="4" style="44" customWidth="1"/>
    <col min="5" max="13" width="9.796875" style="44" customWidth="1"/>
    <col min="14" max="14" width="9.796875" style="44" customWidth="1" collapsed="1"/>
    <col min="15" max="28" width="9.796875" style="44" customWidth="1"/>
    <col min="29" max="29" width="9.796875" style="44" customWidth="1" collapsed="1"/>
    <col min="30" max="36" width="9.796875" style="44" customWidth="1"/>
    <col min="37" max="37" width="9.796875" style="51" customWidth="1"/>
    <col min="38" max="54" width="9.796875" style="44" customWidth="1"/>
    <col min="55" max="65" width="9.8984375" style="44" customWidth="1"/>
    <col min="66" max="16384" width="7.19921875" style="44"/>
  </cols>
  <sheetData>
    <row r="1" spans="2:34" s="64" customFormat="1" ht="18.75" x14ac:dyDescent="0.45"/>
    <row r="2" spans="2:34" s="23" customFormat="1" x14ac:dyDescent="0.45">
      <c r="B2" s="55" t="s">
        <v>213</v>
      </c>
      <c r="C2" s="55"/>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2:34" s="64" customFormat="1" x14ac:dyDescent="0.45">
      <c r="B3" s="79" t="s">
        <v>214</v>
      </c>
      <c r="C3" s="44"/>
      <c r="D3" s="44"/>
      <c r="E3" s="44"/>
      <c r="F3" s="44"/>
      <c r="G3" s="44"/>
      <c r="H3" s="44"/>
      <c r="I3" s="44"/>
      <c r="J3" s="44"/>
      <c r="K3" s="56"/>
      <c r="L3" s="44"/>
      <c r="M3" s="44"/>
      <c r="N3" s="44"/>
      <c r="O3" s="44"/>
      <c r="P3" s="44"/>
      <c r="Q3" s="44"/>
      <c r="R3" s="44"/>
      <c r="S3" s="44"/>
      <c r="T3" s="44"/>
      <c r="U3" s="44"/>
      <c r="V3" s="44"/>
      <c r="W3" s="44"/>
      <c r="X3" s="44"/>
      <c r="Y3" s="44"/>
      <c r="Z3" s="44"/>
      <c r="AA3" s="44"/>
      <c r="AB3" s="44"/>
      <c r="AC3" s="44"/>
      <c r="AD3" s="44"/>
      <c r="AE3" s="44"/>
      <c r="AF3" s="44"/>
      <c r="AG3" s="44"/>
      <c r="AH3" s="44"/>
    </row>
    <row r="4" spans="2:34" s="64" customFormat="1" x14ac:dyDescent="0.45">
      <c r="B4" s="79"/>
      <c r="C4" s="44"/>
      <c r="D4" s="44"/>
      <c r="E4" s="44"/>
      <c r="F4" s="44"/>
      <c r="G4" s="44"/>
      <c r="H4" s="44"/>
      <c r="I4" s="44"/>
      <c r="J4" s="44"/>
      <c r="K4" s="56"/>
      <c r="L4" s="44"/>
      <c r="M4" s="44"/>
      <c r="N4" s="44"/>
      <c r="O4" s="44"/>
      <c r="P4" s="44"/>
      <c r="Q4" s="44"/>
      <c r="R4" s="44"/>
      <c r="S4" s="44"/>
      <c r="T4" s="44"/>
      <c r="U4" s="44"/>
      <c r="V4" s="44"/>
      <c r="W4" s="44"/>
      <c r="X4" s="44"/>
      <c r="Y4" s="44"/>
      <c r="Z4" s="44"/>
      <c r="AA4" s="44"/>
      <c r="AB4" s="44"/>
      <c r="AC4" s="44"/>
      <c r="AD4" s="44"/>
      <c r="AE4" s="44"/>
      <c r="AF4" s="44"/>
      <c r="AG4" s="44"/>
      <c r="AH4" s="44"/>
    </row>
    <row r="5" spans="2:34" s="23" customFormat="1" x14ac:dyDescent="0.45">
      <c r="B5" s="55" t="s">
        <v>166</v>
      </c>
      <c r="C5" s="55"/>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2:34" s="64" customFormat="1" x14ac:dyDescent="0.45">
      <c r="B6" s="127" t="s">
        <v>537</v>
      </c>
      <c r="C6" s="44"/>
      <c r="D6" s="44"/>
      <c r="E6" s="44"/>
      <c r="F6" s="44"/>
      <c r="G6" s="44"/>
      <c r="H6" s="44"/>
      <c r="I6" s="44"/>
      <c r="J6" s="44"/>
      <c r="K6" s="56"/>
      <c r="L6" s="44"/>
      <c r="M6" s="44"/>
      <c r="N6" s="44"/>
      <c r="O6" s="44"/>
      <c r="P6" s="44"/>
      <c r="Q6" s="44"/>
      <c r="R6" s="44"/>
      <c r="S6" s="44"/>
      <c r="T6" s="44"/>
      <c r="U6" s="44"/>
      <c r="V6" s="44"/>
      <c r="W6" s="44"/>
      <c r="X6" s="44"/>
      <c r="Y6" s="44"/>
      <c r="Z6" s="44"/>
      <c r="AA6" s="44"/>
      <c r="AB6" s="44"/>
      <c r="AC6" s="44"/>
      <c r="AD6" s="44"/>
      <c r="AE6" s="44"/>
      <c r="AF6" s="44"/>
      <c r="AG6" s="44"/>
      <c r="AH6" s="44"/>
    </row>
    <row r="7" spans="2:34" s="64" customFormat="1" x14ac:dyDescent="0.45">
      <c r="B7" s="127" t="s">
        <v>538</v>
      </c>
      <c r="C7" s="44"/>
      <c r="D7" s="44"/>
      <c r="E7" s="44"/>
      <c r="F7" s="44"/>
      <c r="G7" s="44"/>
      <c r="H7" s="44"/>
      <c r="I7" s="44"/>
      <c r="J7" s="44"/>
      <c r="K7" s="56"/>
      <c r="L7" s="44"/>
      <c r="M7" s="44"/>
      <c r="N7" s="44"/>
      <c r="O7" s="44"/>
      <c r="P7" s="44"/>
      <c r="Q7" s="44"/>
      <c r="R7" s="44"/>
      <c r="S7" s="44"/>
      <c r="T7" s="44"/>
      <c r="U7" s="44"/>
      <c r="V7" s="44"/>
      <c r="W7" s="44"/>
      <c r="X7" s="44"/>
      <c r="Y7" s="44"/>
      <c r="Z7" s="44"/>
      <c r="AA7" s="44"/>
      <c r="AB7" s="44"/>
      <c r="AC7" s="44"/>
      <c r="AD7" s="44"/>
      <c r="AE7" s="44"/>
      <c r="AF7" s="44"/>
      <c r="AG7" s="44"/>
      <c r="AH7" s="44"/>
    </row>
    <row r="8" spans="2:34" s="64" customFormat="1" x14ac:dyDescent="0.45">
      <c r="B8" s="127" t="s">
        <v>539</v>
      </c>
      <c r="C8" s="44"/>
      <c r="D8" s="44"/>
      <c r="E8" s="44"/>
      <c r="F8" s="44"/>
      <c r="G8" s="44"/>
      <c r="H8" s="44"/>
      <c r="I8" s="44"/>
      <c r="J8" s="44"/>
      <c r="K8" s="56"/>
      <c r="L8" s="44"/>
      <c r="M8" s="44"/>
      <c r="N8" s="44"/>
      <c r="O8" s="44"/>
      <c r="P8" s="44"/>
      <c r="Q8" s="44"/>
      <c r="R8" s="44"/>
      <c r="S8" s="44"/>
      <c r="T8" s="44"/>
      <c r="U8" s="44"/>
      <c r="V8" s="44"/>
      <c r="W8" s="44"/>
      <c r="X8" s="44"/>
      <c r="Y8" s="44"/>
      <c r="Z8" s="44"/>
      <c r="AA8" s="44"/>
      <c r="AB8" s="44"/>
      <c r="AC8" s="44"/>
      <c r="AD8" s="44"/>
      <c r="AE8" s="44"/>
      <c r="AF8" s="44"/>
      <c r="AG8" s="44"/>
      <c r="AH8" s="44"/>
    </row>
    <row r="9" spans="2:34" s="64" customFormat="1" x14ac:dyDescent="0.45">
      <c r="B9" s="127" t="s">
        <v>472</v>
      </c>
      <c r="C9" s="44"/>
      <c r="D9" s="95"/>
      <c r="E9" s="95"/>
      <c r="F9" s="95"/>
      <c r="G9" s="44"/>
      <c r="H9" s="44"/>
      <c r="I9" s="44"/>
      <c r="J9" s="44"/>
      <c r="K9" s="56"/>
      <c r="L9" s="44"/>
      <c r="M9" s="44"/>
      <c r="N9" s="44"/>
      <c r="O9" s="44"/>
      <c r="P9" s="44"/>
      <c r="Q9" s="44"/>
      <c r="R9" s="44"/>
      <c r="S9" s="44"/>
      <c r="T9" s="44"/>
      <c r="U9" s="44"/>
      <c r="V9" s="44"/>
      <c r="W9" s="44"/>
      <c r="X9" s="44"/>
      <c r="Y9" s="44"/>
      <c r="Z9" s="44"/>
      <c r="AA9" s="44"/>
      <c r="AB9" s="44"/>
      <c r="AC9" s="44"/>
      <c r="AD9" s="44"/>
      <c r="AE9" s="44"/>
      <c r="AF9" s="44"/>
      <c r="AG9" s="44"/>
      <c r="AH9" s="44"/>
    </row>
    <row r="10" spans="2:34" s="64" customFormat="1" x14ac:dyDescent="0.45">
      <c r="B10" s="127" t="s">
        <v>473</v>
      </c>
      <c r="C10" s="44"/>
      <c r="D10" s="44"/>
      <c r="E10" s="44"/>
      <c r="F10" s="44"/>
      <c r="G10" s="44"/>
      <c r="H10" s="44"/>
      <c r="I10" s="44"/>
      <c r="J10" s="44"/>
      <c r="K10" s="56"/>
      <c r="L10" s="44"/>
      <c r="M10" s="44"/>
      <c r="N10" s="44"/>
      <c r="O10" s="44"/>
      <c r="P10" s="44"/>
      <c r="Q10" s="44"/>
      <c r="R10" s="44"/>
      <c r="S10" s="44"/>
      <c r="T10" s="44"/>
      <c r="U10" s="44"/>
      <c r="V10" s="44"/>
      <c r="W10" s="44"/>
      <c r="X10" s="44"/>
      <c r="Y10" s="44"/>
      <c r="Z10" s="44"/>
      <c r="AA10" s="44"/>
      <c r="AB10" s="44"/>
      <c r="AC10" s="44"/>
      <c r="AD10" s="44"/>
      <c r="AE10" s="44"/>
      <c r="AF10" s="44"/>
      <c r="AG10" s="44"/>
      <c r="AH10" s="44"/>
    </row>
    <row r="11" spans="2:34" s="64" customFormat="1" x14ac:dyDescent="0.45">
      <c r="B11" s="127" t="s">
        <v>409</v>
      </c>
      <c r="C11" s="44"/>
      <c r="D11" s="44"/>
      <c r="E11" s="44"/>
      <c r="F11" s="44"/>
      <c r="G11" s="44"/>
      <c r="H11" s="44"/>
      <c r="I11" s="44"/>
      <c r="J11" s="44"/>
      <c r="K11" s="56"/>
      <c r="L11" s="44"/>
      <c r="M11" s="44"/>
      <c r="N11" s="44"/>
      <c r="O11" s="44"/>
      <c r="P11" s="44"/>
      <c r="Q11" s="44"/>
      <c r="R11" s="44"/>
      <c r="S11" s="44"/>
      <c r="T11" s="44"/>
      <c r="U11" s="44"/>
      <c r="V11" s="44"/>
      <c r="W11" s="44"/>
      <c r="X11" s="44"/>
      <c r="Y11" s="44"/>
      <c r="Z11" s="44"/>
      <c r="AA11" s="44"/>
      <c r="AB11" s="44"/>
      <c r="AC11" s="44"/>
      <c r="AD11" s="44"/>
      <c r="AE11" s="44"/>
      <c r="AF11" s="44"/>
      <c r="AG11" s="44"/>
      <c r="AH11" s="44"/>
    </row>
    <row r="12" spans="2:34" s="64" customFormat="1" x14ac:dyDescent="0.45">
      <c r="B12" s="127" t="s">
        <v>408</v>
      </c>
      <c r="C12" s="44"/>
      <c r="D12" s="44"/>
      <c r="E12" s="44"/>
      <c r="F12" s="44"/>
      <c r="G12" s="44"/>
      <c r="H12" s="44"/>
      <c r="I12" s="44"/>
      <c r="J12" s="44"/>
      <c r="K12" s="56"/>
      <c r="L12" s="44"/>
      <c r="M12" s="44"/>
      <c r="N12" s="44"/>
      <c r="O12" s="44"/>
      <c r="P12" s="44"/>
      <c r="Q12" s="44"/>
      <c r="R12" s="44"/>
      <c r="S12" s="44"/>
      <c r="T12" s="44"/>
      <c r="U12" s="44"/>
      <c r="V12" s="44"/>
      <c r="W12" s="44"/>
      <c r="X12" s="44"/>
      <c r="Y12" s="44"/>
      <c r="Z12" s="44"/>
      <c r="AA12" s="44"/>
      <c r="AB12" s="44"/>
      <c r="AC12" s="44"/>
      <c r="AD12" s="44"/>
      <c r="AE12" s="44"/>
      <c r="AF12" s="44"/>
      <c r="AG12" s="44"/>
      <c r="AH12" s="44"/>
    </row>
    <row r="13" spans="2:34" s="64" customFormat="1" x14ac:dyDescent="0.45">
      <c r="B13" s="146" t="s">
        <v>407</v>
      </c>
      <c r="C13" s="44"/>
      <c r="D13" s="44"/>
      <c r="E13" s="44"/>
      <c r="F13" s="44"/>
      <c r="G13" s="44"/>
      <c r="H13" s="44"/>
      <c r="I13" s="44"/>
      <c r="J13" s="44"/>
      <c r="K13" s="56"/>
      <c r="L13" s="44"/>
      <c r="M13" s="44"/>
      <c r="N13" s="44"/>
      <c r="O13" s="44"/>
      <c r="P13" s="44"/>
      <c r="Q13" s="44"/>
      <c r="R13" s="44"/>
      <c r="S13" s="44"/>
      <c r="T13" s="44"/>
      <c r="U13" s="44"/>
      <c r="V13" s="44"/>
      <c r="W13" s="44"/>
      <c r="X13" s="44"/>
      <c r="Y13" s="44"/>
      <c r="Z13" s="44"/>
      <c r="AA13" s="44"/>
      <c r="AB13" s="44"/>
      <c r="AC13" s="44"/>
      <c r="AD13" s="44"/>
      <c r="AE13" s="44"/>
      <c r="AF13" s="44"/>
      <c r="AG13" s="44"/>
      <c r="AH13" s="44"/>
    </row>
    <row r="14" spans="2:34" s="23" customFormat="1" x14ac:dyDescent="0.45">
      <c r="B14" s="55"/>
      <c r="C14" s="55"/>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row>
    <row r="15" spans="2:34" s="23" customFormat="1" x14ac:dyDescent="0.45">
      <c r="B15" s="97" t="s">
        <v>167</v>
      </c>
      <c r="C15" s="57"/>
      <c r="D15" s="56" t="s">
        <v>545</v>
      </c>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2:34" s="23" customFormat="1" x14ac:dyDescent="0.45">
      <c r="B16" s="58"/>
      <c r="C16" s="59"/>
      <c r="D16" s="56" t="s">
        <v>546</v>
      </c>
      <c r="F16" s="56"/>
      <c r="G16" s="56"/>
      <c r="H16" s="56"/>
      <c r="I16" s="56"/>
      <c r="J16" s="56"/>
      <c r="K16" s="60"/>
      <c r="L16" s="56"/>
      <c r="M16" s="56"/>
      <c r="N16" s="60"/>
      <c r="O16" s="60"/>
      <c r="P16" s="60"/>
      <c r="Q16" s="60"/>
      <c r="R16" s="60"/>
      <c r="S16" s="60"/>
      <c r="T16" s="60"/>
      <c r="U16" s="60"/>
      <c r="V16" s="60"/>
      <c r="W16" s="60"/>
      <c r="X16" s="60"/>
      <c r="Y16" s="60"/>
      <c r="Z16" s="60"/>
      <c r="AA16" s="60"/>
      <c r="AB16" s="60"/>
      <c r="AC16" s="60"/>
      <c r="AD16" s="60"/>
      <c r="AE16" s="60"/>
      <c r="AF16" s="60"/>
      <c r="AG16" s="60"/>
      <c r="AH16" s="60"/>
    </row>
    <row r="17" spans="2:67" s="23" customFormat="1" x14ac:dyDescent="0.45">
      <c r="B17" s="58"/>
      <c r="C17" s="61"/>
      <c r="D17" s="52" t="s">
        <v>544</v>
      </c>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2:67" s="23" customFormat="1" x14ac:dyDescent="0.45">
      <c r="B18" s="58"/>
      <c r="C18" s="58"/>
      <c r="D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row>
    <row r="19" spans="2:67" s="23" customFormat="1" x14ac:dyDescent="0.45">
      <c r="B19" s="58" t="s">
        <v>554</v>
      </c>
      <c r="C19" s="58"/>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row>
    <row r="20" spans="2:67" ht="24.75" customHeight="1" x14ac:dyDescent="0.45">
      <c r="AI20" s="123"/>
    </row>
    <row r="21" spans="2:67" ht="49.5" customHeight="1" x14ac:dyDescent="0.45">
      <c r="B21" s="99" t="s">
        <v>189</v>
      </c>
      <c r="C21" s="99"/>
      <c r="D21" s="99"/>
      <c r="E21" s="99"/>
      <c r="F21" s="99"/>
      <c r="G21" s="261" t="s">
        <v>256</v>
      </c>
      <c r="H21" s="262"/>
      <c r="I21" s="258" t="str">
        <f>IF(SUM($E40:$BL40)=120,"「換気設備導入前後の比較表」を入力してください",IF(I42="入力確認","「換気設備導入前後の比較表」の入力をご確認ください。",IF(SUM(E41:BL41)=0,"必要換気量に係る要件を満たしています。","必要換気量に係る要件を満たしていないため、申請できません。")))</f>
        <v>「換気設備導入前後の比較表」を入力してください</v>
      </c>
      <c r="J21" s="259"/>
      <c r="K21" s="259"/>
      <c r="L21" s="259"/>
      <c r="M21" s="259"/>
      <c r="N21" s="259"/>
      <c r="O21" s="259"/>
      <c r="P21" s="259"/>
      <c r="Q21" s="260"/>
    </row>
    <row r="22" spans="2:67" ht="24.75" customHeight="1" x14ac:dyDescent="0.5">
      <c r="B22" s="98"/>
      <c r="C22" s="98"/>
      <c r="D22" s="98"/>
      <c r="E22" s="98"/>
      <c r="F22" s="98"/>
      <c r="G22" s="98"/>
      <c r="H22" s="98"/>
      <c r="I22" s="98"/>
      <c r="J22" s="98"/>
      <c r="K22" s="98"/>
      <c r="L22" s="98"/>
      <c r="M22" s="98"/>
      <c r="N22" s="120"/>
      <c r="O22" s="145"/>
      <c r="P22" s="145"/>
      <c r="Q22" s="145"/>
      <c r="R22" s="145"/>
      <c r="S22" s="145"/>
      <c r="T22" s="145"/>
      <c r="U22" s="145"/>
      <c r="V22" s="145"/>
      <c r="W22" s="145"/>
      <c r="X22" s="145"/>
      <c r="Y22" s="145"/>
      <c r="Z22" s="145"/>
      <c r="AA22" s="145"/>
      <c r="AB22" s="145"/>
      <c r="AC22" s="145"/>
      <c r="AD22" s="145"/>
      <c r="AE22" s="145"/>
      <c r="AF22" s="145"/>
      <c r="AG22" s="145"/>
      <c r="AH22" s="145"/>
    </row>
    <row r="23" spans="2:67" ht="42" customHeight="1" x14ac:dyDescent="0.45">
      <c r="B23" s="256" t="s">
        <v>125</v>
      </c>
      <c r="C23" s="256"/>
      <c r="D23" s="256"/>
      <c r="E23" s="144" t="s">
        <v>315</v>
      </c>
      <c r="F23" s="144" t="s">
        <v>316</v>
      </c>
      <c r="G23" s="144" t="s">
        <v>317</v>
      </c>
      <c r="H23" s="144" t="s">
        <v>318</v>
      </c>
      <c r="I23" s="144" t="s">
        <v>319</v>
      </c>
      <c r="J23" s="144" t="s">
        <v>320</v>
      </c>
      <c r="K23" s="144" t="s">
        <v>321</v>
      </c>
      <c r="L23" s="144" t="s">
        <v>322</v>
      </c>
      <c r="M23" s="144" t="s">
        <v>323</v>
      </c>
      <c r="N23" s="144" t="s">
        <v>324</v>
      </c>
      <c r="O23" s="144" t="s">
        <v>325</v>
      </c>
      <c r="P23" s="144" t="s">
        <v>326</v>
      </c>
      <c r="Q23" s="144" t="s">
        <v>327</v>
      </c>
      <c r="R23" s="144" t="s">
        <v>328</v>
      </c>
      <c r="S23" s="144" t="s">
        <v>329</v>
      </c>
      <c r="T23" s="144" t="s">
        <v>330</v>
      </c>
      <c r="U23" s="144" t="s">
        <v>331</v>
      </c>
      <c r="V23" s="144" t="s">
        <v>332</v>
      </c>
      <c r="W23" s="144" t="s">
        <v>333</v>
      </c>
      <c r="X23" s="144" t="s">
        <v>334</v>
      </c>
      <c r="Y23" s="144" t="s">
        <v>335</v>
      </c>
      <c r="Z23" s="144" t="s">
        <v>336</v>
      </c>
      <c r="AA23" s="144" t="s">
        <v>337</v>
      </c>
      <c r="AB23" s="144" t="s">
        <v>338</v>
      </c>
      <c r="AC23" s="144" t="s">
        <v>339</v>
      </c>
      <c r="AD23" s="144" t="s">
        <v>340</v>
      </c>
      <c r="AE23" s="144" t="s">
        <v>341</v>
      </c>
      <c r="AF23" s="144" t="s">
        <v>342</v>
      </c>
      <c r="AG23" s="144" t="s">
        <v>343</v>
      </c>
      <c r="AH23" s="144" t="s">
        <v>344</v>
      </c>
      <c r="AI23" s="144" t="s">
        <v>387</v>
      </c>
      <c r="AJ23" s="144" t="s">
        <v>388</v>
      </c>
      <c r="AK23" s="144" t="s">
        <v>389</v>
      </c>
      <c r="AL23" s="144" t="s">
        <v>390</v>
      </c>
      <c r="AM23" s="144" t="s">
        <v>391</v>
      </c>
      <c r="AN23" s="144" t="s">
        <v>392</v>
      </c>
      <c r="AO23" s="144" t="s">
        <v>393</v>
      </c>
      <c r="AP23" s="144" t="s">
        <v>394</v>
      </c>
      <c r="AQ23" s="144" t="s">
        <v>395</v>
      </c>
      <c r="AR23" s="144" t="s">
        <v>396</v>
      </c>
      <c r="AS23" s="144" t="s">
        <v>397</v>
      </c>
      <c r="AT23" s="144" t="s">
        <v>398</v>
      </c>
      <c r="AU23" s="144" t="s">
        <v>399</v>
      </c>
      <c r="AV23" s="144" t="s">
        <v>400</v>
      </c>
      <c r="AW23" s="144" t="s">
        <v>401</v>
      </c>
      <c r="AX23" s="144" t="s">
        <v>402</v>
      </c>
      <c r="AY23" s="144" t="s">
        <v>403</v>
      </c>
      <c r="AZ23" s="144" t="s">
        <v>404</v>
      </c>
      <c r="BA23" s="144" t="s">
        <v>405</v>
      </c>
      <c r="BB23" s="144" t="s">
        <v>406</v>
      </c>
      <c r="BC23" s="144" t="s">
        <v>418</v>
      </c>
      <c r="BD23" s="144" t="s">
        <v>419</v>
      </c>
      <c r="BE23" s="144" t="s">
        <v>420</v>
      </c>
      <c r="BF23" s="144" t="s">
        <v>421</v>
      </c>
      <c r="BG23" s="144" t="s">
        <v>422</v>
      </c>
      <c r="BH23" s="144" t="s">
        <v>423</v>
      </c>
      <c r="BI23" s="144" t="s">
        <v>424</v>
      </c>
      <c r="BJ23" s="144" t="s">
        <v>425</v>
      </c>
      <c r="BK23" s="144" t="s">
        <v>426</v>
      </c>
      <c r="BL23" s="144" t="s">
        <v>427</v>
      </c>
      <c r="BO23" s="51"/>
    </row>
    <row r="24" spans="2:67" ht="58.5" customHeight="1" x14ac:dyDescent="0.45">
      <c r="B24" s="256" t="s">
        <v>126</v>
      </c>
      <c r="C24" s="256"/>
      <c r="D24" s="256"/>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N24" s="127"/>
      <c r="BO24" s="51"/>
    </row>
    <row r="25" spans="2:67" ht="49.5" customHeight="1" x14ac:dyDescent="0.45">
      <c r="B25" s="257" t="s">
        <v>130</v>
      </c>
      <c r="C25" s="257"/>
      <c r="D25" s="257"/>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O25" s="51"/>
    </row>
    <row r="26" spans="2:67" ht="49.5" customHeight="1" x14ac:dyDescent="0.45">
      <c r="B26" s="257" t="s">
        <v>133</v>
      </c>
      <c r="C26" s="257"/>
      <c r="D26" s="257"/>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c r="BL26" s="242"/>
      <c r="BO26" s="51"/>
    </row>
    <row r="27" spans="2:67" ht="49.5" customHeight="1" x14ac:dyDescent="0.45">
      <c r="B27" s="257" t="s">
        <v>173</v>
      </c>
      <c r="C27" s="257"/>
      <c r="D27" s="257"/>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N27" s="127"/>
      <c r="BO27" s="51"/>
    </row>
    <row r="28" spans="2:67" ht="49.5" customHeight="1" x14ac:dyDescent="0.45">
      <c r="B28" s="263" t="s">
        <v>345</v>
      </c>
      <c r="C28" s="257" t="s">
        <v>136</v>
      </c>
      <c r="D28" s="257"/>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O28" s="51"/>
    </row>
    <row r="29" spans="2:67" ht="49.5" customHeight="1" x14ac:dyDescent="0.45">
      <c r="B29" s="264"/>
      <c r="C29" s="257" t="s">
        <v>168</v>
      </c>
      <c r="D29" s="257"/>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O29" s="51"/>
    </row>
    <row r="30" spans="2:67" ht="49.5" customHeight="1" x14ac:dyDescent="0.45">
      <c r="B30" s="263" t="s">
        <v>174</v>
      </c>
      <c r="C30" s="257" t="s">
        <v>136</v>
      </c>
      <c r="D30" s="257"/>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c r="BO30" s="51"/>
    </row>
    <row r="31" spans="2:67" ht="49.5" customHeight="1" x14ac:dyDescent="0.45">
      <c r="B31" s="264"/>
      <c r="C31" s="257" t="s">
        <v>168</v>
      </c>
      <c r="D31" s="257"/>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O31" s="51"/>
    </row>
    <row r="32" spans="2:67" ht="49.5" customHeight="1" x14ac:dyDescent="0.45">
      <c r="B32" s="263" t="s">
        <v>140</v>
      </c>
      <c r="C32" s="257" t="s">
        <v>136</v>
      </c>
      <c r="D32" s="257"/>
      <c r="E32" s="200" t="str">
        <f>IF(E40&lt;&gt;0,"",IF(E27="自然換気",0,IF(ISERROR(E30/E28),"入力確認",E30/E28)))</f>
        <v/>
      </c>
      <c r="F32" s="200" t="str">
        <f t="shared" ref="F32:BL32" si="0">IF(F40&lt;&gt;0,"",IF(F27="自然換気",0,IF(ISERROR(F30/F28),"入力確認",F30/F28)))</f>
        <v/>
      </c>
      <c r="G32" s="200" t="str">
        <f t="shared" si="0"/>
        <v/>
      </c>
      <c r="H32" s="200" t="str">
        <f t="shared" si="0"/>
        <v/>
      </c>
      <c r="I32" s="200" t="str">
        <f t="shared" si="0"/>
        <v/>
      </c>
      <c r="J32" s="200" t="str">
        <f t="shared" si="0"/>
        <v/>
      </c>
      <c r="K32" s="200" t="str">
        <f t="shared" si="0"/>
        <v/>
      </c>
      <c r="L32" s="200" t="str">
        <f t="shared" si="0"/>
        <v/>
      </c>
      <c r="M32" s="200" t="str">
        <f t="shared" si="0"/>
        <v/>
      </c>
      <c r="N32" s="200" t="str">
        <f t="shared" si="0"/>
        <v/>
      </c>
      <c r="O32" s="200" t="str">
        <f t="shared" si="0"/>
        <v/>
      </c>
      <c r="P32" s="200" t="str">
        <f t="shared" si="0"/>
        <v/>
      </c>
      <c r="Q32" s="200" t="str">
        <f t="shared" si="0"/>
        <v/>
      </c>
      <c r="R32" s="200" t="str">
        <f t="shared" si="0"/>
        <v/>
      </c>
      <c r="S32" s="200" t="str">
        <f t="shared" si="0"/>
        <v/>
      </c>
      <c r="T32" s="200" t="str">
        <f t="shared" si="0"/>
        <v/>
      </c>
      <c r="U32" s="200" t="str">
        <f t="shared" si="0"/>
        <v/>
      </c>
      <c r="V32" s="200" t="str">
        <f t="shared" si="0"/>
        <v/>
      </c>
      <c r="W32" s="200" t="str">
        <f t="shared" si="0"/>
        <v/>
      </c>
      <c r="X32" s="200" t="str">
        <f t="shared" si="0"/>
        <v/>
      </c>
      <c r="Y32" s="200" t="str">
        <f t="shared" si="0"/>
        <v/>
      </c>
      <c r="Z32" s="200" t="str">
        <f t="shared" si="0"/>
        <v/>
      </c>
      <c r="AA32" s="200" t="str">
        <f t="shared" si="0"/>
        <v/>
      </c>
      <c r="AB32" s="200" t="str">
        <f t="shared" si="0"/>
        <v/>
      </c>
      <c r="AC32" s="200" t="str">
        <f t="shared" si="0"/>
        <v/>
      </c>
      <c r="AD32" s="200" t="str">
        <f t="shared" si="0"/>
        <v/>
      </c>
      <c r="AE32" s="200" t="str">
        <f t="shared" si="0"/>
        <v/>
      </c>
      <c r="AF32" s="200" t="str">
        <f t="shared" si="0"/>
        <v/>
      </c>
      <c r="AG32" s="200" t="str">
        <f t="shared" si="0"/>
        <v/>
      </c>
      <c r="AH32" s="200" t="str">
        <f t="shared" si="0"/>
        <v/>
      </c>
      <c r="AI32" s="200" t="str">
        <f t="shared" si="0"/>
        <v/>
      </c>
      <c r="AJ32" s="200" t="str">
        <f t="shared" si="0"/>
        <v/>
      </c>
      <c r="AK32" s="200" t="str">
        <f t="shared" si="0"/>
        <v/>
      </c>
      <c r="AL32" s="200" t="str">
        <f t="shared" si="0"/>
        <v/>
      </c>
      <c r="AM32" s="200" t="str">
        <f t="shared" si="0"/>
        <v/>
      </c>
      <c r="AN32" s="200" t="str">
        <f t="shared" si="0"/>
        <v/>
      </c>
      <c r="AO32" s="200" t="str">
        <f t="shared" si="0"/>
        <v/>
      </c>
      <c r="AP32" s="200" t="str">
        <f t="shared" si="0"/>
        <v/>
      </c>
      <c r="AQ32" s="200" t="str">
        <f t="shared" si="0"/>
        <v/>
      </c>
      <c r="AR32" s="200" t="str">
        <f t="shared" si="0"/>
        <v/>
      </c>
      <c r="AS32" s="200" t="str">
        <f t="shared" si="0"/>
        <v/>
      </c>
      <c r="AT32" s="200" t="str">
        <f t="shared" si="0"/>
        <v/>
      </c>
      <c r="AU32" s="200" t="str">
        <f t="shared" si="0"/>
        <v/>
      </c>
      <c r="AV32" s="200" t="str">
        <f t="shared" si="0"/>
        <v/>
      </c>
      <c r="AW32" s="200" t="str">
        <f t="shared" si="0"/>
        <v/>
      </c>
      <c r="AX32" s="200" t="str">
        <f t="shared" si="0"/>
        <v/>
      </c>
      <c r="AY32" s="200" t="str">
        <f t="shared" si="0"/>
        <v/>
      </c>
      <c r="AZ32" s="200" t="str">
        <f t="shared" si="0"/>
        <v/>
      </c>
      <c r="BA32" s="200" t="str">
        <f t="shared" si="0"/>
        <v/>
      </c>
      <c r="BB32" s="200" t="str">
        <f t="shared" si="0"/>
        <v/>
      </c>
      <c r="BC32" s="200" t="str">
        <f t="shared" si="0"/>
        <v/>
      </c>
      <c r="BD32" s="200" t="str">
        <f t="shared" si="0"/>
        <v/>
      </c>
      <c r="BE32" s="200" t="str">
        <f t="shared" si="0"/>
        <v/>
      </c>
      <c r="BF32" s="200" t="str">
        <f t="shared" si="0"/>
        <v/>
      </c>
      <c r="BG32" s="200" t="str">
        <f t="shared" si="0"/>
        <v/>
      </c>
      <c r="BH32" s="200" t="str">
        <f t="shared" si="0"/>
        <v/>
      </c>
      <c r="BI32" s="200" t="str">
        <f t="shared" si="0"/>
        <v/>
      </c>
      <c r="BJ32" s="200" t="str">
        <f t="shared" si="0"/>
        <v/>
      </c>
      <c r="BK32" s="200" t="str">
        <f t="shared" si="0"/>
        <v/>
      </c>
      <c r="BL32" s="200" t="str">
        <f t="shared" si="0"/>
        <v/>
      </c>
      <c r="BO32" s="51"/>
    </row>
    <row r="33" spans="2:67" ht="49.5" customHeight="1" x14ac:dyDescent="0.45">
      <c r="B33" s="264"/>
      <c r="C33" s="257" t="s">
        <v>168</v>
      </c>
      <c r="D33" s="257"/>
      <c r="E33" s="200" t="str">
        <f>IF(E40&lt;&gt;0,"",IF(ISERROR(E31/E29),"入力確認",E31/E29))</f>
        <v/>
      </c>
      <c r="F33" s="200" t="str">
        <f t="shared" ref="F33:BL33" si="1">IF(F40&lt;&gt;0,"",IF(ISERROR(F31/F29),"入力確認",F31/F29))</f>
        <v/>
      </c>
      <c r="G33" s="200" t="str">
        <f t="shared" si="1"/>
        <v/>
      </c>
      <c r="H33" s="200" t="str">
        <f t="shared" si="1"/>
        <v/>
      </c>
      <c r="I33" s="200" t="str">
        <f t="shared" si="1"/>
        <v/>
      </c>
      <c r="J33" s="200" t="str">
        <f t="shared" si="1"/>
        <v/>
      </c>
      <c r="K33" s="200" t="str">
        <f t="shared" si="1"/>
        <v/>
      </c>
      <c r="L33" s="200" t="str">
        <f t="shared" si="1"/>
        <v/>
      </c>
      <c r="M33" s="200" t="str">
        <f>IF(M40&lt;&gt;0,"",IF(ISERROR(M31/M29),"入力確認",M31/M29))</f>
        <v/>
      </c>
      <c r="N33" s="200" t="str">
        <f t="shared" si="1"/>
        <v/>
      </c>
      <c r="O33" s="200" t="str">
        <f t="shared" si="1"/>
        <v/>
      </c>
      <c r="P33" s="200" t="str">
        <f t="shared" si="1"/>
        <v/>
      </c>
      <c r="Q33" s="200" t="str">
        <f t="shared" si="1"/>
        <v/>
      </c>
      <c r="R33" s="200" t="str">
        <f t="shared" si="1"/>
        <v/>
      </c>
      <c r="S33" s="200" t="str">
        <f t="shared" si="1"/>
        <v/>
      </c>
      <c r="T33" s="200" t="str">
        <f t="shared" si="1"/>
        <v/>
      </c>
      <c r="U33" s="200" t="str">
        <f t="shared" si="1"/>
        <v/>
      </c>
      <c r="V33" s="200" t="str">
        <f t="shared" si="1"/>
        <v/>
      </c>
      <c r="W33" s="200" t="str">
        <f t="shared" si="1"/>
        <v/>
      </c>
      <c r="X33" s="200" t="str">
        <f t="shared" si="1"/>
        <v/>
      </c>
      <c r="Y33" s="200" t="str">
        <f t="shared" si="1"/>
        <v/>
      </c>
      <c r="Z33" s="200" t="str">
        <f t="shared" si="1"/>
        <v/>
      </c>
      <c r="AA33" s="200" t="str">
        <f t="shared" si="1"/>
        <v/>
      </c>
      <c r="AB33" s="200" t="str">
        <f t="shared" si="1"/>
        <v/>
      </c>
      <c r="AC33" s="200" t="str">
        <f t="shared" si="1"/>
        <v/>
      </c>
      <c r="AD33" s="200" t="str">
        <f t="shared" si="1"/>
        <v/>
      </c>
      <c r="AE33" s="200" t="str">
        <f t="shared" si="1"/>
        <v/>
      </c>
      <c r="AF33" s="200" t="str">
        <f t="shared" si="1"/>
        <v/>
      </c>
      <c r="AG33" s="200" t="str">
        <f t="shared" si="1"/>
        <v/>
      </c>
      <c r="AH33" s="200" t="str">
        <f t="shared" si="1"/>
        <v/>
      </c>
      <c r="AI33" s="200" t="str">
        <f t="shared" si="1"/>
        <v/>
      </c>
      <c r="AJ33" s="200" t="str">
        <f t="shared" si="1"/>
        <v/>
      </c>
      <c r="AK33" s="200" t="str">
        <f t="shared" si="1"/>
        <v/>
      </c>
      <c r="AL33" s="200" t="str">
        <f t="shared" si="1"/>
        <v/>
      </c>
      <c r="AM33" s="200" t="str">
        <f t="shared" si="1"/>
        <v/>
      </c>
      <c r="AN33" s="200" t="str">
        <f t="shared" si="1"/>
        <v/>
      </c>
      <c r="AO33" s="200" t="str">
        <f t="shared" si="1"/>
        <v/>
      </c>
      <c r="AP33" s="200" t="str">
        <f t="shared" si="1"/>
        <v/>
      </c>
      <c r="AQ33" s="200" t="str">
        <f t="shared" si="1"/>
        <v/>
      </c>
      <c r="AR33" s="200" t="str">
        <f t="shared" si="1"/>
        <v/>
      </c>
      <c r="AS33" s="200" t="str">
        <f t="shared" si="1"/>
        <v/>
      </c>
      <c r="AT33" s="200" t="str">
        <f t="shared" si="1"/>
        <v/>
      </c>
      <c r="AU33" s="200" t="str">
        <f t="shared" si="1"/>
        <v/>
      </c>
      <c r="AV33" s="200" t="str">
        <f t="shared" si="1"/>
        <v/>
      </c>
      <c r="AW33" s="200" t="str">
        <f t="shared" si="1"/>
        <v/>
      </c>
      <c r="AX33" s="200" t="str">
        <f t="shared" si="1"/>
        <v/>
      </c>
      <c r="AY33" s="200" t="str">
        <f t="shared" si="1"/>
        <v/>
      </c>
      <c r="AZ33" s="200" t="str">
        <f t="shared" si="1"/>
        <v/>
      </c>
      <c r="BA33" s="200" t="str">
        <f t="shared" si="1"/>
        <v/>
      </c>
      <c r="BB33" s="200" t="str">
        <f t="shared" si="1"/>
        <v/>
      </c>
      <c r="BC33" s="200" t="str">
        <f t="shared" si="1"/>
        <v/>
      </c>
      <c r="BD33" s="200" t="str">
        <f t="shared" si="1"/>
        <v/>
      </c>
      <c r="BE33" s="200" t="str">
        <f t="shared" si="1"/>
        <v/>
      </c>
      <c r="BF33" s="200" t="str">
        <f t="shared" si="1"/>
        <v/>
      </c>
      <c r="BG33" s="200" t="str">
        <f t="shared" si="1"/>
        <v/>
      </c>
      <c r="BH33" s="200" t="str">
        <f t="shared" si="1"/>
        <v/>
      </c>
      <c r="BI33" s="200" t="str">
        <f t="shared" si="1"/>
        <v/>
      </c>
      <c r="BJ33" s="200" t="str">
        <f t="shared" si="1"/>
        <v/>
      </c>
      <c r="BK33" s="200" t="str">
        <f t="shared" si="1"/>
        <v/>
      </c>
      <c r="BL33" s="200" t="str">
        <f t="shared" si="1"/>
        <v/>
      </c>
      <c r="BO33" s="51"/>
    </row>
    <row r="34" spans="2:67" ht="49.5" customHeight="1" x14ac:dyDescent="0.45">
      <c r="B34" s="253" t="s">
        <v>206</v>
      </c>
      <c r="C34" s="254"/>
      <c r="D34" s="255"/>
      <c r="E34" s="100" t="str">
        <f>IF(E40&lt;&gt;0,"",IF((E31-E30)&lt;0,"不適合","適合"))</f>
        <v/>
      </c>
      <c r="F34" s="100" t="str">
        <f t="shared" ref="F34:BL34" si="2">IF(F40&lt;&gt;0,"",IF((F31-F30)&lt;0,"不適合","適合"))</f>
        <v/>
      </c>
      <c r="G34" s="100" t="str">
        <f t="shared" si="2"/>
        <v/>
      </c>
      <c r="H34" s="100" t="str">
        <f t="shared" si="2"/>
        <v/>
      </c>
      <c r="I34" s="100" t="str">
        <f t="shared" si="2"/>
        <v/>
      </c>
      <c r="J34" s="100" t="str">
        <f t="shared" si="2"/>
        <v/>
      </c>
      <c r="K34" s="100" t="str">
        <f t="shared" si="2"/>
        <v/>
      </c>
      <c r="L34" s="100" t="str">
        <f t="shared" si="2"/>
        <v/>
      </c>
      <c r="M34" s="100" t="str">
        <f t="shared" si="2"/>
        <v/>
      </c>
      <c r="N34" s="100" t="str">
        <f t="shared" si="2"/>
        <v/>
      </c>
      <c r="O34" s="100" t="str">
        <f t="shared" si="2"/>
        <v/>
      </c>
      <c r="P34" s="100" t="str">
        <f t="shared" si="2"/>
        <v/>
      </c>
      <c r="Q34" s="100" t="str">
        <f t="shared" si="2"/>
        <v/>
      </c>
      <c r="R34" s="100" t="str">
        <f t="shared" si="2"/>
        <v/>
      </c>
      <c r="S34" s="100" t="str">
        <f t="shared" si="2"/>
        <v/>
      </c>
      <c r="T34" s="100" t="str">
        <f t="shared" si="2"/>
        <v/>
      </c>
      <c r="U34" s="100" t="str">
        <f t="shared" si="2"/>
        <v/>
      </c>
      <c r="V34" s="100" t="str">
        <f t="shared" si="2"/>
        <v/>
      </c>
      <c r="W34" s="100" t="str">
        <f t="shared" si="2"/>
        <v/>
      </c>
      <c r="X34" s="100" t="str">
        <f t="shared" si="2"/>
        <v/>
      </c>
      <c r="Y34" s="100" t="str">
        <f t="shared" si="2"/>
        <v/>
      </c>
      <c r="Z34" s="100" t="str">
        <f t="shared" si="2"/>
        <v/>
      </c>
      <c r="AA34" s="100" t="str">
        <f t="shared" si="2"/>
        <v/>
      </c>
      <c r="AB34" s="100" t="str">
        <f t="shared" si="2"/>
        <v/>
      </c>
      <c r="AC34" s="100" t="str">
        <f t="shared" si="2"/>
        <v/>
      </c>
      <c r="AD34" s="100" t="str">
        <f t="shared" si="2"/>
        <v/>
      </c>
      <c r="AE34" s="100" t="str">
        <f t="shared" si="2"/>
        <v/>
      </c>
      <c r="AF34" s="100" t="str">
        <f t="shared" si="2"/>
        <v/>
      </c>
      <c r="AG34" s="100" t="str">
        <f t="shared" si="2"/>
        <v/>
      </c>
      <c r="AH34" s="100" t="str">
        <f t="shared" si="2"/>
        <v/>
      </c>
      <c r="AI34" s="100" t="str">
        <f t="shared" si="2"/>
        <v/>
      </c>
      <c r="AJ34" s="100" t="str">
        <f t="shared" si="2"/>
        <v/>
      </c>
      <c r="AK34" s="100" t="str">
        <f t="shared" si="2"/>
        <v/>
      </c>
      <c r="AL34" s="100" t="str">
        <f t="shared" si="2"/>
        <v/>
      </c>
      <c r="AM34" s="100" t="str">
        <f t="shared" si="2"/>
        <v/>
      </c>
      <c r="AN34" s="100" t="str">
        <f t="shared" si="2"/>
        <v/>
      </c>
      <c r="AO34" s="100" t="str">
        <f t="shared" si="2"/>
        <v/>
      </c>
      <c r="AP34" s="100" t="str">
        <f t="shared" si="2"/>
        <v/>
      </c>
      <c r="AQ34" s="100" t="str">
        <f t="shared" si="2"/>
        <v/>
      </c>
      <c r="AR34" s="100" t="str">
        <f t="shared" si="2"/>
        <v/>
      </c>
      <c r="AS34" s="100" t="str">
        <f t="shared" si="2"/>
        <v/>
      </c>
      <c r="AT34" s="100" t="str">
        <f t="shared" si="2"/>
        <v/>
      </c>
      <c r="AU34" s="100" t="str">
        <f t="shared" si="2"/>
        <v/>
      </c>
      <c r="AV34" s="100" t="str">
        <f t="shared" si="2"/>
        <v/>
      </c>
      <c r="AW34" s="100" t="str">
        <f t="shared" si="2"/>
        <v/>
      </c>
      <c r="AX34" s="100" t="str">
        <f t="shared" si="2"/>
        <v/>
      </c>
      <c r="AY34" s="100" t="str">
        <f t="shared" si="2"/>
        <v/>
      </c>
      <c r="AZ34" s="100" t="str">
        <f t="shared" si="2"/>
        <v/>
      </c>
      <c r="BA34" s="100" t="str">
        <f t="shared" si="2"/>
        <v/>
      </c>
      <c r="BB34" s="100" t="str">
        <f t="shared" si="2"/>
        <v/>
      </c>
      <c r="BC34" s="100" t="str">
        <f t="shared" si="2"/>
        <v/>
      </c>
      <c r="BD34" s="100" t="str">
        <f t="shared" si="2"/>
        <v/>
      </c>
      <c r="BE34" s="100" t="str">
        <f t="shared" si="2"/>
        <v/>
      </c>
      <c r="BF34" s="100" t="str">
        <f t="shared" si="2"/>
        <v/>
      </c>
      <c r="BG34" s="100" t="str">
        <f t="shared" si="2"/>
        <v/>
      </c>
      <c r="BH34" s="100" t="str">
        <f t="shared" si="2"/>
        <v/>
      </c>
      <c r="BI34" s="100" t="str">
        <f t="shared" si="2"/>
        <v/>
      </c>
      <c r="BJ34" s="100" t="str">
        <f t="shared" si="2"/>
        <v/>
      </c>
      <c r="BK34" s="100" t="str">
        <f t="shared" si="2"/>
        <v/>
      </c>
      <c r="BL34" s="100" t="str">
        <f t="shared" si="2"/>
        <v/>
      </c>
      <c r="BO34" s="51"/>
    </row>
    <row r="35" spans="2:67" ht="49.5" customHeight="1" x14ac:dyDescent="0.45">
      <c r="B35" s="253" t="s">
        <v>207</v>
      </c>
      <c r="C35" s="254"/>
      <c r="D35" s="255"/>
      <c r="E35" s="100" t="str">
        <f>IF(E40&lt;&gt;0,"",IF(ISERROR(AND((E33-E32)&gt;=0,E33&gt;=30)),"不適合",IF(AND((E33-E32)&gt;=0,E33&gt;=30),"適合","不適合")))</f>
        <v/>
      </c>
      <c r="F35" s="100" t="str">
        <f t="shared" ref="F35:BL35" si="3">IF(F40&lt;&gt;0,"",IF(ISERROR(AND((F33-F32)&gt;=0,F33&gt;=30)),"不適合",IF(AND((F33-F32)&gt;=0,F33&gt;=30),"適合","不適合")))</f>
        <v/>
      </c>
      <c r="G35" s="100" t="str">
        <f t="shared" si="3"/>
        <v/>
      </c>
      <c r="H35" s="100" t="str">
        <f t="shared" si="3"/>
        <v/>
      </c>
      <c r="I35" s="100" t="str">
        <f t="shared" si="3"/>
        <v/>
      </c>
      <c r="J35" s="100" t="str">
        <f t="shared" si="3"/>
        <v/>
      </c>
      <c r="K35" s="100" t="str">
        <f t="shared" si="3"/>
        <v/>
      </c>
      <c r="L35" s="100" t="str">
        <f t="shared" si="3"/>
        <v/>
      </c>
      <c r="M35" s="100" t="str">
        <f>IF(M40&lt;&gt;0,"",IF(ISERROR(AND((M33-M32)&gt;=0,M33&gt;=30)),"不適合",IF(AND((M33-M32)&gt;=0,M33&gt;=30),"適合","不適合")))</f>
        <v/>
      </c>
      <c r="N35" s="100" t="str">
        <f t="shared" si="3"/>
        <v/>
      </c>
      <c r="O35" s="100" t="str">
        <f t="shared" si="3"/>
        <v/>
      </c>
      <c r="P35" s="100" t="str">
        <f t="shared" si="3"/>
        <v/>
      </c>
      <c r="Q35" s="100" t="str">
        <f t="shared" si="3"/>
        <v/>
      </c>
      <c r="R35" s="100" t="str">
        <f t="shared" si="3"/>
        <v/>
      </c>
      <c r="S35" s="100" t="str">
        <f t="shared" si="3"/>
        <v/>
      </c>
      <c r="T35" s="100" t="str">
        <f t="shared" si="3"/>
        <v/>
      </c>
      <c r="U35" s="100" t="str">
        <f t="shared" si="3"/>
        <v/>
      </c>
      <c r="V35" s="100" t="str">
        <f t="shared" si="3"/>
        <v/>
      </c>
      <c r="W35" s="100" t="str">
        <f t="shared" si="3"/>
        <v/>
      </c>
      <c r="X35" s="100" t="str">
        <f t="shared" si="3"/>
        <v/>
      </c>
      <c r="Y35" s="100" t="str">
        <f t="shared" si="3"/>
        <v/>
      </c>
      <c r="Z35" s="100" t="str">
        <f t="shared" si="3"/>
        <v/>
      </c>
      <c r="AA35" s="100" t="str">
        <f t="shared" si="3"/>
        <v/>
      </c>
      <c r="AB35" s="100" t="str">
        <f t="shared" si="3"/>
        <v/>
      </c>
      <c r="AC35" s="100" t="str">
        <f t="shared" si="3"/>
        <v/>
      </c>
      <c r="AD35" s="100" t="str">
        <f t="shared" si="3"/>
        <v/>
      </c>
      <c r="AE35" s="100" t="str">
        <f t="shared" si="3"/>
        <v/>
      </c>
      <c r="AF35" s="100" t="str">
        <f t="shared" si="3"/>
        <v/>
      </c>
      <c r="AG35" s="100" t="str">
        <f t="shared" si="3"/>
        <v/>
      </c>
      <c r="AH35" s="100" t="str">
        <f t="shared" si="3"/>
        <v/>
      </c>
      <c r="AI35" s="100" t="str">
        <f t="shared" si="3"/>
        <v/>
      </c>
      <c r="AJ35" s="100" t="str">
        <f t="shared" si="3"/>
        <v/>
      </c>
      <c r="AK35" s="100" t="str">
        <f t="shared" si="3"/>
        <v/>
      </c>
      <c r="AL35" s="100" t="str">
        <f t="shared" si="3"/>
        <v/>
      </c>
      <c r="AM35" s="100" t="str">
        <f t="shared" si="3"/>
        <v/>
      </c>
      <c r="AN35" s="100" t="str">
        <f t="shared" si="3"/>
        <v/>
      </c>
      <c r="AO35" s="100" t="str">
        <f t="shared" si="3"/>
        <v/>
      </c>
      <c r="AP35" s="100" t="str">
        <f t="shared" si="3"/>
        <v/>
      </c>
      <c r="AQ35" s="100" t="str">
        <f t="shared" si="3"/>
        <v/>
      </c>
      <c r="AR35" s="100" t="str">
        <f t="shared" si="3"/>
        <v/>
      </c>
      <c r="AS35" s="100" t="str">
        <f t="shared" si="3"/>
        <v/>
      </c>
      <c r="AT35" s="100" t="str">
        <f t="shared" si="3"/>
        <v/>
      </c>
      <c r="AU35" s="100" t="str">
        <f t="shared" si="3"/>
        <v/>
      </c>
      <c r="AV35" s="100" t="str">
        <f t="shared" si="3"/>
        <v/>
      </c>
      <c r="AW35" s="100" t="str">
        <f t="shared" si="3"/>
        <v/>
      </c>
      <c r="AX35" s="100" t="str">
        <f t="shared" si="3"/>
        <v/>
      </c>
      <c r="AY35" s="100" t="str">
        <f t="shared" si="3"/>
        <v/>
      </c>
      <c r="AZ35" s="100" t="str">
        <f t="shared" si="3"/>
        <v/>
      </c>
      <c r="BA35" s="100" t="str">
        <f t="shared" si="3"/>
        <v/>
      </c>
      <c r="BB35" s="100" t="str">
        <f t="shared" si="3"/>
        <v/>
      </c>
      <c r="BC35" s="100" t="str">
        <f t="shared" si="3"/>
        <v/>
      </c>
      <c r="BD35" s="100" t="str">
        <f t="shared" si="3"/>
        <v/>
      </c>
      <c r="BE35" s="100" t="str">
        <f t="shared" si="3"/>
        <v/>
      </c>
      <c r="BF35" s="100" t="str">
        <f t="shared" si="3"/>
        <v/>
      </c>
      <c r="BG35" s="100" t="str">
        <f t="shared" si="3"/>
        <v/>
      </c>
      <c r="BH35" s="100" t="str">
        <f t="shared" si="3"/>
        <v/>
      </c>
      <c r="BI35" s="100" t="str">
        <f t="shared" si="3"/>
        <v/>
      </c>
      <c r="BJ35" s="100" t="str">
        <f t="shared" si="3"/>
        <v/>
      </c>
      <c r="BK35" s="100" t="str">
        <f t="shared" si="3"/>
        <v/>
      </c>
      <c r="BL35" s="100" t="str">
        <f t="shared" si="3"/>
        <v/>
      </c>
      <c r="BO35" s="51"/>
    </row>
    <row r="36" spans="2:67" ht="24.75" hidden="1" customHeight="1" x14ac:dyDescent="0.45">
      <c r="B36" s="251" t="s">
        <v>476</v>
      </c>
      <c r="C36" s="251"/>
      <c r="D36" s="251"/>
      <c r="E36" s="198">
        <f t="shared" ref="E36:AJ36" si="4">IF(E24="",0,1)</f>
        <v>0</v>
      </c>
      <c r="F36" s="198">
        <f t="shared" si="4"/>
        <v>0</v>
      </c>
      <c r="G36" s="198">
        <f t="shared" si="4"/>
        <v>0</v>
      </c>
      <c r="H36" s="198">
        <f t="shared" si="4"/>
        <v>0</v>
      </c>
      <c r="I36" s="198">
        <f t="shared" si="4"/>
        <v>0</v>
      </c>
      <c r="J36" s="198">
        <f t="shared" si="4"/>
        <v>0</v>
      </c>
      <c r="K36" s="198">
        <f t="shared" si="4"/>
        <v>0</v>
      </c>
      <c r="L36" s="198">
        <f t="shared" si="4"/>
        <v>0</v>
      </c>
      <c r="M36" s="198">
        <f t="shared" si="4"/>
        <v>0</v>
      </c>
      <c r="N36" s="198">
        <f t="shared" si="4"/>
        <v>0</v>
      </c>
      <c r="O36" s="198">
        <f t="shared" si="4"/>
        <v>0</v>
      </c>
      <c r="P36" s="198">
        <f t="shared" si="4"/>
        <v>0</v>
      </c>
      <c r="Q36" s="198">
        <f t="shared" si="4"/>
        <v>0</v>
      </c>
      <c r="R36" s="198">
        <f t="shared" si="4"/>
        <v>0</v>
      </c>
      <c r="S36" s="198">
        <f t="shared" si="4"/>
        <v>0</v>
      </c>
      <c r="T36" s="198">
        <f t="shared" si="4"/>
        <v>0</v>
      </c>
      <c r="U36" s="198">
        <f t="shared" si="4"/>
        <v>0</v>
      </c>
      <c r="V36" s="198">
        <f t="shared" si="4"/>
        <v>0</v>
      </c>
      <c r="W36" s="198">
        <f t="shared" si="4"/>
        <v>0</v>
      </c>
      <c r="X36" s="198">
        <f t="shared" si="4"/>
        <v>0</v>
      </c>
      <c r="Y36" s="198">
        <f t="shared" si="4"/>
        <v>0</v>
      </c>
      <c r="Z36" s="198">
        <f t="shared" si="4"/>
        <v>0</v>
      </c>
      <c r="AA36" s="198">
        <f t="shared" si="4"/>
        <v>0</v>
      </c>
      <c r="AB36" s="198">
        <f t="shared" si="4"/>
        <v>0</v>
      </c>
      <c r="AC36" s="198">
        <f t="shared" si="4"/>
        <v>0</v>
      </c>
      <c r="AD36" s="198">
        <f t="shared" si="4"/>
        <v>0</v>
      </c>
      <c r="AE36" s="198">
        <f t="shared" si="4"/>
        <v>0</v>
      </c>
      <c r="AF36" s="198">
        <f t="shared" si="4"/>
        <v>0</v>
      </c>
      <c r="AG36" s="198">
        <f t="shared" si="4"/>
        <v>0</v>
      </c>
      <c r="AH36" s="198">
        <f t="shared" si="4"/>
        <v>0</v>
      </c>
      <c r="AI36" s="198">
        <f t="shared" si="4"/>
        <v>0</v>
      </c>
      <c r="AJ36" s="198">
        <f t="shared" si="4"/>
        <v>0</v>
      </c>
      <c r="AK36" s="198">
        <f t="shared" ref="AK36:BL36" si="5">IF(AK24="",0,1)</f>
        <v>0</v>
      </c>
      <c r="AL36" s="198">
        <f t="shared" si="5"/>
        <v>0</v>
      </c>
      <c r="AM36" s="198">
        <f t="shared" si="5"/>
        <v>0</v>
      </c>
      <c r="AN36" s="198">
        <f t="shared" si="5"/>
        <v>0</v>
      </c>
      <c r="AO36" s="198">
        <f t="shared" si="5"/>
        <v>0</v>
      </c>
      <c r="AP36" s="198">
        <f t="shared" si="5"/>
        <v>0</v>
      </c>
      <c r="AQ36" s="198">
        <f t="shared" si="5"/>
        <v>0</v>
      </c>
      <c r="AR36" s="198">
        <f t="shared" si="5"/>
        <v>0</v>
      </c>
      <c r="AS36" s="198">
        <f t="shared" si="5"/>
        <v>0</v>
      </c>
      <c r="AT36" s="198">
        <f t="shared" si="5"/>
        <v>0</v>
      </c>
      <c r="AU36" s="198">
        <f t="shared" si="5"/>
        <v>0</v>
      </c>
      <c r="AV36" s="198">
        <f t="shared" si="5"/>
        <v>0</v>
      </c>
      <c r="AW36" s="198">
        <f t="shared" si="5"/>
        <v>0</v>
      </c>
      <c r="AX36" s="198">
        <f t="shared" si="5"/>
        <v>0</v>
      </c>
      <c r="AY36" s="198">
        <f t="shared" si="5"/>
        <v>0</v>
      </c>
      <c r="AZ36" s="198">
        <f t="shared" si="5"/>
        <v>0</v>
      </c>
      <c r="BA36" s="198">
        <f t="shared" si="5"/>
        <v>0</v>
      </c>
      <c r="BB36" s="198">
        <f t="shared" si="5"/>
        <v>0</v>
      </c>
      <c r="BC36" s="198">
        <f t="shared" si="5"/>
        <v>0</v>
      </c>
      <c r="BD36" s="198">
        <f t="shared" si="5"/>
        <v>0</v>
      </c>
      <c r="BE36" s="198">
        <f t="shared" si="5"/>
        <v>0</v>
      </c>
      <c r="BF36" s="198">
        <f t="shared" si="5"/>
        <v>0</v>
      </c>
      <c r="BG36" s="198">
        <f t="shared" si="5"/>
        <v>0</v>
      </c>
      <c r="BH36" s="198">
        <f t="shared" si="5"/>
        <v>0</v>
      </c>
      <c r="BI36" s="198">
        <f t="shared" si="5"/>
        <v>0</v>
      </c>
      <c r="BJ36" s="198">
        <f t="shared" si="5"/>
        <v>0</v>
      </c>
      <c r="BK36" s="198">
        <f t="shared" si="5"/>
        <v>0</v>
      </c>
      <c r="BL36" s="198">
        <f t="shared" si="5"/>
        <v>0</v>
      </c>
      <c r="BO36" s="51"/>
    </row>
    <row r="37" spans="2:67" ht="24.75" hidden="1" customHeight="1" x14ac:dyDescent="0.45">
      <c r="B37" s="249" t="s">
        <v>481</v>
      </c>
      <c r="C37" s="249"/>
      <c r="D37" s="249"/>
      <c r="E37" s="198">
        <f>IF(OR(AND(E27="機械換気",E30&gt;0),AND(E27="自然換気",E30=0)),0,1)</f>
        <v>1</v>
      </c>
      <c r="F37" s="198">
        <f t="shared" ref="F37:BL37" si="6">IF(OR(AND(F27="機械換気",F30&gt;0),AND(F27="自然換気",F30=0)),0,1)</f>
        <v>1</v>
      </c>
      <c r="G37" s="198">
        <f t="shared" si="6"/>
        <v>1</v>
      </c>
      <c r="H37" s="198">
        <f t="shared" si="6"/>
        <v>1</v>
      </c>
      <c r="I37" s="198">
        <f t="shared" si="6"/>
        <v>1</v>
      </c>
      <c r="J37" s="198">
        <f t="shared" si="6"/>
        <v>1</v>
      </c>
      <c r="K37" s="198">
        <f t="shared" si="6"/>
        <v>1</v>
      </c>
      <c r="L37" s="198">
        <f t="shared" si="6"/>
        <v>1</v>
      </c>
      <c r="M37" s="198">
        <f t="shared" si="6"/>
        <v>1</v>
      </c>
      <c r="N37" s="198">
        <f t="shared" si="6"/>
        <v>1</v>
      </c>
      <c r="O37" s="198">
        <f t="shared" si="6"/>
        <v>1</v>
      </c>
      <c r="P37" s="198">
        <f t="shared" si="6"/>
        <v>1</v>
      </c>
      <c r="Q37" s="198">
        <f t="shared" si="6"/>
        <v>1</v>
      </c>
      <c r="R37" s="198">
        <f t="shared" si="6"/>
        <v>1</v>
      </c>
      <c r="S37" s="198">
        <f t="shared" si="6"/>
        <v>1</v>
      </c>
      <c r="T37" s="198">
        <f t="shared" si="6"/>
        <v>1</v>
      </c>
      <c r="U37" s="198">
        <f t="shared" si="6"/>
        <v>1</v>
      </c>
      <c r="V37" s="198">
        <f t="shared" si="6"/>
        <v>1</v>
      </c>
      <c r="W37" s="198">
        <f t="shared" si="6"/>
        <v>1</v>
      </c>
      <c r="X37" s="198">
        <f t="shared" si="6"/>
        <v>1</v>
      </c>
      <c r="Y37" s="198">
        <f t="shared" si="6"/>
        <v>1</v>
      </c>
      <c r="Z37" s="198">
        <f t="shared" si="6"/>
        <v>1</v>
      </c>
      <c r="AA37" s="198">
        <f t="shared" si="6"/>
        <v>1</v>
      </c>
      <c r="AB37" s="198">
        <f t="shared" si="6"/>
        <v>1</v>
      </c>
      <c r="AC37" s="198">
        <f t="shared" si="6"/>
        <v>1</v>
      </c>
      <c r="AD37" s="198">
        <f t="shared" si="6"/>
        <v>1</v>
      </c>
      <c r="AE37" s="198">
        <f t="shared" si="6"/>
        <v>1</v>
      </c>
      <c r="AF37" s="198">
        <f t="shared" si="6"/>
        <v>1</v>
      </c>
      <c r="AG37" s="198">
        <f t="shared" si="6"/>
        <v>1</v>
      </c>
      <c r="AH37" s="198">
        <f t="shared" si="6"/>
        <v>1</v>
      </c>
      <c r="AI37" s="198">
        <f t="shared" si="6"/>
        <v>1</v>
      </c>
      <c r="AJ37" s="198">
        <f t="shared" si="6"/>
        <v>1</v>
      </c>
      <c r="AK37" s="198">
        <f t="shared" si="6"/>
        <v>1</v>
      </c>
      <c r="AL37" s="198">
        <f t="shared" si="6"/>
        <v>1</v>
      </c>
      <c r="AM37" s="198">
        <f t="shared" si="6"/>
        <v>1</v>
      </c>
      <c r="AN37" s="198">
        <f t="shared" si="6"/>
        <v>1</v>
      </c>
      <c r="AO37" s="198">
        <f t="shared" si="6"/>
        <v>1</v>
      </c>
      <c r="AP37" s="198">
        <f t="shared" si="6"/>
        <v>1</v>
      </c>
      <c r="AQ37" s="198">
        <f t="shared" si="6"/>
        <v>1</v>
      </c>
      <c r="AR37" s="198">
        <f t="shared" si="6"/>
        <v>1</v>
      </c>
      <c r="AS37" s="198">
        <f t="shared" si="6"/>
        <v>1</v>
      </c>
      <c r="AT37" s="198">
        <f t="shared" si="6"/>
        <v>1</v>
      </c>
      <c r="AU37" s="198">
        <f t="shared" si="6"/>
        <v>1</v>
      </c>
      <c r="AV37" s="198">
        <f t="shared" si="6"/>
        <v>1</v>
      </c>
      <c r="AW37" s="198">
        <f t="shared" si="6"/>
        <v>1</v>
      </c>
      <c r="AX37" s="198">
        <f t="shared" si="6"/>
        <v>1</v>
      </c>
      <c r="AY37" s="198">
        <f t="shared" si="6"/>
        <v>1</v>
      </c>
      <c r="AZ37" s="198">
        <f t="shared" si="6"/>
        <v>1</v>
      </c>
      <c r="BA37" s="198">
        <f t="shared" si="6"/>
        <v>1</v>
      </c>
      <c r="BB37" s="198">
        <f t="shared" si="6"/>
        <v>1</v>
      </c>
      <c r="BC37" s="198">
        <f t="shared" si="6"/>
        <v>1</v>
      </c>
      <c r="BD37" s="198">
        <f t="shared" si="6"/>
        <v>1</v>
      </c>
      <c r="BE37" s="198">
        <f t="shared" si="6"/>
        <v>1</v>
      </c>
      <c r="BF37" s="198">
        <f t="shared" si="6"/>
        <v>1</v>
      </c>
      <c r="BG37" s="198">
        <f t="shared" si="6"/>
        <v>1</v>
      </c>
      <c r="BH37" s="198">
        <f t="shared" si="6"/>
        <v>1</v>
      </c>
      <c r="BI37" s="198">
        <f t="shared" si="6"/>
        <v>1</v>
      </c>
      <c r="BJ37" s="198">
        <f t="shared" si="6"/>
        <v>1</v>
      </c>
      <c r="BK37" s="198">
        <f t="shared" si="6"/>
        <v>1</v>
      </c>
      <c r="BL37" s="198">
        <f t="shared" si="6"/>
        <v>1</v>
      </c>
      <c r="BO37" s="51"/>
    </row>
    <row r="38" spans="2:67" s="127" customFormat="1" ht="24.75" hidden="1" customHeight="1" x14ac:dyDescent="0.45">
      <c r="B38" s="250" t="s">
        <v>475</v>
      </c>
      <c r="C38" s="250"/>
      <c r="D38" s="250"/>
      <c r="E38" s="201">
        <f>IF(E34="適合",0,1)</f>
        <v>1</v>
      </c>
      <c r="F38" s="201">
        <f t="shared" ref="F38:AJ38" si="7">IF(F34="適合",0,1)</f>
        <v>1</v>
      </c>
      <c r="G38" s="201">
        <f t="shared" si="7"/>
        <v>1</v>
      </c>
      <c r="H38" s="201">
        <f t="shared" si="7"/>
        <v>1</v>
      </c>
      <c r="I38" s="201">
        <f t="shared" si="7"/>
        <v>1</v>
      </c>
      <c r="J38" s="201">
        <f t="shared" si="7"/>
        <v>1</v>
      </c>
      <c r="K38" s="201">
        <f t="shared" si="7"/>
        <v>1</v>
      </c>
      <c r="L38" s="201">
        <f t="shared" si="7"/>
        <v>1</v>
      </c>
      <c r="M38" s="201">
        <f t="shared" si="7"/>
        <v>1</v>
      </c>
      <c r="N38" s="201">
        <f t="shared" si="7"/>
        <v>1</v>
      </c>
      <c r="O38" s="201">
        <f t="shared" si="7"/>
        <v>1</v>
      </c>
      <c r="P38" s="201">
        <f t="shared" si="7"/>
        <v>1</v>
      </c>
      <c r="Q38" s="201">
        <f t="shared" si="7"/>
        <v>1</v>
      </c>
      <c r="R38" s="201">
        <f t="shared" si="7"/>
        <v>1</v>
      </c>
      <c r="S38" s="201">
        <f t="shared" si="7"/>
        <v>1</v>
      </c>
      <c r="T38" s="201">
        <f t="shared" si="7"/>
        <v>1</v>
      </c>
      <c r="U38" s="201">
        <f t="shared" si="7"/>
        <v>1</v>
      </c>
      <c r="V38" s="201">
        <f t="shared" si="7"/>
        <v>1</v>
      </c>
      <c r="W38" s="201">
        <f t="shared" si="7"/>
        <v>1</v>
      </c>
      <c r="X38" s="201">
        <f t="shared" si="7"/>
        <v>1</v>
      </c>
      <c r="Y38" s="201">
        <f t="shared" si="7"/>
        <v>1</v>
      </c>
      <c r="Z38" s="201">
        <f t="shared" si="7"/>
        <v>1</v>
      </c>
      <c r="AA38" s="201">
        <f t="shared" si="7"/>
        <v>1</v>
      </c>
      <c r="AB38" s="201">
        <f t="shared" si="7"/>
        <v>1</v>
      </c>
      <c r="AC38" s="201">
        <f t="shared" si="7"/>
        <v>1</v>
      </c>
      <c r="AD38" s="201">
        <f t="shared" si="7"/>
        <v>1</v>
      </c>
      <c r="AE38" s="201">
        <f t="shared" si="7"/>
        <v>1</v>
      </c>
      <c r="AF38" s="201">
        <f t="shared" si="7"/>
        <v>1</v>
      </c>
      <c r="AG38" s="201">
        <f t="shared" si="7"/>
        <v>1</v>
      </c>
      <c r="AH38" s="201">
        <f t="shared" si="7"/>
        <v>1</v>
      </c>
      <c r="AI38" s="201">
        <f t="shared" si="7"/>
        <v>1</v>
      </c>
      <c r="AJ38" s="201">
        <f t="shared" si="7"/>
        <v>1</v>
      </c>
      <c r="AK38" s="201">
        <f t="shared" ref="AK38:BL38" si="8">IF(AK34="適合",0,1)</f>
        <v>1</v>
      </c>
      <c r="AL38" s="201">
        <f t="shared" si="8"/>
        <v>1</v>
      </c>
      <c r="AM38" s="201">
        <f t="shared" si="8"/>
        <v>1</v>
      </c>
      <c r="AN38" s="201">
        <f t="shared" si="8"/>
        <v>1</v>
      </c>
      <c r="AO38" s="201">
        <f t="shared" si="8"/>
        <v>1</v>
      </c>
      <c r="AP38" s="201">
        <f t="shared" si="8"/>
        <v>1</v>
      </c>
      <c r="AQ38" s="201">
        <f t="shared" si="8"/>
        <v>1</v>
      </c>
      <c r="AR38" s="201">
        <f t="shared" si="8"/>
        <v>1</v>
      </c>
      <c r="AS38" s="201">
        <f t="shared" si="8"/>
        <v>1</v>
      </c>
      <c r="AT38" s="201">
        <f t="shared" si="8"/>
        <v>1</v>
      </c>
      <c r="AU38" s="201">
        <f t="shared" si="8"/>
        <v>1</v>
      </c>
      <c r="AV38" s="201">
        <f t="shared" si="8"/>
        <v>1</v>
      </c>
      <c r="AW38" s="201">
        <f t="shared" si="8"/>
        <v>1</v>
      </c>
      <c r="AX38" s="201">
        <f t="shared" si="8"/>
        <v>1</v>
      </c>
      <c r="AY38" s="201">
        <f t="shared" si="8"/>
        <v>1</v>
      </c>
      <c r="AZ38" s="201">
        <f t="shared" si="8"/>
        <v>1</v>
      </c>
      <c r="BA38" s="201">
        <f t="shared" si="8"/>
        <v>1</v>
      </c>
      <c r="BB38" s="201">
        <f t="shared" si="8"/>
        <v>1</v>
      </c>
      <c r="BC38" s="201">
        <f t="shared" si="8"/>
        <v>1</v>
      </c>
      <c r="BD38" s="201">
        <f t="shared" si="8"/>
        <v>1</v>
      </c>
      <c r="BE38" s="201">
        <f t="shared" si="8"/>
        <v>1</v>
      </c>
      <c r="BF38" s="201">
        <f t="shared" si="8"/>
        <v>1</v>
      </c>
      <c r="BG38" s="201">
        <f t="shared" si="8"/>
        <v>1</v>
      </c>
      <c r="BH38" s="201">
        <f t="shared" si="8"/>
        <v>1</v>
      </c>
      <c r="BI38" s="201">
        <f t="shared" si="8"/>
        <v>1</v>
      </c>
      <c r="BJ38" s="201">
        <f t="shared" si="8"/>
        <v>1</v>
      </c>
      <c r="BK38" s="201">
        <f t="shared" si="8"/>
        <v>1</v>
      </c>
      <c r="BL38" s="201">
        <f t="shared" si="8"/>
        <v>1</v>
      </c>
      <c r="BO38" s="158"/>
    </row>
    <row r="39" spans="2:67" ht="24.75" hidden="1" customHeight="1" x14ac:dyDescent="0.45">
      <c r="B39" s="249" t="s">
        <v>474</v>
      </c>
      <c r="C39" s="249"/>
      <c r="D39" s="249"/>
      <c r="E39" s="198">
        <f>IF(E35="適合",0,1)</f>
        <v>1</v>
      </c>
      <c r="F39" s="198">
        <f t="shared" ref="F39:BL39" si="9">IF(F35="適合",0,1)</f>
        <v>1</v>
      </c>
      <c r="G39" s="198">
        <f t="shared" si="9"/>
        <v>1</v>
      </c>
      <c r="H39" s="198">
        <f t="shared" si="9"/>
        <v>1</v>
      </c>
      <c r="I39" s="198">
        <f t="shared" si="9"/>
        <v>1</v>
      </c>
      <c r="J39" s="198">
        <f t="shared" si="9"/>
        <v>1</v>
      </c>
      <c r="K39" s="198">
        <f t="shared" si="9"/>
        <v>1</v>
      </c>
      <c r="L39" s="198">
        <f t="shared" si="9"/>
        <v>1</v>
      </c>
      <c r="M39" s="198">
        <f t="shared" si="9"/>
        <v>1</v>
      </c>
      <c r="N39" s="198">
        <f t="shared" si="9"/>
        <v>1</v>
      </c>
      <c r="O39" s="198">
        <f t="shared" si="9"/>
        <v>1</v>
      </c>
      <c r="P39" s="198">
        <f t="shared" si="9"/>
        <v>1</v>
      </c>
      <c r="Q39" s="198">
        <f t="shared" si="9"/>
        <v>1</v>
      </c>
      <c r="R39" s="198">
        <f t="shared" si="9"/>
        <v>1</v>
      </c>
      <c r="S39" s="198">
        <f t="shared" si="9"/>
        <v>1</v>
      </c>
      <c r="T39" s="198">
        <f t="shared" si="9"/>
        <v>1</v>
      </c>
      <c r="U39" s="198">
        <f t="shared" si="9"/>
        <v>1</v>
      </c>
      <c r="V39" s="198">
        <f t="shared" si="9"/>
        <v>1</v>
      </c>
      <c r="W39" s="198">
        <f t="shared" si="9"/>
        <v>1</v>
      </c>
      <c r="X39" s="198">
        <f t="shared" si="9"/>
        <v>1</v>
      </c>
      <c r="Y39" s="198">
        <f t="shared" si="9"/>
        <v>1</v>
      </c>
      <c r="Z39" s="198">
        <f t="shared" si="9"/>
        <v>1</v>
      </c>
      <c r="AA39" s="198">
        <f t="shared" si="9"/>
        <v>1</v>
      </c>
      <c r="AB39" s="198">
        <f t="shared" si="9"/>
        <v>1</v>
      </c>
      <c r="AC39" s="198">
        <f t="shared" si="9"/>
        <v>1</v>
      </c>
      <c r="AD39" s="198">
        <f t="shared" si="9"/>
        <v>1</v>
      </c>
      <c r="AE39" s="198">
        <f t="shared" si="9"/>
        <v>1</v>
      </c>
      <c r="AF39" s="198">
        <f t="shared" si="9"/>
        <v>1</v>
      </c>
      <c r="AG39" s="198">
        <f t="shared" si="9"/>
        <v>1</v>
      </c>
      <c r="AH39" s="198">
        <f t="shared" si="9"/>
        <v>1</v>
      </c>
      <c r="AI39" s="198">
        <f t="shared" si="9"/>
        <v>1</v>
      </c>
      <c r="AJ39" s="198">
        <f t="shared" si="9"/>
        <v>1</v>
      </c>
      <c r="AK39" s="198">
        <f t="shared" si="9"/>
        <v>1</v>
      </c>
      <c r="AL39" s="198">
        <f t="shared" si="9"/>
        <v>1</v>
      </c>
      <c r="AM39" s="198">
        <f t="shared" si="9"/>
        <v>1</v>
      </c>
      <c r="AN39" s="198">
        <f t="shared" si="9"/>
        <v>1</v>
      </c>
      <c r="AO39" s="198">
        <f t="shared" si="9"/>
        <v>1</v>
      </c>
      <c r="AP39" s="198">
        <f t="shared" si="9"/>
        <v>1</v>
      </c>
      <c r="AQ39" s="198">
        <f t="shared" si="9"/>
        <v>1</v>
      </c>
      <c r="AR39" s="198">
        <f t="shared" si="9"/>
        <v>1</v>
      </c>
      <c r="AS39" s="198">
        <f t="shared" si="9"/>
        <v>1</v>
      </c>
      <c r="AT39" s="198">
        <f t="shared" si="9"/>
        <v>1</v>
      </c>
      <c r="AU39" s="198">
        <f t="shared" si="9"/>
        <v>1</v>
      </c>
      <c r="AV39" s="198">
        <f t="shared" si="9"/>
        <v>1</v>
      </c>
      <c r="AW39" s="198">
        <f t="shared" si="9"/>
        <v>1</v>
      </c>
      <c r="AX39" s="198">
        <f t="shared" si="9"/>
        <v>1</v>
      </c>
      <c r="AY39" s="198">
        <f t="shared" si="9"/>
        <v>1</v>
      </c>
      <c r="AZ39" s="198">
        <f t="shared" si="9"/>
        <v>1</v>
      </c>
      <c r="BA39" s="198">
        <f t="shared" si="9"/>
        <v>1</v>
      </c>
      <c r="BB39" s="198">
        <f t="shared" si="9"/>
        <v>1</v>
      </c>
      <c r="BC39" s="198">
        <f t="shared" si="9"/>
        <v>1</v>
      </c>
      <c r="BD39" s="198">
        <f t="shared" si="9"/>
        <v>1</v>
      </c>
      <c r="BE39" s="198">
        <f t="shared" si="9"/>
        <v>1</v>
      </c>
      <c r="BF39" s="198">
        <f t="shared" si="9"/>
        <v>1</v>
      </c>
      <c r="BG39" s="198">
        <f t="shared" si="9"/>
        <v>1</v>
      </c>
      <c r="BH39" s="198">
        <f t="shared" si="9"/>
        <v>1</v>
      </c>
      <c r="BI39" s="198">
        <f t="shared" si="9"/>
        <v>1</v>
      </c>
      <c r="BJ39" s="198">
        <f t="shared" si="9"/>
        <v>1</v>
      </c>
      <c r="BK39" s="198">
        <f t="shared" si="9"/>
        <v>1</v>
      </c>
      <c r="BL39" s="198">
        <f t="shared" si="9"/>
        <v>1</v>
      </c>
      <c r="BO39" s="51"/>
    </row>
    <row r="40" spans="2:67" ht="24.75" hidden="1" customHeight="1" x14ac:dyDescent="0.45">
      <c r="B40" s="250" t="s">
        <v>477</v>
      </c>
      <c r="C40" s="250"/>
      <c r="D40" s="250"/>
      <c r="E40" s="198">
        <f>IF(AND(E24="",E25="",E26="",E27="",E28="",E29="",E30="",E31=""),2,IF(AND(E24&lt;&gt;"",E25&lt;&gt;"",E26&lt;&gt;"",E27&lt;&gt;"",E28&lt;&gt;"",E29&lt;&gt;"",E30&lt;&gt;"",E31&lt;&gt;"",E37=0),0,1))</f>
        <v>2</v>
      </c>
      <c r="F40" s="198">
        <f t="shared" ref="F40:BL40" si="10">IF(AND(F24="",F25="",F26="",F27="",F28="",F29="",F30="",F31=""),2,IF(AND(F24&lt;&gt;"",F25&lt;&gt;"",F26&lt;&gt;"",F27&lt;&gt;"",F28&lt;&gt;"",F29&lt;&gt;"",F30&lt;&gt;"",F31&lt;&gt;"",F37=0),0,1))</f>
        <v>2</v>
      </c>
      <c r="G40" s="198">
        <f t="shared" si="10"/>
        <v>2</v>
      </c>
      <c r="H40" s="198">
        <f t="shared" si="10"/>
        <v>2</v>
      </c>
      <c r="I40" s="198">
        <f t="shared" si="10"/>
        <v>2</v>
      </c>
      <c r="J40" s="198">
        <f t="shared" si="10"/>
        <v>2</v>
      </c>
      <c r="K40" s="198">
        <f t="shared" si="10"/>
        <v>2</v>
      </c>
      <c r="L40" s="198">
        <f t="shared" si="10"/>
        <v>2</v>
      </c>
      <c r="M40" s="198">
        <f t="shared" si="10"/>
        <v>2</v>
      </c>
      <c r="N40" s="198">
        <f t="shared" si="10"/>
        <v>2</v>
      </c>
      <c r="O40" s="198">
        <f t="shared" si="10"/>
        <v>2</v>
      </c>
      <c r="P40" s="198">
        <f t="shared" si="10"/>
        <v>2</v>
      </c>
      <c r="Q40" s="198">
        <f t="shared" si="10"/>
        <v>2</v>
      </c>
      <c r="R40" s="198">
        <f t="shared" si="10"/>
        <v>2</v>
      </c>
      <c r="S40" s="198">
        <f t="shared" si="10"/>
        <v>2</v>
      </c>
      <c r="T40" s="198">
        <f t="shared" si="10"/>
        <v>2</v>
      </c>
      <c r="U40" s="198">
        <f t="shared" si="10"/>
        <v>2</v>
      </c>
      <c r="V40" s="198">
        <f t="shared" si="10"/>
        <v>2</v>
      </c>
      <c r="W40" s="198">
        <f t="shared" si="10"/>
        <v>2</v>
      </c>
      <c r="X40" s="198">
        <f t="shared" si="10"/>
        <v>2</v>
      </c>
      <c r="Y40" s="198">
        <f t="shared" si="10"/>
        <v>2</v>
      </c>
      <c r="Z40" s="198">
        <f t="shared" si="10"/>
        <v>2</v>
      </c>
      <c r="AA40" s="198">
        <f t="shared" si="10"/>
        <v>2</v>
      </c>
      <c r="AB40" s="198">
        <f t="shared" si="10"/>
        <v>2</v>
      </c>
      <c r="AC40" s="198">
        <f t="shared" si="10"/>
        <v>2</v>
      </c>
      <c r="AD40" s="198">
        <f t="shared" si="10"/>
        <v>2</v>
      </c>
      <c r="AE40" s="198">
        <f t="shared" si="10"/>
        <v>2</v>
      </c>
      <c r="AF40" s="198">
        <f t="shared" si="10"/>
        <v>2</v>
      </c>
      <c r="AG40" s="198">
        <f t="shared" si="10"/>
        <v>2</v>
      </c>
      <c r="AH40" s="198">
        <f t="shared" si="10"/>
        <v>2</v>
      </c>
      <c r="AI40" s="198">
        <f t="shared" si="10"/>
        <v>2</v>
      </c>
      <c r="AJ40" s="198">
        <f t="shared" si="10"/>
        <v>2</v>
      </c>
      <c r="AK40" s="198">
        <f t="shared" si="10"/>
        <v>2</v>
      </c>
      <c r="AL40" s="198">
        <f t="shared" si="10"/>
        <v>2</v>
      </c>
      <c r="AM40" s="198">
        <f t="shared" si="10"/>
        <v>2</v>
      </c>
      <c r="AN40" s="198">
        <f t="shared" si="10"/>
        <v>2</v>
      </c>
      <c r="AO40" s="198">
        <f t="shared" si="10"/>
        <v>2</v>
      </c>
      <c r="AP40" s="198">
        <f t="shared" si="10"/>
        <v>2</v>
      </c>
      <c r="AQ40" s="198">
        <f t="shared" si="10"/>
        <v>2</v>
      </c>
      <c r="AR40" s="198">
        <f t="shared" si="10"/>
        <v>2</v>
      </c>
      <c r="AS40" s="198">
        <f t="shared" si="10"/>
        <v>2</v>
      </c>
      <c r="AT40" s="198">
        <f t="shared" si="10"/>
        <v>2</v>
      </c>
      <c r="AU40" s="198">
        <f t="shared" si="10"/>
        <v>2</v>
      </c>
      <c r="AV40" s="198">
        <f t="shared" si="10"/>
        <v>2</v>
      </c>
      <c r="AW40" s="198">
        <f t="shared" si="10"/>
        <v>2</v>
      </c>
      <c r="AX40" s="198">
        <f t="shared" si="10"/>
        <v>2</v>
      </c>
      <c r="AY40" s="198">
        <f t="shared" si="10"/>
        <v>2</v>
      </c>
      <c r="AZ40" s="198">
        <f t="shared" si="10"/>
        <v>2</v>
      </c>
      <c r="BA40" s="198">
        <f t="shared" si="10"/>
        <v>2</v>
      </c>
      <c r="BB40" s="198">
        <f t="shared" si="10"/>
        <v>2</v>
      </c>
      <c r="BC40" s="198">
        <f t="shared" si="10"/>
        <v>2</v>
      </c>
      <c r="BD40" s="198">
        <f t="shared" si="10"/>
        <v>2</v>
      </c>
      <c r="BE40" s="198">
        <f t="shared" si="10"/>
        <v>2</v>
      </c>
      <c r="BF40" s="198">
        <f t="shared" si="10"/>
        <v>2</v>
      </c>
      <c r="BG40" s="198">
        <f t="shared" si="10"/>
        <v>2</v>
      </c>
      <c r="BH40" s="198">
        <f t="shared" si="10"/>
        <v>2</v>
      </c>
      <c r="BI40" s="198">
        <f t="shared" si="10"/>
        <v>2</v>
      </c>
      <c r="BJ40" s="198">
        <f t="shared" si="10"/>
        <v>2</v>
      </c>
      <c r="BK40" s="198">
        <f t="shared" si="10"/>
        <v>2</v>
      </c>
      <c r="BL40" s="198">
        <f t="shared" si="10"/>
        <v>2</v>
      </c>
    </row>
    <row r="41" spans="2:67" ht="24.75" hidden="1" customHeight="1" x14ac:dyDescent="0.45">
      <c r="B41" s="249" t="s">
        <v>479</v>
      </c>
      <c r="C41" s="249"/>
      <c r="D41" s="249"/>
      <c r="E41" s="198">
        <f>IF(AND(E38=0,E39=0,E40=0),0,IF(E40=2,0,1))</f>
        <v>0</v>
      </c>
      <c r="F41" s="198">
        <f t="shared" ref="F41:BL41" si="11">IF(AND(F38=0,F39=0,F40=0),0,IF(F40=2,0,1))</f>
        <v>0</v>
      </c>
      <c r="G41" s="198">
        <f t="shared" si="11"/>
        <v>0</v>
      </c>
      <c r="H41" s="198">
        <f t="shared" si="11"/>
        <v>0</v>
      </c>
      <c r="I41" s="198">
        <f t="shared" si="11"/>
        <v>0</v>
      </c>
      <c r="J41" s="198">
        <f t="shared" si="11"/>
        <v>0</v>
      </c>
      <c r="K41" s="198">
        <f t="shared" si="11"/>
        <v>0</v>
      </c>
      <c r="L41" s="198">
        <f t="shared" si="11"/>
        <v>0</v>
      </c>
      <c r="M41" s="198">
        <f t="shared" si="11"/>
        <v>0</v>
      </c>
      <c r="N41" s="198">
        <f t="shared" si="11"/>
        <v>0</v>
      </c>
      <c r="O41" s="198">
        <f t="shared" si="11"/>
        <v>0</v>
      </c>
      <c r="P41" s="198">
        <f t="shared" si="11"/>
        <v>0</v>
      </c>
      <c r="Q41" s="198">
        <f t="shared" si="11"/>
        <v>0</v>
      </c>
      <c r="R41" s="198">
        <f t="shared" si="11"/>
        <v>0</v>
      </c>
      <c r="S41" s="198">
        <f t="shared" si="11"/>
        <v>0</v>
      </c>
      <c r="T41" s="198">
        <f t="shared" si="11"/>
        <v>0</v>
      </c>
      <c r="U41" s="198">
        <f t="shared" si="11"/>
        <v>0</v>
      </c>
      <c r="V41" s="198">
        <f t="shared" si="11"/>
        <v>0</v>
      </c>
      <c r="W41" s="198">
        <f t="shared" si="11"/>
        <v>0</v>
      </c>
      <c r="X41" s="198">
        <f t="shared" si="11"/>
        <v>0</v>
      </c>
      <c r="Y41" s="198">
        <f t="shared" si="11"/>
        <v>0</v>
      </c>
      <c r="Z41" s="198">
        <f t="shared" si="11"/>
        <v>0</v>
      </c>
      <c r="AA41" s="198">
        <f t="shared" si="11"/>
        <v>0</v>
      </c>
      <c r="AB41" s="198">
        <f t="shared" si="11"/>
        <v>0</v>
      </c>
      <c r="AC41" s="198">
        <f t="shared" si="11"/>
        <v>0</v>
      </c>
      <c r="AD41" s="198">
        <f t="shared" si="11"/>
        <v>0</v>
      </c>
      <c r="AE41" s="198">
        <f t="shared" si="11"/>
        <v>0</v>
      </c>
      <c r="AF41" s="198">
        <f t="shared" si="11"/>
        <v>0</v>
      </c>
      <c r="AG41" s="198">
        <f t="shared" si="11"/>
        <v>0</v>
      </c>
      <c r="AH41" s="198">
        <f t="shared" si="11"/>
        <v>0</v>
      </c>
      <c r="AI41" s="198">
        <f t="shared" si="11"/>
        <v>0</v>
      </c>
      <c r="AJ41" s="198">
        <f t="shared" si="11"/>
        <v>0</v>
      </c>
      <c r="AK41" s="198">
        <f t="shared" si="11"/>
        <v>0</v>
      </c>
      <c r="AL41" s="198">
        <f t="shared" si="11"/>
        <v>0</v>
      </c>
      <c r="AM41" s="198">
        <f t="shared" si="11"/>
        <v>0</v>
      </c>
      <c r="AN41" s="198">
        <f t="shared" si="11"/>
        <v>0</v>
      </c>
      <c r="AO41" s="198">
        <f t="shared" si="11"/>
        <v>0</v>
      </c>
      <c r="AP41" s="198">
        <f t="shared" si="11"/>
        <v>0</v>
      </c>
      <c r="AQ41" s="198">
        <f t="shared" si="11"/>
        <v>0</v>
      </c>
      <c r="AR41" s="198">
        <f t="shared" si="11"/>
        <v>0</v>
      </c>
      <c r="AS41" s="198">
        <f t="shared" si="11"/>
        <v>0</v>
      </c>
      <c r="AT41" s="198">
        <f t="shared" si="11"/>
        <v>0</v>
      </c>
      <c r="AU41" s="198">
        <f t="shared" si="11"/>
        <v>0</v>
      </c>
      <c r="AV41" s="198">
        <f t="shared" si="11"/>
        <v>0</v>
      </c>
      <c r="AW41" s="198">
        <f t="shared" si="11"/>
        <v>0</v>
      </c>
      <c r="AX41" s="198">
        <f t="shared" si="11"/>
        <v>0</v>
      </c>
      <c r="AY41" s="198">
        <f t="shared" si="11"/>
        <v>0</v>
      </c>
      <c r="AZ41" s="198">
        <f t="shared" si="11"/>
        <v>0</v>
      </c>
      <c r="BA41" s="198">
        <f t="shared" si="11"/>
        <v>0</v>
      </c>
      <c r="BB41" s="198">
        <f t="shared" si="11"/>
        <v>0</v>
      </c>
      <c r="BC41" s="198">
        <f t="shared" si="11"/>
        <v>0</v>
      </c>
      <c r="BD41" s="198">
        <f t="shared" si="11"/>
        <v>0</v>
      </c>
      <c r="BE41" s="198">
        <f t="shared" si="11"/>
        <v>0</v>
      </c>
      <c r="BF41" s="198">
        <f t="shared" si="11"/>
        <v>0</v>
      </c>
      <c r="BG41" s="198">
        <f t="shared" si="11"/>
        <v>0</v>
      </c>
      <c r="BH41" s="198">
        <f t="shared" si="11"/>
        <v>0</v>
      </c>
      <c r="BI41" s="198">
        <f t="shared" si="11"/>
        <v>0</v>
      </c>
      <c r="BJ41" s="198">
        <f t="shared" si="11"/>
        <v>0</v>
      </c>
      <c r="BK41" s="198">
        <f t="shared" si="11"/>
        <v>0</v>
      </c>
      <c r="BL41" s="198">
        <f t="shared" si="11"/>
        <v>0</v>
      </c>
    </row>
    <row r="42" spans="2:67" ht="24.75" hidden="1" customHeight="1" x14ac:dyDescent="0.45">
      <c r="B42" s="252" t="s">
        <v>478</v>
      </c>
      <c r="C42" s="252"/>
      <c r="D42" s="252"/>
      <c r="E42" s="198">
        <f>COUNTIF($E40:$BL40,0)</f>
        <v>0</v>
      </c>
      <c r="F42" s="198">
        <f>COUNTIF($E40:$BL40,1)</f>
        <v>0</v>
      </c>
      <c r="G42" s="198">
        <f>COUNTIF($E40:$BL40,2)</f>
        <v>60</v>
      </c>
      <c r="H42" s="198">
        <f>60-COUNTIF($E$24:$BL$24,"")</f>
        <v>0</v>
      </c>
      <c r="I42" s="199" t="str">
        <f>IF(F42&lt;&gt;0,"入力確認",IF(H42=E42,"入力済","未入力"))</f>
        <v>入力済</v>
      </c>
      <c r="AK42" s="44"/>
    </row>
    <row r="44" spans="2:67" ht="19.5" customHeight="1" x14ac:dyDescent="0.45">
      <c r="B44" s="95"/>
      <c r="C44" s="95"/>
      <c r="D44" s="95"/>
      <c r="AK44" s="44"/>
    </row>
    <row r="45" spans="2:67" ht="19.5" customHeight="1" x14ac:dyDescent="0.45">
      <c r="AK45" s="44"/>
    </row>
    <row r="46" spans="2:67" ht="19.5" customHeight="1" x14ac:dyDescent="0.45">
      <c r="AK46" s="44"/>
    </row>
    <row r="47" spans="2:67" ht="19.5" customHeight="1" x14ac:dyDescent="0.45">
      <c r="AK47" s="44"/>
    </row>
    <row r="51" spans="37:37" x14ac:dyDescent="0.45">
      <c r="AK51" s="44"/>
    </row>
    <row r="54" spans="37:37" x14ac:dyDescent="0.45">
      <c r="AK54" s="44"/>
    </row>
  </sheetData>
  <sheetProtection password="DFA8" sheet="1" objects="1" scenarios="1" selectLockedCells="1"/>
  <mergeCells count="25">
    <mergeCell ref="I21:Q21"/>
    <mergeCell ref="G21:H21"/>
    <mergeCell ref="B34:D34"/>
    <mergeCell ref="B28:B29"/>
    <mergeCell ref="B30:B31"/>
    <mergeCell ref="B32:B33"/>
    <mergeCell ref="B35:D35"/>
    <mergeCell ref="B23:D23"/>
    <mergeCell ref="B24:D24"/>
    <mergeCell ref="B25:D25"/>
    <mergeCell ref="B26:D26"/>
    <mergeCell ref="B27:D27"/>
    <mergeCell ref="C28:D28"/>
    <mergeCell ref="C29:D29"/>
    <mergeCell ref="C30:D30"/>
    <mergeCell ref="C31:D31"/>
    <mergeCell ref="C32:D32"/>
    <mergeCell ref="C33:D33"/>
    <mergeCell ref="B39:D39"/>
    <mergeCell ref="B40:D40"/>
    <mergeCell ref="B36:D36"/>
    <mergeCell ref="B42:D42"/>
    <mergeCell ref="B37:D37"/>
    <mergeCell ref="B41:D41"/>
    <mergeCell ref="B38:D38"/>
  </mergeCells>
  <phoneticPr fontId="2"/>
  <conditionalFormatting sqref="E31:BL31 E29:BL29 E35:BL35 E33:BL33">
    <cfRule type="expression" dxfId="94" priority="7">
      <formula>E$35="不適合"</formula>
    </cfRule>
  </conditionalFormatting>
  <conditionalFormatting sqref="E33:BL33">
    <cfRule type="cellIs" dxfId="93" priority="9" operator="lessThan">
      <formula>30</formula>
    </cfRule>
    <cfRule type="expression" dxfId="92" priority="10">
      <formula>E33="入力確認"</formula>
    </cfRule>
  </conditionalFormatting>
  <conditionalFormatting sqref="E31:BL31 E34:BL34">
    <cfRule type="expression" dxfId="91" priority="6">
      <formula>E$31-E$30&lt;0</formula>
    </cfRule>
  </conditionalFormatting>
  <conditionalFormatting sqref="I21">
    <cfRule type="expression" dxfId="90" priority="19">
      <formula>$I$21="必要換気量に係る要件を満たしていないため、申請できません。"</formula>
    </cfRule>
    <cfRule type="expression" dxfId="89" priority="22">
      <formula>$I$21="「換気設備導入前後の比較表」の入力をご確認ください。"</formula>
    </cfRule>
  </conditionalFormatting>
  <conditionalFormatting sqref="E32:BL32">
    <cfRule type="expression" dxfId="88" priority="8">
      <formula>E32="入力確認"</formula>
    </cfRule>
  </conditionalFormatting>
  <conditionalFormatting sqref="E34:BL34">
    <cfRule type="expression" dxfId="87" priority="11">
      <formula>E34="不適合"</formula>
    </cfRule>
  </conditionalFormatting>
  <conditionalFormatting sqref="E29:BL29">
    <cfRule type="expression" dxfId="86" priority="5">
      <formula>AND(E29&lt;=0,E40=0)</formula>
    </cfRule>
  </conditionalFormatting>
  <conditionalFormatting sqref="E27:BL28">
    <cfRule type="expression" dxfId="85" priority="3">
      <formula>AND(E$27="機械換気",E$28=0)</formula>
    </cfRule>
  </conditionalFormatting>
  <conditionalFormatting sqref="E27:BL27 E30:BL30">
    <cfRule type="expression" dxfId="84" priority="1">
      <formula>AND(E$27="自然換気",E$30&gt;0)</formula>
    </cfRule>
  </conditionalFormatting>
  <conditionalFormatting sqref="I21:Q21">
    <cfRule type="expression" dxfId="83" priority="18">
      <formula>$I$21="「換気設備導入前後の比較表」を入力してください"</formula>
    </cfRule>
  </conditionalFormatting>
  <dataValidations xWindow="937" yWindow="277" count="5">
    <dataValidation allowBlank="1" sqref="C15:C16"/>
    <dataValidation type="whole" operator="greaterThan" allowBlank="1" showErrorMessage="1" error="＜１＞以上の整数を入力してください。" sqref="E28:BL29">
      <formula1>0</formula1>
    </dataValidation>
    <dataValidation type="decimal" operator="greaterThan" allowBlank="1" showErrorMessage="1" error="＜０＞より大きい数値を入力してください。" sqref="E31:BL31">
      <formula1>0</formula1>
    </dataValidation>
    <dataValidation type="decimal" operator="greaterThanOrEqual" allowBlank="1" showInputMessage="1" showErrorMessage="1" error="＜０＞以上の数値を入力してください。" prompt="自然換気は、”0”を入力。_x000a_機械換気は、”0”以上の数値を入力してください。" sqref="E30:BL30">
      <formula1>0</formula1>
    </dataValidation>
    <dataValidation type="decimal" operator="greaterThan" allowBlank="1" showInputMessage="1" showErrorMessage="1" error="＜0＞以上の数値を入力してください。" sqref="E25:BL26">
      <formula1>0</formula1>
    </dataValidation>
  </dataValidations>
  <pageMargins left="0.43307086614173229" right="0.31496062992125984" top="1.1023622047244095" bottom="0.82677165354330717" header="0.6692913385826772" footer="0.31496062992125984"/>
  <pageSetup paperSize="9" scale="60" fitToWidth="0" orientation="landscape" r:id="rId1"/>
  <headerFooter>
    <oddHeader>&amp;C&amp;20換気量・省エネ計算シート</oddHeader>
    <oddFooter>&amp;C&amp;14&amp;P</oddFooter>
  </headerFooter>
  <colBreaks count="3" manualBreakCount="3">
    <brk id="19" min="19" max="36" man="1"/>
    <brk id="34" min="19" max="36" man="1"/>
    <brk id="49" min="19" max="36" man="1"/>
  </colBreaks>
  <legacyDrawing r:id="rId2"/>
  <extLst>
    <ext xmlns:x14="http://schemas.microsoft.com/office/spreadsheetml/2009/9/main" uri="{CCE6A557-97BC-4b89-ADB6-D9C93CAAB3DF}">
      <x14:dataValidations xmlns:xm="http://schemas.microsoft.com/office/excel/2006/main" xWindow="937" yWindow="277" count="2">
        <x14:dataValidation type="list" allowBlank="1" showInputMessage="1" showErrorMessage="1">
          <x14:formula1>
            <xm:f>計算!$T$17:$T$18</xm:f>
          </x14:formula1>
          <xm:sqref>E27:BL27</xm:sqref>
        </x14:dataValidation>
        <x14:dataValidation type="list" allowBlank="1" showInputMessage="1" showErrorMessage="1">
          <x14:formula1>
            <xm:f>計算!$Z$4:$Z$14</xm:f>
          </x14:formula1>
          <xm:sqref>E24:BL24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AK207"/>
  <sheetViews>
    <sheetView zoomScale="70" zoomScaleNormal="70" zoomScaleSheetLayoutView="80" workbookViewId="0">
      <selection activeCell="D31" sqref="D31"/>
    </sheetView>
  </sheetViews>
  <sheetFormatPr defaultColWidth="8.796875" defaultRowHeight="19.5" x14ac:dyDescent="0.45"/>
  <cols>
    <col min="1" max="1" width="1.69921875" style="23" customWidth="1"/>
    <col min="2" max="2" width="11.3984375" style="24" customWidth="1"/>
    <col min="3" max="3" width="4.69921875" style="24" customWidth="1"/>
    <col min="4" max="4" width="8.796875" style="23" customWidth="1"/>
    <col min="5" max="15" width="8.796875" style="23"/>
    <col min="16" max="25" width="8.796875" style="23" customWidth="1"/>
    <col min="26" max="26" width="3.8984375" style="184" customWidth="1"/>
    <col min="27" max="28" width="5" style="184" customWidth="1"/>
    <col min="29" max="39" width="5" style="23" customWidth="1"/>
    <col min="40" max="69" width="3.8984375" style="23" customWidth="1"/>
    <col min="70" max="16384" width="8.796875" style="23"/>
  </cols>
  <sheetData>
    <row r="1" spans="2:28" s="134" customFormat="1" ht="19.5" customHeight="1" x14ac:dyDescent="0.45">
      <c r="B1" s="135"/>
      <c r="C1" s="135"/>
      <c r="D1" s="135"/>
      <c r="E1" s="135"/>
      <c r="F1" s="135"/>
      <c r="G1" s="135"/>
      <c r="H1" s="135"/>
      <c r="I1" s="135"/>
      <c r="J1" s="135"/>
      <c r="K1" s="135"/>
      <c r="L1" s="135"/>
      <c r="M1" s="135"/>
      <c r="N1" s="135"/>
      <c r="O1" s="135"/>
      <c r="P1" s="135"/>
      <c r="Q1" s="135"/>
      <c r="R1" s="135"/>
      <c r="S1" s="135"/>
      <c r="T1" s="135"/>
      <c r="U1" s="135"/>
      <c r="V1" s="135"/>
      <c r="W1" s="135"/>
      <c r="X1" s="135"/>
      <c r="Y1" s="136"/>
      <c r="Z1" s="182"/>
      <c r="AA1" s="183"/>
      <c r="AB1" s="183"/>
    </row>
    <row r="2" spans="2:28" x14ac:dyDescent="0.45">
      <c r="B2" s="53" t="s">
        <v>166</v>
      </c>
      <c r="C2" s="23"/>
    </row>
    <row r="3" spans="2:28" s="64" customFormat="1" x14ac:dyDescent="0.45">
      <c r="B3" s="127" t="s">
        <v>480</v>
      </c>
      <c r="K3" s="23"/>
      <c r="Z3" s="66"/>
      <c r="AA3" s="66"/>
      <c r="AB3" s="66"/>
    </row>
    <row r="4" spans="2:28" s="64" customFormat="1" x14ac:dyDescent="0.45">
      <c r="B4" s="127" t="s">
        <v>511</v>
      </c>
      <c r="K4" s="23"/>
      <c r="Z4" s="66"/>
      <c r="AA4" s="66"/>
      <c r="AB4" s="66"/>
    </row>
    <row r="5" spans="2:28" s="64" customFormat="1" x14ac:dyDescent="0.45">
      <c r="B5" s="127" t="s">
        <v>540</v>
      </c>
      <c r="K5" s="23"/>
      <c r="Z5" s="66"/>
      <c r="AA5" s="66"/>
      <c r="AB5" s="66"/>
    </row>
    <row r="6" spans="2:28" s="64" customFormat="1" x14ac:dyDescent="0.45">
      <c r="B6" s="127" t="s">
        <v>531</v>
      </c>
      <c r="K6" s="23"/>
      <c r="Z6" s="66"/>
      <c r="AA6" s="66"/>
      <c r="AB6" s="66"/>
    </row>
    <row r="7" spans="2:28" s="64" customFormat="1" x14ac:dyDescent="0.45">
      <c r="B7" s="127" t="s">
        <v>525</v>
      </c>
      <c r="K7" s="23"/>
      <c r="Z7" s="66"/>
      <c r="AA7" s="66"/>
      <c r="AB7" s="66"/>
    </row>
    <row r="8" spans="2:28" s="64" customFormat="1" x14ac:dyDescent="0.45">
      <c r="B8" s="127" t="s">
        <v>508</v>
      </c>
      <c r="K8" s="23"/>
      <c r="Z8" s="66"/>
      <c r="AA8" s="66"/>
      <c r="AB8" s="66"/>
    </row>
    <row r="9" spans="2:28" s="64" customFormat="1" x14ac:dyDescent="0.45">
      <c r="B9" s="127" t="s">
        <v>526</v>
      </c>
      <c r="K9" s="23"/>
      <c r="Z9" s="66"/>
      <c r="AA9" s="66"/>
      <c r="AB9" s="66"/>
    </row>
    <row r="10" spans="2:28" s="64" customFormat="1" x14ac:dyDescent="0.45">
      <c r="B10" s="127" t="s">
        <v>527</v>
      </c>
      <c r="K10" s="23"/>
      <c r="Z10" s="66"/>
      <c r="AA10" s="66"/>
      <c r="AB10" s="66"/>
    </row>
    <row r="11" spans="2:28" s="64" customFormat="1" x14ac:dyDescent="0.45">
      <c r="B11" s="127" t="s">
        <v>528</v>
      </c>
      <c r="G11" s="112"/>
      <c r="H11" s="112"/>
      <c r="K11" s="23"/>
      <c r="Z11" s="66"/>
      <c r="AA11" s="66"/>
      <c r="AB11" s="66"/>
    </row>
    <row r="12" spans="2:28" s="64" customFormat="1" hidden="1" x14ac:dyDescent="0.45">
      <c r="B12" s="172" t="s">
        <v>507</v>
      </c>
      <c r="C12" s="112"/>
      <c r="D12" s="112"/>
      <c r="E12" s="112"/>
      <c r="F12" s="112"/>
      <c r="G12" s="112"/>
      <c r="H12" s="112"/>
      <c r="I12" s="125"/>
      <c r="J12" s="125"/>
      <c r="K12" s="126"/>
      <c r="L12" s="125"/>
      <c r="Z12" s="66"/>
      <c r="AA12" s="66"/>
      <c r="AB12" s="66"/>
    </row>
    <row r="13" spans="2:28" s="64" customFormat="1" hidden="1" x14ac:dyDescent="0.45">
      <c r="B13" s="159" t="s">
        <v>268</v>
      </c>
      <c r="C13" s="125"/>
      <c r="D13" s="125"/>
      <c r="E13" s="125"/>
      <c r="F13" s="125"/>
      <c r="G13" s="125"/>
      <c r="H13" s="125"/>
      <c r="I13" s="125"/>
      <c r="J13" s="125"/>
      <c r="K13" s="126"/>
      <c r="L13" s="125"/>
      <c r="Z13" s="66"/>
      <c r="AA13" s="66"/>
      <c r="AB13" s="66"/>
    </row>
    <row r="14" spans="2:28" s="64" customFormat="1" x14ac:dyDescent="0.45">
      <c r="B14" s="127" t="s">
        <v>529</v>
      </c>
      <c r="K14" s="23"/>
      <c r="Z14" s="66"/>
      <c r="AA14" s="66"/>
      <c r="AB14" s="66"/>
    </row>
    <row r="15" spans="2:28" s="64" customFormat="1" x14ac:dyDescent="0.45">
      <c r="B15" s="127" t="s">
        <v>410</v>
      </c>
      <c r="K15" s="23"/>
      <c r="Z15" s="66"/>
      <c r="AA15" s="66"/>
      <c r="AB15" s="66"/>
    </row>
    <row r="16" spans="2:28" s="64" customFormat="1" x14ac:dyDescent="0.45">
      <c r="B16" s="127" t="s">
        <v>209</v>
      </c>
      <c r="K16" s="23"/>
      <c r="Z16" s="66"/>
      <c r="AA16" s="66"/>
      <c r="AB16" s="66"/>
    </row>
    <row r="17" spans="2:28" s="64" customFormat="1" x14ac:dyDescent="0.45">
      <c r="B17" s="127" t="s">
        <v>553</v>
      </c>
      <c r="K17" s="23"/>
      <c r="Z17" s="66"/>
      <c r="AA17" s="66"/>
      <c r="AB17" s="66"/>
    </row>
    <row r="18" spans="2:28" s="64" customFormat="1" x14ac:dyDescent="0.45">
      <c r="B18" s="127" t="s">
        <v>210</v>
      </c>
      <c r="K18" s="23"/>
      <c r="Z18" s="66"/>
      <c r="AA18" s="66"/>
      <c r="AB18" s="66"/>
    </row>
    <row r="19" spans="2:28" s="64" customFormat="1" x14ac:dyDescent="0.45">
      <c r="B19" s="127" t="s">
        <v>530</v>
      </c>
      <c r="K19" s="23"/>
      <c r="Z19" s="66"/>
      <c r="AA19" s="66"/>
      <c r="AB19" s="66"/>
    </row>
    <row r="20" spans="2:28" s="64" customFormat="1" x14ac:dyDescent="0.45">
      <c r="B20" s="79"/>
      <c r="K20" s="23"/>
      <c r="Z20" s="66"/>
      <c r="AA20" s="66"/>
      <c r="AB20" s="66"/>
    </row>
    <row r="21" spans="2:28" ht="19.5" customHeight="1" x14ac:dyDescent="0.45">
      <c r="B21" s="96" t="s">
        <v>167</v>
      </c>
      <c r="C21" s="25"/>
      <c r="D21" s="56" t="s">
        <v>545</v>
      </c>
    </row>
    <row r="22" spans="2:28" ht="19.5" customHeight="1" x14ac:dyDescent="0.45">
      <c r="C22" s="26"/>
      <c r="D22" s="56" t="s">
        <v>548</v>
      </c>
    </row>
    <row r="23" spans="2:28" ht="19.5" customHeight="1" x14ac:dyDescent="0.45">
      <c r="C23" s="27"/>
      <c r="D23" s="52" t="s">
        <v>544</v>
      </c>
    </row>
    <row r="24" spans="2:28" ht="19.5" customHeight="1" x14ac:dyDescent="0.45">
      <c r="D24" s="24"/>
    </row>
    <row r="25" spans="2:28" x14ac:dyDescent="0.45">
      <c r="B25" s="24" t="str">
        <f>'1.換気～比較表'!B19</f>
        <v>R4_Ver8.3</v>
      </c>
    </row>
    <row r="27" spans="2:28" ht="42.75" customHeight="1" x14ac:dyDescent="0.45">
      <c r="B27" s="28" t="s">
        <v>190</v>
      </c>
      <c r="C27" s="29"/>
      <c r="F27" s="309" t="s">
        <v>417</v>
      </c>
      <c r="G27" s="278"/>
      <c r="H27" s="265" t="str">
        <f>IF(X38="入力確認","旧設備の入力をご確認ください。",IF(X64="入力確認","新設備の入力をご確認ください。",IF(AND(AC54=0,AC56=0,AC57=0,AC60=0,AC62=0),"換気設備の導入は必須です。換気設備について入力してください。",IF(X55="非適合","新設備の導入がない計画は申請できません。",IF(AND(X54="適合",X55="適合",X56="適合",X57="適合",X59="適合",X61="適合",X63="適合",X65="適合"),"換気設備導入の要件を満たしています。","換気設備導入の要件を満たしていないため、申請できません。")))))</f>
        <v>換気設備の導入は必須です。換気設備について入力してください。</v>
      </c>
      <c r="I27" s="266"/>
      <c r="J27" s="266"/>
      <c r="K27" s="266"/>
      <c r="L27" s="266"/>
      <c r="M27" s="266"/>
      <c r="N27" s="266"/>
      <c r="O27" s="267"/>
      <c r="X27" s="121"/>
    </row>
    <row r="28" spans="2:28" ht="18.75" customHeight="1" x14ac:dyDescent="0.45">
      <c r="B28" s="28"/>
      <c r="C28" s="29"/>
    </row>
    <row r="29" spans="2:28" ht="42" customHeight="1" thickBot="1" x14ac:dyDescent="0.5">
      <c r="B29" s="181" t="s">
        <v>430</v>
      </c>
      <c r="C29" s="30"/>
    </row>
    <row r="30" spans="2:28" x14ac:dyDescent="0.45">
      <c r="B30" s="282" t="s">
        <v>122</v>
      </c>
      <c r="C30" s="282"/>
      <c r="D30" s="31" t="s">
        <v>142</v>
      </c>
      <c r="E30" s="31" t="s">
        <v>143</v>
      </c>
      <c r="F30" s="31" t="s">
        <v>144</v>
      </c>
      <c r="G30" s="31" t="s">
        <v>145</v>
      </c>
      <c r="H30" s="31" t="s">
        <v>146</v>
      </c>
      <c r="I30" s="31" t="s">
        <v>147</v>
      </c>
      <c r="J30" s="31" t="s">
        <v>148</v>
      </c>
      <c r="K30" s="31" t="s">
        <v>149</v>
      </c>
      <c r="L30" s="31" t="s">
        <v>150</v>
      </c>
      <c r="M30" s="31" t="s">
        <v>151</v>
      </c>
      <c r="N30" s="31" t="s">
        <v>346</v>
      </c>
      <c r="O30" s="31" t="s">
        <v>152</v>
      </c>
      <c r="P30" s="31" t="s">
        <v>153</v>
      </c>
      <c r="Q30" s="31" t="s">
        <v>154</v>
      </c>
      <c r="R30" s="31" t="s">
        <v>155</v>
      </c>
      <c r="S30" s="31" t="s">
        <v>156</v>
      </c>
      <c r="T30" s="31" t="s">
        <v>157</v>
      </c>
      <c r="U30" s="31" t="s">
        <v>158</v>
      </c>
      <c r="V30" s="31" t="s">
        <v>159</v>
      </c>
      <c r="W30" s="205" t="s">
        <v>160</v>
      </c>
      <c r="X30" s="210" t="s">
        <v>484</v>
      </c>
      <c r="Y30" s="211" t="s">
        <v>485</v>
      </c>
      <c r="AA30" s="79" t="s">
        <v>432</v>
      </c>
    </row>
    <row r="31" spans="2:28" ht="63" customHeight="1" x14ac:dyDescent="0.45">
      <c r="B31" s="287" t="s">
        <v>1</v>
      </c>
      <c r="C31" s="287"/>
      <c r="D31" s="91"/>
      <c r="E31" s="91"/>
      <c r="F31" s="91"/>
      <c r="G31" s="91"/>
      <c r="H31" s="91"/>
      <c r="I31" s="91"/>
      <c r="J31" s="91"/>
      <c r="K31" s="91"/>
      <c r="L31" s="91"/>
      <c r="M31" s="91"/>
      <c r="N31" s="91"/>
      <c r="O31" s="91"/>
      <c r="P31" s="91"/>
      <c r="Q31" s="91"/>
      <c r="R31" s="91"/>
      <c r="S31" s="91"/>
      <c r="T31" s="91"/>
      <c r="U31" s="91"/>
      <c r="V31" s="91"/>
      <c r="W31" s="206"/>
      <c r="X31" s="212" t="s">
        <v>10</v>
      </c>
      <c r="Y31" s="213" t="s">
        <v>10</v>
      </c>
      <c r="AA31" s="23"/>
      <c r="AB31" s="217" t="s">
        <v>490</v>
      </c>
    </row>
    <row r="32" spans="2:28" ht="26.25" customHeight="1" thickBot="1" x14ac:dyDescent="0.5">
      <c r="B32" s="287" t="s">
        <v>488</v>
      </c>
      <c r="C32" s="287"/>
      <c r="D32" s="216"/>
      <c r="E32" s="216"/>
      <c r="F32" s="216"/>
      <c r="G32" s="216"/>
      <c r="H32" s="216"/>
      <c r="I32" s="216"/>
      <c r="J32" s="216"/>
      <c r="K32" s="216"/>
      <c r="L32" s="216"/>
      <c r="M32" s="216"/>
      <c r="N32" s="216"/>
      <c r="O32" s="216"/>
      <c r="P32" s="216"/>
      <c r="Q32" s="216"/>
      <c r="R32" s="216"/>
      <c r="S32" s="216"/>
      <c r="T32" s="216"/>
      <c r="U32" s="216"/>
      <c r="V32" s="216"/>
      <c r="W32" s="216"/>
      <c r="X32" s="208" t="s">
        <v>10</v>
      </c>
      <c r="Y32" s="209" t="s">
        <v>10</v>
      </c>
    </row>
    <row r="33" spans="2:37" ht="27" customHeight="1" x14ac:dyDescent="0.45">
      <c r="B33" s="287" t="s">
        <v>3</v>
      </c>
      <c r="C33" s="287"/>
      <c r="D33" s="197"/>
      <c r="E33" s="197"/>
      <c r="F33" s="197"/>
      <c r="G33" s="197"/>
      <c r="H33" s="197"/>
      <c r="I33" s="197"/>
      <c r="J33" s="197"/>
      <c r="K33" s="197"/>
      <c r="L33" s="197"/>
      <c r="M33" s="197"/>
      <c r="N33" s="197"/>
      <c r="O33" s="197"/>
      <c r="P33" s="197"/>
      <c r="Q33" s="197"/>
      <c r="R33" s="197"/>
      <c r="S33" s="197"/>
      <c r="T33" s="197"/>
      <c r="U33" s="197"/>
      <c r="V33" s="197"/>
      <c r="W33" s="207"/>
      <c r="X33" s="202" t="str">
        <f>IF(AND(AC38=0,AD38=0,AE38=0),"",AB36+AD36)</f>
        <v/>
      </c>
      <c r="Y33" s="203" t="str">
        <f>IF(AND(AC38=0,AD38=0,AE38=0),"",AC36)</f>
        <v/>
      </c>
      <c r="AB33" s="217" t="s">
        <v>536</v>
      </c>
    </row>
    <row r="34" spans="2:37" ht="27" customHeight="1" x14ac:dyDescent="0.45">
      <c r="B34" s="303" t="s">
        <v>4</v>
      </c>
      <c r="C34" s="303"/>
      <c r="D34" s="232"/>
      <c r="E34" s="232"/>
      <c r="F34" s="232"/>
      <c r="G34" s="232"/>
      <c r="H34" s="232"/>
      <c r="I34" s="232"/>
      <c r="J34" s="232"/>
      <c r="K34" s="232"/>
      <c r="L34" s="232"/>
      <c r="M34" s="232"/>
      <c r="N34" s="232"/>
      <c r="O34" s="232"/>
      <c r="P34" s="232"/>
      <c r="Q34" s="232"/>
      <c r="R34" s="232"/>
      <c r="S34" s="232"/>
      <c r="T34" s="232"/>
      <c r="U34" s="232"/>
      <c r="V34" s="232"/>
      <c r="W34" s="233"/>
      <c r="X34" s="226" t="str">
        <f>IF(AND(AC38=0,AE38=0),"",X36+AA36)</f>
        <v/>
      </c>
      <c r="Y34" s="227" t="str">
        <f>IF(AND(AD38=0,AE38=0),"",Y36+AA36)</f>
        <v/>
      </c>
      <c r="AB34" s="217" t="s">
        <v>532</v>
      </c>
    </row>
    <row r="35" spans="2:37" ht="27" customHeight="1" thickBot="1" x14ac:dyDescent="0.5">
      <c r="B35" s="287" t="s">
        <v>5</v>
      </c>
      <c r="C35" s="287"/>
      <c r="D35" s="234"/>
      <c r="E35" s="235"/>
      <c r="F35" s="234"/>
      <c r="G35" s="235"/>
      <c r="H35" s="234"/>
      <c r="I35" s="235"/>
      <c r="J35" s="234"/>
      <c r="K35" s="235"/>
      <c r="L35" s="234"/>
      <c r="M35" s="235"/>
      <c r="N35" s="235"/>
      <c r="O35" s="235"/>
      <c r="P35" s="235"/>
      <c r="Q35" s="235"/>
      <c r="R35" s="235"/>
      <c r="S35" s="235"/>
      <c r="T35" s="235"/>
      <c r="U35" s="235"/>
      <c r="V35" s="235"/>
      <c r="W35" s="236"/>
      <c r="X35" s="228" t="str">
        <f>IF(AND(AC38=0,AE38=0),"",X37+AA37)</f>
        <v/>
      </c>
      <c r="Y35" s="229" t="str">
        <f>IF(AND(AD38=0,AE38=0),"",Y37+AA37)</f>
        <v/>
      </c>
    </row>
    <row r="36" spans="2:37" ht="27" hidden="1" customHeight="1" x14ac:dyDescent="0.45">
      <c r="B36" s="303" t="s">
        <v>486</v>
      </c>
      <c r="C36" s="303"/>
      <c r="D36" s="169">
        <f>D33*D34</f>
        <v>0</v>
      </c>
      <c r="E36" s="169">
        <f t="shared" ref="E36:W36" si="0">E33*E34</f>
        <v>0</v>
      </c>
      <c r="F36" s="169">
        <f t="shared" si="0"/>
        <v>0</v>
      </c>
      <c r="G36" s="169">
        <f t="shared" si="0"/>
        <v>0</v>
      </c>
      <c r="H36" s="169">
        <f t="shared" si="0"/>
        <v>0</v>
      </c>
      <c r="I36" s="169">
        <f t="shared" si="0"/>
        <v>0</v>
      </c>
      <c r="J36" s="169">
        <f t="shared" si="0"/>
        <v>0</v>
      </c>
      <c r="K36" s="169">
        <f t="shared" si="0"/>
        <v>0</v>
      </c>
      <c r="L36" s="169">
        <f t="shared" si="0"/>
        <v>0</v>
      </c>
      <c r="M36" s="169">
        <f t="shared" si="0"/>
        <v>0</v>
      </c>
      <c r="N36" s="169">
        <f t="shared" si="0"/>
        <v>0</v>
      </c>
      <c r="O36" s="169">
        <f t="shared" si="0"/>
        <v>0</v>
      </c>
      <c r="P36" s="169">
        <f t="shared" si="0"/>
        <v>0</v>
      </c>
      <c r="Q36" s="169">
        <f t="shared" si="0"/>
        <v>0</v>
      </c>
      <c r="R36" s="169">
        <f t="shared" si="0"/>
        <v>0</v>
      </c>
      <c r="S36" s="169">
        <f t="shared" si="0"/>
        <v>0</v>
      </c>
      <c r="T36" s="169">
        <f t="shared" si="0"/>
        <v>0</v>
      </c>
      <c r="U36" s="169">
        <f t="shared" si="0"/>
        <v>0</v>
      </c>
      <c r="V36" s="169">
        <f t="shared" si="0"/>
        <v>0</v>
      </c>
      <c r="W36" s="204">
        <f t="shared" si="0"/>
        <v>0</v>
      </c>
      <c r="X36" s="219">
        <f>IF(SUMIF($D$32:$W$32,"排気",$D$36:$W$36)=0,0,SUMIF($D$32:$W$32,"排気",$D$36:$W$36))</f>
        <v>0</v>
      </c>
      <c r="Y36" s="220">
        <f>IF(SUMIF($D$32:$W$32,"給気",$D$36:$W$36)=0,0,SUMIF($D$32:$W$32,"給気",$D$36:$W$36))</f>
        <v>0</v>
      </c>
      <c r="AA36" s="184">
        <f>IF(SUMIF($D$32:$W$32,"給気・排気",$D$36:$W$36)=0,0,SUMIF($D$32:$W$32,"給気・排気",$D$36:$W$36))</f>
        <v>0</v>
      </c>
      <c r="AB36" s="230">
        <f>IF(SUMIF($D$32:$W$32,"排気",$D$33:$W$33)=0,0,SUMIF($D$32:$W$32,"排気",$D$33:$W$33))</f>
        <v>0</v>
      </c>
      <c r="AC36" s="230">
        <f>IF(SUMIF($D$32:$W$32,"給気",$D$33:$W$33)=0,0,SUMIF($D$32:$W$32,"給気",$D$33:$W$33))</f>
        <v>0</v>
      </c>
      <c r="AD36" s="230">
        <f>IF(SUMIF($D$32:$W$32,"給気・排気",$D$33:$W$33)=0,0,SUMIF($D$32:$W$32,"給気・排気",$D$33:$W$33))</f>
        <v>0</v>
      </c>
      <c r="AE36" s="230"/>
      <c r="AF36" s="230" t="s">
        <v>535</v>
      </c>
      <c r="AG36" s="231"/>
      <c r="AH36" s="231"/>
      <c r="AI36" s="231"/>
      <c r="AJ36" s="231"/>
      <c r="AK36" s="231"/>
    </row>
    <row r="37" spans="2:37" ht="27" hidden="1" customHeight="1" thickBot="1" x14ac:dyDescent="0.5">
      <c r="B37" s="287" t="s">
        <v>487</v>
      </c>
      <c r="C37" s="287"/>
      <c r="D37" s="169">
        <f t="shared" ref="D37:W37" si="1">D33*D35</f>
        <v>0</v>
      </c>
      <c r="E37" s="169">
        <f t="shared" si="1"/>
        <v>0</v>
      </c>
      <c r="F37" s="169">
        <f t="shared" si="1"/>
        <v>0</v>
      </c>
      <c r="G37" s="169">
        <f t="shared" si="1"/>
        <v>0</v>
      </c>
      <c r="H37" s="169">
        <f t="shared" si="1"/>
        <v>0</v>
      </c>
      <c r="I37" s="169">
        <f t="shared" si="1"/>
        <v>0</v>
      </c>
      <c r="J37" s="169">
        <f t="shared" si="1"/>
        <v>0</v>
      </c>
      <c r="K37" s="169">
        <f t="shared" si="1"/>
        <v>0</v>
      </c>
      <c r="L37" s="169">
        <f t="shared" si="1"/>
        <v>0</v>
      </c>
      <c r="M37" s="169">
        <f t="shared" si="1"/>
        <v>0</v>
      </c>
      <c r="N37" s="169">
        <f t="shared" si="1"/>
        <v>0</v>
      </c>
      <c r="O37" s="169">
        <f t="shared" si="1"/>
        <v>0</v>
      </c>
      <c r="P37" s="169">
        <f t="shared" si="1"/>
        <v>0</v>
      </c>
      <c r="Q37" s="169">
        <f t="shared" si="1"/>
        <v>0</v>
      </c>
      <c r="R37" s="169">
        <f t="shared" si="1"/>
        <v>0</v>
      </c>
      <c r="S37" s="169">
        <f t="shared" si="1"/>
        <v>0</v>
      </c>
      <c r="T37" s="169">
        <f t="shared" si="1"/>
        <v>0</v>
      </c>
      <c r="U37" s="169">
        <f t="shared" si="1"/>
        <v>0</v>
      </c>
      <c r="V37" s="169">
        <f t="shared" si="1"/>
        <v>0</v>
      </c>
      <c r="W37" s="204">
        <f t="shared" si="1"/>
        <v>0</v>
      </c>
      <c r="X37" s="221">
        <f>IF(SUMIF($D$32:$W$32,"排気",$D$37:$W$37)=0,0,SUMIF($D$32:$W$32,"排気",$D$37:$W$37))</f>
        <v>0</v>
      </c>
      <c r="Y37" s="222">
        <f>IF(SUMIF($D$32:$W$32,"給気",$D$37:$W$37)=0,0,SUMIF($D$32:$W$32,"給気",$D$37:$W$37))</f>
        <v>0</v>
      </c>
      <c r="AA37" s="184">
        <f>IF(SUMIF($D$32:$W$32,"給気・排気",$D$37:$W$37)=0,0,SUMIF($D$32:$W$32,"給気・排気",$D$37:$W$37))</f>
        <v>0</v>
      </c>
    </row>
    <row r="38" spans="2:37" hidden="1" x14ac:dyDescent="0.45">
      <c r="B38" s="111" t="s">
        <v>442</v>
      </c>
      <c r="C38" s="109"/>
      <c r="D38" s="109">
        <f t="shared" ref="D38:W38" si="2">IF(AND(D31="",D32="",D33="",D34="",D35=""),2,IF(AND(D31&lt;&gt;"",D32&lt;&gt;"",D33&lt;&gt;"",D34&lt;&gt;"",D35&lt;&gt;""),0,1))</f>
        <v>2</v>
      </c>
      <c r="E38" s="109">
        <f t="shared" si="2"/>
        <v>2</v>
      </c>
      <c r="F38" s="109">
        <f t="shared" si="2"/>
        <v>2</v>
      </c>
      <c r="G38" s="109">
        <f t="shared" si="2"/>
        <v>2</v>
      </c>
      <c r="H38" s="109">
        <f t="shared" si="2"/>
        <v>2</v>
      </c>
      <c r="I38" s="109">
        <f t="shared" si="2"/>
        <v>2</v>
      </c>
      <c r="J38" s="109">
        <f t="shared" si="2"/>
        <v>2</v>
      </c>
      <c r="K38" s="109">
        <f t="shared" si="2"/>
        <v>2</v>
      </c>
      <c r="L38" s="109">
        <f t="shared" si="2"/>
        <v>2</v>
      </c>
      <c r="M38" s="109">
        <f t="shared" si="2"/>
        <v>2</v>
      </c>
      <c r="N38" s="109">
        <f t="shared" si="2"/>
        <v>2</v>
      </c>
      <c r="O38" s="109">
        <f t="shared" si="2"/>
        <v>2</v>
      </c>
      <c r="P38" s="109">
        <f t="shared" si="2"/>
        <v>2</v>
      </c>
      <c r="Q38" s="109">
        <f t="shared" si="2"/>
        <v>2</v>
      </c>
      <c r="R38" s="109">
        <f t="shared" si="2"/>
        <v>2</v>
      </c>
      <c r="S38" s="109">
        <f t="shared" si="2"/>
        <v>2</v>
      </c>
      <c r="T38" s="109">
        <f t="shared" si="2"/>
        <v>2</v>
      </c>
      <c r="U38" s="109">
        <f t="shared" si="2"/>
        <v>2</v>
      </c>
      <c r="V38" s="109">
        <f t="shared" si="2"/>
        <v>2</v>
      </c>
      <c r="W38" s="109">
        <f t="shared" si="2"/>
        <v>2</v>
      </c>
      <c r="X38" s="109" t="str">
        <f>IF(Z38&gt;0,"入力確認",IF(AB38=Y38,"適合","不適合"))</f>
        <v>適合</v>
      </c>
      <c r="Y38" s="23">
        <f>COUNTIF($D38:$W38,0)</f>
        <v>0</v>
      </c>
      <c r="Z38" s="184">
        <f>COUNTIF($D38:$W38,1)</f>
        <v>0</v>
      </c>
      <c r="AA38" s="184">
        <f>COUNTIF($D38:$W38,2)</f>
        <v>20</v>
      </c>
      <c r="AB38" s="23">
        <f>20-COUNTIF($D$31:$W$31,"")</f>
        <v>0</v>
      </c>
      <c r="AC38" s="23">
        <f>COUNTIF($D$32:$W$32,"排気")</f>
        <v>0</v>
      </c>
      <c r="AD38" s="23">
        <f>COUNTIF($D$32:$W$32,"給気")</f>
        <v>0</v>
      </c>
      <c r="AE38" s="23">
        <f>COUNTIF($D$32:$W$32,"給気・排気")</f>
        <v>0</v>
      </c>
      <c r="AF38" s="117">
        <v>34</v>
      </c>
    </row>
    <row r="40" spans="2:37" ht="42" customHeight="1" thickBot="1" x14ac:dyDescent="0.5">
      <c r="B40" s="181" t="s">
        <v>431</v>
      </c>
      <c r="C40" s="30"/>
    </row>
    <row r="41" spans="2:37" x14ac:dyDescent="0.45">
      <c r="B41" s="282" t="s">
        <v>121</v>
      </c>
      <c r="C41" s="282"/>
      <c r="D41" s="31" t="s">
        <v>283</v>
      </c>
      <c r="E41" s="31" t="s">
        <v>284</v>
      </c>
      <c r="F41" s="31" t="s">
        <v>285</v>
      </c>
      <c r="G41" s="31" t="s">
        <v>286</v>
      </c>
      <c r="H41" s="31" t="s">
        <v>287</v>
      </c>
      <c r="I41" s="31" t="s">
        <v>288</v>
      </c>
      <c r="J41" s="31" t="s">
        <v>289</v>
      </c>
      <c r="K41" s="31" t="s">
        <v>290</v>
      </c>
      <c r="L41" s="31" t="s">
        <v>291</v>
      </c>
      <c r="M41" s="31" t="s">
        <v>292</v>
      </c>
      <c r="N41" s="31" t="s">
        <v>347</v>
      </c>
      <c r="O41" s="31" t="s">
        <v>348</v>
      </c>
      <c r="P41" s="31" t="s">
        <v>349</v>
      </c>
      <c r="Q41" s="31" t="s">
        <v>350</v>
      </c>
      <c r="R41" s="31" t="s">
        <v>351</v>
      </c>
      <c r="S41" s="31" t="s">
        <v>352</v>
      </c>
      <c r="T41" s="31" t="s">
        <v>353</v>
      </c>
      <c r="U41" s="31" t="s">
        <v>354</v>
      </c>
      <c r="V41" s="31" t="s">
        <v>355</v>
      </c>
      <c r="W41" s="31" t="s">
        <v>356</v>
      </c>
      <c r="X41" s="210" t="s">
        <v>484</v>
      </c>
      <c r="Y41" s="211" t="s">
        <v>485</v>
      </c>
      <c r="Z41" s="23"/>
      <c r="AA41" s="79" t="s">
        <v>433</v>
      </c>
    </row>
    <row r="42" spans="2:37" ht="63" customHeight="1" x14ac:dyDescent="0.45">
      <c r="B42" s="287" t="s">
        <v>1</v>
      </c>
      <c r="C42" s="287"/>
      <c r="D42" s="91"/>
      <c r="E42" s="91"/>
      <c r="F42" s="91"/>
      <c r="G42" s="91"/>
      <c r="H42" s="91"/>
      <c r="I42" s="91"/>
      <c r="J42" s="91"/>
      <c r="K42" s="91"/>
      <c r="L42" s="91"/>
      <c r="M42" s="91"/>
      <c r="N42" s="91"/>
      <c r="O42" s="91"/>
      <c r="P42" s="91"/>
      <c r="Q42" s="91"/>
      <c r="R42" s="91"/>
      <c r="S42" s="91"/>
      <c r="T42" s="91"/>
      <c r="U42" s="91"/>
      <c r="V42" s="91"/>
      <c r="W42" s="91"/>
      <c r="X42" s="212" t="s">
        <v>10</v>
      </c>
      <c r="Y42" s="213" t="s">
        <v>10</v>
      </c>
      <c r="Z42" s="23"/>
    </row>
    <row r="43" spans="2:37" ht="26.25" customHeight="1" x14ac:dyDescent="0.45">
      <c r="B43" s="287" t="s">
        <v>488</v>
      </c>
      <c r="C43" s="287"/>
      <c r="D43" s="216"/>
      <c r="E43" s="216"/>
      <c r="F43" s="216"/>
      <c r="G43" s="216"/>
      <c r="H43" s="216"/>
      <c r="I43" s="216"/>
      <c r="J43" s="216"/>
      <c r="K43" s="216"/>
      <c r="L43" s="216"/>
      <c r="M43" s="216"/>
      <c r="N43" s="216"/>
      <c r="O43" s="216"/>
      <c r="P43" s="216"/>
      <c r="Q43" s="216"/>
      <c r="R43" s="216"/>
      <c r="S43" s="216"/>
      <c r="T43" s="216"/>
      <c r="U43" s="216"/>
      <c r="V43" s="216"/>
      <c r="W43" s="216"/>
      <c r="X43" s="212" t="s">
        <v>10</v>
      </c>
      <c r="Y43" s="213" t="s">
        <v>10</v>
      </c>
      <c r="AA43" s="79"/>
      <c r="AB43" s="217" t="s">
        <v>490</v>
      </c>
    </row>
    <row r="44" spans="2:37" ht="27" customHeight="1" x14ac:dyDescent="0.45">
      <c r="B44" s="304" t="s">
        <v>9</v>
      </c>
      <c r="C44" s="305"/>
      <c r="D44" s="1"/>
      <c r="E44" s="1"/>
      <c r="F44" s="1"/>
      <c r="G44" s="1"/>
      <c r="H44" s="1"/>
      <c r="I44" s="1"/>
      <c r="J44" s="1"/>
      <c r="K44" s="1"/>
      <c r="L44" s="1"/>
      <c r="M44" s="1"/>
      <c r="N44" s="1"/>
      <c r="O44" s="1"/>
      <c r="P44" s="1"/>
      <c r="Q44" s="1"/>
      <c r="R44" s="1"/>
      <c r="S44" s="1"/>
      <c r="T44" s="1"/>
      <c r="U44" s="1"/>
      <c r="V44" s="1"/>
      <c r="W44" s="1"/>
      <c r="X44" s="212" t="s">
        <v>10</v>
      </c>
      <c r="Y44" s="213" t="s">
        <v>10</v>
      </c>
      <c r="Z44" s="23"/>
      <c r="AA44" s="79"/>
    </row>
    <row r="45" spans="2:37" ht="27" customHeight="1" thickBot="1" x14ac:dyDescent="0.5">
      <c r="B45" s="307" t="s">
        <v>108</v>
      </c>
      <c r="C45" s="308"/>
      <c r="D45" s="216"/>
      <c r="E45" s="216"/>
      <c r="F45" s="216"/>
      <c r="G45" s="216"/>
      <c r="H45" s="216"/>
      <c r="I45" s="216"/>
      <c r="J45" s="216"/>
      <c r="K45" s="216"/>
      <c r="L45" s="216"/>
      <c r="M45" s="216"/>
      <c r="N45" s="216"/>
      <c r="O45" s="216"/>
      <c r="P45" s="216"/>
      <c r="Q45" s="216"/>
      <c r="R45" s="216"/>
      <c r="S45" s="216"/>
      <c r="T45" s="216"/>
      <c r="U45" s="216"/>
      <c r="V45" s="216"/>
      <c r="W45" s="216"/>
      <c r="X45" s="208" t="s">
        <v>10</v>
      </c>
      <c r="Y45" s="209" t="s">
        <v>10</v>
      </c>
      <c r="Z45" s="23"/>
      <c r="AA45" s="79"/>
    </row>
    <row r="46" spans="2:37" ht="27" customHeight="1" x14ac:dyDescent="0.45">
      <c r="B46" s="287" t="s">
        <v>3</v>
      </c>
      <c r="C46" s="287"/>
      <c r="D46" s="197"/>
      <c r="E46" s="197"/>
      <c r="F46" s="197"/>
      <c r="G46" s="197"/>
      <c r="H46" s="197"/>
      <c r="I46" s="197"/>
      <c r="J46" s="197"/>
      <c r="K46" s="197"/>
      <c r="L46" s="197"/>
      <c r="M46" s="197"/>
      <c r="N46" s="197"/>
      <c r="O46" s="197"/>
      <c r="P46" s="197"/>
      <c r="Q46" s="197"/>
      <c r="R46" s="197"/>
      <c r="S46" s="197"/>
      <c r="T46" s="197"/>
      <c r="U46" s="197"/>
      <c r="V46" s="197"/>
      <c r="W46" s="197"/>
      <c r="X46" s="202" t="str">
        <f>IF(AND(AC65=0,AD65=0,AE65=0),"",AB52+AD52)</f>
        <v/>
      </c>
      <c r="Y46" s="203" t="str">
        <f>IF(AND(AC65=0,AD65=0,AE65=0),"",AC52)</f>
        <v/>
      </c>
      <c r="Z46" s="23"/>
      <c r="AB46" s="217" t="s">
        <v>536</v>
      </c>
    </row>
    <row r="47" spans="2:37" ht="27" customHeight="1" x14ac:dyDescent="0.45">
      <c r="B47" s="303" t="s">
        <v>4</v>
      </c>
      <c r="C47" s="303"/>
      <c r="D47" s="232"/>
      <c r="E47" s="232"/>
      <c r="F47" s="232"/>
      <c r="G47" s="232"/>
      <c r="H47" s="232"/>
      <c r="I47" s="232"/>
      <c r="J47" s="232"/>
      <c r="K47" s="232"/>
      <c r="L47" s="232"/>
      <c r="M47" s="232"/>
      <c r="N47" s="232"/>
      <c r="O47" s="232"/>
      <c r="P47" s="232"/>
      <c r="Q47" s="232"/>
      <c r="R47" s="232"/>
      <c r="S47" s="232"/>
      <c r="T47" s="232"/>
      <c r="U47" s="232"/>
      <c r="V47" s="232"/>
      <c r="W47" s="232"/>
      <c r="X47" s="226" t="str">
        <f>IF(AND(AC65=0,AE65=0),"",X52+AA52)</f>
        <v/>
      </c>
      <c r="Y47" s="227" t="str">
        <f>IF(AND(AD65=0,AE65=0),"",Y52+AA52)</f>
        <v/>
      </c>
      <c r="Z47" s="23"/>
      <c r="AB47" s="217" t="s">
        <v>532</v>
      </c>
    </row>
    <row r="48" spans="2:37" ht="27" customHeight="1" thickBot="1" x14ac:dyDescent="0.5">
      <c r="B48" s="287" t="s">
        <v>5</v>
      </c>
      <c r="C48" s="287"/>
      <c r="D48" s="234"/>
      <c r="E48" s="235"/>
      <c r="F48" s="235"/>
      <c r="G48" s="235"/>
      <c r="H48" s="235"/>
      <c r="I48" s="235"/>
      <c r="J48" s="235"/>
      <c r="K48" s="235"/>
      <c r="L48" s="235"/>
      <c r="M48" s="235"/>
      <c r="N48" s="235"/>
      <c r="O48" s="235"/>
      <c r="P48" s="235"/>
      <c r="Q48" s="235"/>
      <c r="R48" s="235"/>
      <c r="S48" s="235"/>
      <c r="T48" s="235"/>
      <c r="U48" s="235"/>
      <c r="V48" s="235"/>
      <c r="W48" s="235"/>
      <c r="X48" s="228" t="str">
        <f>IF(AND(AC65=0,AE65=0),"",X53+AA53)</f>
        <v/>
      </c>
      <c r="Y48" s="229" t="str">
        <f>IF(AND(AD65=0,AE65=0),"",Y53+AA53)</f>
        <v/>
      </c>
      <c r="Z48" s="23"/>
      <c r="AB48" s="79" t="s">
        <v>533</v>
      </c>
    </row>
    <row r="49" spans="2:37" ht="27" customHeight="1" x14ac:dyDescent="0.45">
      <c r="B49" s="306" t="s">
        <v>13</v>
      </c>
      <c r="C49" s="306"/>
      <c r="D49" s="33" t="str">
        <f t="shared" ref="D49:W49" si="3">IF(D42="高効率換気設備",IF(ISERROR(D48/D47),"",D48/D47),"---")</f>
        <v>---</v>
      </c>
      <c r="E49" s="34" t="str">
        <f t="shared" si="3"/>
        <v>---</v>
      </c>
      <c r="F49" s="34" t="str">
        <f t="shared" si="3"/>
        <v>---</v>
      </c>
      <c r="G49" s="34" t="str">
        <f t="shared" si="3"/>
        <v>---</v>
      </c>
      <c r="H49" s="34" t="str">
        <f t="shared" si="3"/>
        <v>---</v>
      </c>
      <c r="I49" s="34" t="str">
        <f t="shared" si="3"/>
        <v>---</v>
      </c>
      <c r="J49" s="34" t="str">
        <f t="shared" si="3"/>
        <v>---</v>
      </c>
      <c r="K49" s="34" t="str">
        <f t="shared" si="3"/>
        <v>---</v>
      </c>
      <c r="L49" s="34" t="str">
        <f t="shared" si="3"/>
        <v>---</v>
      </c>
      <c r="M49" s="34" t="str">
        <f t="shared" si="3"/>
        <v>---</v>
      </c>
      <c r="N49" s="34" t="str">
        <f t="shared" si="3"/>
        <v>---</v>
      </c>
      <c r="O49" s="34" t="str">
        <f t="shared" si="3"/>
        <v>---</v>
      </c>
      <c r="P49" s="34" t="str">
        <f t="shared" si="3"/>
        <v>---</v>
      </c>
      <c r="Q49" s="34" t="str">
        <f t="shared" si="3"/>
        <v>---</v>
      </c>
      <c r="R49" s="34" t="str">
        <f t="shared" si="3"/>
        <v>---</v>
      </c>
      <c r="S49" s="34" t="str">
        <f t="shared" si="3"/>
        <v>---</v>
      </c>
      <c r="T49" s="34" t="str">
        <f t="shared" si="3"/>
        <v>---</v>
      </c>
      <c r="U49" s="34" t="str">
        <f t="shared" si="3"/>
        <v>---</v>
      </c>
      <c r="V49" s="34" t="str">
        <f t="shared" si="3"/>
        <v>---</v>
      </c>
      <c r="W49" s="34" t="str">
        <f t="shared" si="3"/>
        <v>---</v>
      </c>
      <c r="X49" s="214" t="s">
        <v>10</v>
      </c>
      <c r="Y49" s="215" t="s">
        <v>10</v>
      </c>
      <c r="Z49" s="23"/>
    </row>
    <row r="50" spans="2:37" ht="27" customHeight="1" x14ac:dyDescent="0.45">
      <c r="B50" s="47" t="s">
        <v>87</v>
      </c>
      <c r="C50" s="50" t="s">
        <v>7</v>
      </c>
      <c r="D50" s="237"/>
      <c r="E50" s="238"/>
      <c r="F50" s="238"/>
      <c r="G50" s="238"/>
      <c r="H50" s="238"/>
      <c r="I50" s="238"/>
      <c r="J50" s="238"/>
      <c r="K50" s="238"/>
      <c r="L50" s="238"/>
      <c r="M50" s="238"/>
      <c r="N50" s="238"/>
      <c r="O50" s="238"/>
      <c r="P50" s="238"/>
      <c r="Q50" s="238"/>
      <c r="R50" s="238"/>
      <c r="S50" s="238"/>
      <c r="T50" s="238"/>
      <c r="U50" s="238"/>
      <c r="V50" s="238"/>
      <c r="W50" s="238"/>
      <c r="X50" s="212" t="s">
        <v>10</v>
      </c>
      <c r="Y50" s="213" t="s">
        <v>10</v>
      </c>
      <c r="Z50" s="23"/>
      <c r="AB50" s="79" t="s">
        <v>439</v>
      </c>
    </row>
    <row r="51" spans="2:37" ht="27" customHeight="1" x14ac:dyDescent="0.45">
      <c r="B51" s="48" t="s">
        <v>12</v>
      </c>
      <c r="C51" s="50" t="s">
        <v>8</v>
      </c>
      <c r="D51" s="237"/>
      <c r="E51" s="238"/>
      <c r="F51" s="238"/>
      <c r="G51" s="238"/>
      <c r="H51" s="238"/>
      <c r="I51" s="238"/>
      <c r="J51" s="238"/>
      <c r="K51" s="238"/>
      <c r="L51" s="238"/>
      <c r="M51" s="238"/>
      <c r="N51" s="238"/>
      <c r="O51" s="238"/>
      <c r="P51" s="238"/>
      <c r="Q51" s="238"/>
      <c r="R51" s="238"/>
      <c r="S51" s="238"/>
      <c r="T51" s="238"/>
      <c r="U51" s="238"/>
      <c r="V51" s="238"/>
      <c r="W51" s="238"/>
      <c r="X51" s="212" t="s">
        <v>10</v>
      </c>
      <c r="Y51" s="213" t="s">
        <v>10</v>
      </c>
      <c r="Z51" s="23"/>
    </row>
    <row r="52" spans="2:37" ht="27" hidden="1" customHeight="1" x14ac:dyDescent="0.45">
      <c r="B52" s="303" t="s">
        <v>486</v>
      </c>
      <c r="C52" s="303"/>
      <c r="D52" s="169">
        <f>D46*D47</f>
        <v>0</v>
      </c>
      <c r="E52" s="169">
        <f t="shared" ref="E52:W52" si="4">E46*E47</f>
        <v>0</v>
      </c>
      <c r="F52" s="169">
        <f t="shared" si="4"/>
        <v>0</v>
      </c>
      <c r="G52" s="169">
        <f t="shared" si="4"/>
        <v>0</v>
      </c>
      <c r="H52" s="169">
        <f t="shared" si="4"/>
        <v>0</v>
      </c>
      <c r="I52" s="169">
        <f t="shared" si="4"/>
        <v>0</v>
      </c>
      <c r="J52" s="169">
        <f t="shared" si="4"/>
        <v>0</v>
      </c>
      <c r="K52" s="169">
        <f t="shared" si="4"/>
        <v>0</v>
      </c>
      <c r="L52" s="169">
        <f t="shared" si="4"/>
        <v>0</v>
      </c>
      <c r="M52" s="169">
        <f t="shared" si="4"/>
        <v>0</v>
      </c>
      <c r="N52" s="169">
        <f t="shared" si="4"/>
        <v>0</v>
      </c>
      <c r="O52" s="169">
        <f t="shared" si="4"/>
        <v>0</v>
      </c>
      <c r="P52" s="169">
        <f t="shared" si="4"/>
        <v>0</v>
      </c>
      <c r="Q52" s="169">
        <f t="shared" si="4"/>
        <v>0</v>
      </c>
      <c r="R52" s="169">
        <f t="shared" si="4"/>
        <v>0</v>
      </c>
      <c r="S52" s="169">
        <f t="shared" si="4"/>
        <v>0</v>
      </c>
      <c r="T52" s="169">
        <f t="shared" si="4"/>
        <v>0</v>
      </c>
      <c r="U52" s="169">
        <f t="shared" si="4"/>
        <v>0</v>
      </c>
      <c r="V52" s="169">
        <f t="shared" si="4"/>
        <v>0</v>
      </c>
      <c r="W52" s="169">
        <f t="shared" si="4"/>
        <v>0</v>
      </c>
      <c r="X52" s="212">
        <f>IF(SUMIF($D$43:$W$43,"排気",$D$52:$W$52)=0,0,SUMIF($D$43:$W$43,"排気",$D$52:$W$52))</f>
        <v>0</v>
      </c>
      <c r="Y52" s="213">
        <f>IF(SUMIF($D$43:$W$43,"給気",$D$52:$W$52)=0,0,SUMIF($D$43:$W$43,"給気",$D$52:$W$52))</f>
        <v>0</v>
      </c>
      <c r="AA52" s="184">
        <f>IF(SUMIF($D$43:$W$43,"給気・排気",$D$52:$W$52)=0,0,SUMIF($D$43:$W$43,"給気・排気",$D$52:$W$52))</f>
        <v>0</v>
      </c>
      <c r="AB52" s="230">
        <f>IF(SUMIF($D$43:$W$43,"排気",$D$46:$W$46)=0,0,SUMIF($D$43:$W$43,"排気",$D$46:$W$46))</f>
        <v>0</v>
      </c>
      <c r="AC52" s="230">
        <f>IF(SUMIF($D$43:$W$43,"給気",$D$46:$W$46)=0,0,SUMIF($D$43:$W$43,"給気",$D$46:$W$46))</f>
        <v>0</v>
      </c>
      <c r="AD52" s="230">
        <f>IF(SUMIF($D$43:$W$43,"給気・排気",$D$46:$W$46)=0,0,SUMIF($D$43:$W$43,"給気・排気",$D$46:$W$46))</f>
        <v>0</v>
      </c>
      <c r="AE52" s="230"/>
      <c r="AF52" s="230" t="s">
        <v>535</v>
      </c>
      <c r="AG52" s="231"/>
      <c r="AH52" s="231"/>
      <c r="AI52" s="231"/>
      <c r="AJ52" s="231"/>
      <c r="AK52" s="231"/>
    </row>
    <row r="53" spans="2:37" ht="27" hidden="1" customHeight="1" thickBot="1" x14ac:dyDescent="0.5">
      <c r="B53" s="287" t="s">
        <v>487</v>
      </c>
      <c r="C53" s="287"/>
      <c r="D53" s="169">
        <f>D46*D48</f>
        <v>0</v>
      </c>
      <c r="E53" s="169">
        <f t="shared" ref="E53:W53" si="5">E46*E48</f>
        <v>0</v>
      </c>
      <c r="F53" s="169">
        <f t="shared" si="5"/>
        <v>0</v>
      </c>
      <c r="G53" s="169">
        <f t="shared" si="5"/>
        <v>0</v>
      </c>
      <c r="H53" s="169">
        <f t="shared" si="5"/>
        <v>0</v>
      </c>
      <c r="I53" s="169">
        <f t="shared" si="5"/>
        <v>0</v>
      </c>
      <c r="J53" s="169">
        <f t="shared" si="5"/>
        <v>0</v>
      </c>
      <c r="K53" s="169">
        <f t="shared" si="5"/>
        <v>0</v>
      </c>
      <c r="L53" s="169">
        <f t="shared" si="5"/>
        <v>0</v>
      </c>
      <c r="M53" s="169">
        <f t="shared" si="5"/>
        <v>0</v>
      </c>
      <c r="N53" s="169">
        <f t="shared" si="5"/>
        <v>0</v>
      </c>
      <c r="O53" s="169">
        <f t="shared" si="5"/>
        <v>0</v>
      </c>
      <c r="P53" s="169">
        <f t="shared" si="5"/>
        <v>0</v>
      </c>
      <c r="Q53" s="169">
        <f t="shared" si="5"/>
        <v>0</v>
      </c>
      <c r="R53" s="169">
        <f t="shared" si="5"/>
        <v>0</v>
      </c>
      <c r="S53" s="169">
        <f t="shared" si="5"/>
        <v>0</v>
      </c>
      <c r="T53" s="169">
        <f t="shared" si="5"/>
        <v>0</v>
      </c>
      <c r="U53" s="169">
        <f t="shared" si="5"/>
        <v>0</v>
      </c>
      <c r="V53" s="169">
        <f t="shared" si="5"/>
        <v>0</v>
      </c>
      <c r="W53" s="169">
        <f t="shared" si="5"/>
        <v>0</v>
      </c>
      <c r="X53" s="208">
        <f>IF(SUMIF($D$43:$W$43,"排気",$D$53:$W$53)=0,0,SUMIF($D$43:$W$43,"排気",$D$53:$W$53))</f>
        <v>0</v>
      </c>
      <c r="Y53" s="209">
        <f>IF(SUMIF($D$43:$W$43,"給気",$D$53:$W$53)=0,0,SUMIF($D$43:$W$43,"給気",$D$53:$W$53))</f>
        <v>0</v>
      </c>
      <c r="AA53" s="184">
        <f>IF(SUMIF($D$43:$W$43,"給気・排気",$D$53:$W$53)=0,0,SUMIF($D$43:$W$43,"給気・排気",$D$53:$W$53))</f>
        <v>0</v>
      </c>
    </row>
    <row r="54" spans="2:37" hidden="1" x14ac:dyDescent="0.45">
      <c r="B54" s="128" t="s">
        <v>274</v>
      </c>
      <c r="C54" s="128"/>
      <c r="D54" s="128">
        <f>IF(D$42&lt;&gt;"機械換気（換気扇等）",2,IF(AND(D$42="機械換気（換気扇等）",D$44="継続"),0,1))</f>
        <v>2</v>
      </c>
      <c r="E54" s="128">
        <f t="shared" ref="E54:W54" si="6">IF(E$42&lt;&gt;"機械換気（換気扇等）",2,IF(AND(E$42="機械換気（換気扇等）",E$44="継続"),0,1))</f>
        <v>2</v>
      </c>
      <c r="F54" s="128">
        <f t="shared" si="6"/>
        <v>2</v>
      </c>
      <c r="G54" s="128">
        <f t="shared" si="6"/>
        <v>2</v>
      </c>
      <c r="H54" s="128">
        <f t="shared" si="6"/>
        <v>2</v>
      </c>
      <c r="I54" s="128">
        <f t="shared" si="6"/>
        <v>2</v>
      </c>
      <c r="J54" s="128">
        <f t="shared" si="6"/>
        <v>2</v>
      </c>
      <c r="K54" s="128">
        <f t="shared" si="6"/>
        <v>2</v>
      </c>
      <c r="L54" s="128">
        <f t="shared" si="6"/>
        <v>2</v>
      </c>
      <c r="M54" s="128">
        <f t="shared" si="6"/>
        <v>2</v>
      </c>
      <c r="N54" s="128">
        <f t="shared" si="6"/>
        <v>2</v>
      </c>
      <c r="O54" s="128">
        <f t="shared" si="6"/>
        <v>2</v>
      </c>
      <c r="P54" s="128">
        <f t="shared" si="6"/>
        <v>2</v>
      </c>
      <c r="Q54" s="128">
        <f t="shared" si="6"/>
        <v>2</v>
      </c>
      <c r="R54" s="128">
        <f t="shared" si="6"/>
        <v>2</v>
      </c>
      <c r="S54" s="128">
        <f t="shared" si="6"/>
        <v>2</v>
      </c>
      <c r="T54" s="128">
        <f t="shared" si="6"/>
        <v>2</v>
      </c>
      <c r="U54" s="128">
        <f t="shared" si="6"/>
        <v>2</v>
      </c>
      <c r="V54" s="128">
        <f t="shared" si="6"/>
        <v>2</v>
      </c>
      <c r="W54" s="128">
        <f t="shared" si="6"/>
        <v>2</v>
      </c>
      <c r="X54" s="109" t="str">
        <f>IF(AC54=Y54,"適合","非適合")</f>
        <v>適合</v>
      </c>
      <c r="Y54" s="23">
        <f>COUNTIF($D54:$W54,0)</f>
        <v>0</v>
      </c>
      <c r="Z54" s="184">
        <f>COUNTIF($D54:$W54,1)</f>
        <v>0</v>
      </c>
      <c r="AA54" s="184">
        <f>COUNTIF($D54:$W54,2)</f>
        <v>20</v>
      </c>
      <c r="AB54" s="23"/>
      <c r="AC54" s="23">
        <f>COUNTIF($D$42:$W$42,"機械換気（換気扇等）")</f>
        <v>0</v>
      </c>
      <c r="AF54" s="117">
        <v>50</v>
      </c>
    </row>
    <row r="55" spans="2:37" hidden="1" x14ac:dyDescent="0.45">
      <c r="B55" s="194" t="s">
        <v>462</v>
      </c>
      <c r="C55" s="194"/>
      <c r="D55" s="194">
        <f>IF(OR(D43="補器（排気）",D43="補器（給気）",D44="継続"),0,IF(D44="新設",1,IF(D44="増設",2,IF(D44="更新",3,9))))</f>
        <v>9</v>
      </c>
      <c r="E55" s="194">
        <f t="shared" ref="E55:W55" si="7">IF(OR(E43="補器（排気）",E43="補器（給気）",E44="継続"),0,IF(E44="新設",1,IF(E44="増設",2,IF(E44="更新",3,9))))</f>
        <v>9</v>
      </c>
      <c r="F55" s="194">
        <f t="shared" si="7"/>
        <v>9</v>
      </c>
      <c r="G55" s="194">
        <f t="shared" si="7"/>
        <v>9</v>
      </c>
      <c r="H55" s="194">
        <f t="shared" si="7"/>
        <v>9</v>
      </c>
      <c r="I55" s="194">
        <f t="shared" si="7"/>
        <v>9</v>
      </c>
      <c r="J55" s="194">
        <f t="shared" si="7"/>
        <v>9</v>
      </c>
      <c r="K55" s="194">
        <f t="shared" si="7"/>
        <v>9</v>
      </c>
      <c r="L55" s="194">
        <f t="shared" si="7"/>
        <v>9</v>
      </c>
      <c r="M55" s="194">
        <f t="shared" si="7"/>
        <v>9</v>
      </c>
      <c r="N55" s="194">
        <f t="shared" si="7"/>
        <v>9</v>
      </c>
      <c r="O55" s="194">
        <f t="shared" si="7"/>
        <v>9</v>
      </c>
      <c r="P55" s="194">
        <f t="shared" si="7"/>
        <v>9</v>
      </c>
      <c r="Q55" s="194">
        <f t="shared" si="7"/>
        <v>9</v>
      </c>
      <c r="R55" s="194">
        <f t="shared" si="7"/>
        <v>9</v>
      </c>
      <c r="S55" s="194">
        <f t="shared" si="7"/>
        <v>9</v>
      </c>
      <c r="T55" s="194">
        <f t="shared" si="7"/>
        <v>9</v>
      </c>
      <c r="U55" s="194">
        <f t="shared" si="7"/>
        <v>9</v>
      </c>
      <c r="V55" s="194">
        <f t="shared" si="7"/>
        <v>9</v>
      </c>
      <c r="W55" s="194">
        <f t="shared" si="7"/>
        <v>9</v>
      </c>
      <c r="X55" s="109" t="str">
        <f>IF(Y55=AD55,"非適合","適合")</f>
        <v>非適合</v>
      </c>
      <c r="Y55" s="23">
        <f>COUNTIF($D55:$W55,0)</f>
        <v>0</v>
      </c>
      <c r="Z55" s="184">
        <f>COUNTIF($D55:$W55,1)</f>
        <v>0</v>
      </c>
      <c r="AA55" s="184">
        <f>COUNTIF($D55:$W55,2)</f>
        <v>0</v>
      </c>
      <c r="AB55" s="184">
        <f>COUNTIF($D55:$W55,3)</f>
        <v>0</v>
      </c>
      <c r="AC55" s="184">
        <f>COUNTIF($D55:$W55,9)</f>
        <v>20</v>
      </c>
      <c r="AD55" s="23">
        <f>20-COUNTIF($D$42:$W$42,"")</f>
        <v>0</v>
      </c>
      <c r="AF55" s="117">
        <v>52</v>
      </c>
    </row>
    <row r="56" spans="2:37" hidden="1" x14ac:dyDescent="0.45">
      <c r="B56" s="111" t="s">
        <v>267</v>
      </c>
      <c r="C56" s="109"/>
      <c r="D56" s="109">
        <f t="shared" ref="D56:W56" si="8">IF(D49="---",2,IF(AND(D42="高効率換気設備",D49&lt;=0.4),0,1))</f>
        <v>2</v>
      </c>
      <c r="E56" s="109">
        <f t="shared" si="8"/>
        <v>2</v>
      </c>
      <c r="F56" s="109">
        <f t="shared" si="8"/>
        <v>2</v>
      </c>
      <c r="G56" s="109">
        <f t="shared" si="8"/>
        <v>2</v>
      </c>
      <c r="H56" s="109">
        <f t="shared" si="8"/>
        <v>2</v>
      </c>
      <c r="I56" s="109">
        <f t="shared" si="8"/>
        <v>2</v>
      </c>
      <c r="J56" s="109">
        <f t="shared" si="8"/>
        <v>2</v>
      </c>
      <c r="K56" s="109">
        <f t="shared" si="8"/>
        <v>2</v>
      </c>
      <c r="L56" s="109">
        <f t="shared" si="8"/>
        <v>2</v>
      </c>
      <c r="M56" s="109">
        <f t="shared" si="8"/>
        <v>2</v>
      </c>
      <c r="N56" s="109">
        <f t="shared" si="8"/>
        <v>2</v>
      </c>
      <c r="O56" s="109">
        <f t="shared" si="8"/>
        <v>2</v>
      </c>
      <c r="P56" s="109">
        <f t="shared" si="8"/>
        <v>2</v>
      </c>
      <c r="Q56" s="109">
        <f t="shared" si="8"/>
        <v>2</v>
      </c>
      <c r="R56" s="109">
        <f t="shared" si="8"/>
        <v>2</v>
      </c>
      <c r="S56" s="109">
        <f t="shared" si="8"/>
        <v>2</v>
      </c>
      <c r="T56" s="109">
        <f t="shared" si="8"/>
        <v>2</v>
      </c>
      <c r="U56" s="109">
        <f t="shared" si="8"/>
        <v>2</v>
      </c>
      <c r="V56" s="109">
        <f t="shared" si="8"/>
        <v>2</v>
      </c>
      <c r="W56" s="109">
        <f t="shared" si="8"/>
        <v>2</v>
      </c>
      <c r="X56" s="109" t="str">
        <f>IF(AC56=Y56,"適合","非適合")</f>
        <v>適合</v>
      </c>
      <c r="Y56" s="23">
        <f>COUNTIF($D56:$W56,0)</f>
        <v>0</v>
      </c>
      <c r="Z56" s="184">
        <f>COUNTIF($D56:$W56,1)</f>
        <v>0</v>
      </c>
      <c r="AA56" s="184">
        <f>COUNTIF($D56:$W56,2)</f>
        <v>20</v>
      </c>
      <c r="AB56" s="184">
        <f>COUNTIF($D$49:$W$49,"---")</f>
        <v>20</v>
      </c>
      <c r="AC56" s="23">
        <f>COUNTIF($D$42:$W$42,"高効率換気設備")</f>
        <v>0</v>
      </c>
      <c r="AF56" s="117">
        <v>53</v>
      </c>
    </row>
    <row r="57" spans="2:37" hidden="1" x14ac:dyDescent="0.45">
      <c r="B57" s="109" t="s">
        <v>250</v>
      </c>
      <c r="C57" s="109"/>
      <c r="D57" s="109">
        <f>IF(D$42&lt;&gt;"換気・空調一体型設備",2,IF(D$42="換気・空調一体型設備",0,1))</f>
        <v>2</v>
      </c>
      <c r="E57" s="109">
        <f t="shared" ref="E57:W57" si="9">IF(E$42&lt;&gt;"換気・空調一体型設備",2,IF(E$42="換気・空調一体型設備",0,1))</f>
        <v>2</v>
      </c>
      <c r="F57" s="109">
        <f t="shared" si="9"/>
        <v>2</v>
      </c>
      <c r="G57" s="109">
        <f t="shared" si="9"/>
        <v>2</v>
      </c>
      <c r="H57" s="109">
        <f t="shared" si="9"/>
        <v>2</v>
      </c>
      <c r="I57" s="109">
        <f t="shared" si="9"/>
        <v>2</v>
      </c>
      <c r="J57" s="109">
        <f t="shared" si="9"/>
        <v>2</v>
      </c>
      <c r="K57" s="109">
        <f t="shared" si="9"/>
        <v>2</v>
      </c>
      <c r="L57" s="109">
        <f t="shared" si="9"/>
        <v>2</v>
      </c>
      <c r="M57" s="109">
        <f t="shared" si="9"/>
        <v>2</v>
      </c>
      <c r="N57" s="109">
        <f t="shared" si="9"/>
        <v>2</v>
      </c>
      <c r="O57" s="109">
        <f t="shared" si="9"/>
        <v>2</v>
      </c>
      <c r="P57" s="109">
        <f t="shared" si="9"/>
        <v>2</v>
      </c>
      <c r="Q57" s="109">
        <f t="shared" si="9"/>
        <v>2</v>
      </c>
      <c r="R57" s="109">
        <f t="shared" si="9"/>
        <v>2</v>
      </c>
      <c r="S57" s="109">
        <f t="shared" si="9"/>
        <v>2</v>
      </c>
      <c r="T57" s="109">
        <f t="shared" si="9"/>
        <v>2</v>
      </c>
      <c r="U57" s="109">
        <f t="shared" si="9"/>
        <v>2</v>
      </c>
      <c r="V57" s="109">
        <f t="shared" si="9"/>
        <v>2</v>
      </c>
      <c r="W57" s="109">
        <f t="shared" si="9"/>
        <v>2</v>
      </c>
      <c r="X57" s="109" t="str">
        <f>IF(AC57=Y57,"適合","非適合")</f>
        <v>適合</v>
      </c>
      <c r="Y57" s="23">
        <f>COUNTIF($D57:$W57,0)</f>
        <v>0</v>
      </c>
      <c r="Z57" s="184">
        <f>COUNTIF($D57:$W57,1)</f>
        <v>0</v>
      </c>
      <c r="AA57" s="184">
        <f>COUNTIF($D57:$W57,2)</f>
        <v>20</v>
      </c>
      <c r="AC57" s="23">
        <f>COUNTIF($D$42:$W$42,"換気・空調一体型設備")</f>
        <v>0</v>
      </c>
      <c r="AF57" s="117">
        <v>54</v>
      </c>
    </row>
    <row r="58" spans="2:37" hidden="1" x14ac:dyDescent="0.45">
      <c r="B58" s="109" t="s">
        <v>281</v>
      </c>
      <c r="C58" s="109"/>
      <c r="D58" s="109">
        <f t="shared" ref="D58:W58" si="10">IF(AND(D57=0,OR(D44="新設",D44="増設",D44="更新")),0,2)</f>
        <v>2</v>
      </c>
      <c r="E58" s="109">
        <f t="shared" si="10"/>
        <v>2</v>
      </c>
      <c r="F58" s="109">
        <f t="shared" si="10"/>
        <v>2</v>
      </c>
      <c r="G58" s="109">
        <f t="shared" si="10"/>
        <v>2</v>
      </c>
      <c r="H58" s="109">
        <f t="shared" si="10"/>
        <v>2</v>
      </c>
      <c r="I58" s="109">
        <f t="shared" si="10"/>
        <v>2</v>
      </c>
      <c r="J58" s="109">
        <f t="shared" si="10"/>
        <v>2</v>
      </c>
      <c r="K58" s="109">
        <f t="shared" si="10"/>
        <v>2</v>
      </c>
      <c r="L58" s="109">
        <f t="shared" si="10"/>
        <v>2</v>
      </c>
      <c r="M58" s="109">
        <f t="shared" si="10"/>
        <v>2</v>
      </c>
      <c r="N58" s="109">
        <f t="shared" si="10"/>
        <v>2</v>
      </c>
      <c r="O58" s="109">
        <f t="shared" si="10"/>
        <v>2</v>
      </c>
      <c r="P58" s="109">
        <f t="shared" si="10"/>
        <v>2</v>
      </c>
      <c r="Q58" s="109">
        <f t="shared" si="10"/>
        <v>2</v>
      </c>
      <c r="R58" s="109">
        <f t="shared" si="10"/>
        <v>2</v>
      </c>
      <c r="S58" s="109">
        <f t="shared" si="10"/>
        <v>2</v>
      </c>
      <c r="T58" s="109">
        <f t="shared" si="10"/>
        <v>2</v>
      </c>
      <c r="U58" s="109">
        <f t="shared" si="10"/>
        <v>2</v>
      </c>
      <c r="V58" s="109">
        <f t="shared" si="10"/>
        <v>2</v>
      </c>
      <c r="W58" s="109">
        <f t="shared" si="10"/>
        <v>2</v>
      </c>
      <c r="X58" s="109"/>
      <c r="AF58" s="117">
        <v>55</v>
      </c>
    </row>
    <row r="59" spans="2:37" hidden="1" x14ac:dyDescent="0.45">
      <c r="B59" s="128" t="s">
        <v>275</v>
      </c>
      <c r="C59" s="128"/>
      <c r="D59" s="128">
        <f>IF(AND(D$42&lt;&gt;"熱交換型換気設備",D$42&lt;&gt;"顕熱交換器"),2,IF(OR(D$42="熱交換型換気設備",D$42="顕熱交換器"),0,1))</f>
        <v>2</v>
      </c>
      <c r="E59" s="128">
        <f t="shared" ref="E59:W59" si="11">IF(AND(E$42&lt;&gt;"熱交換型換気設備",E$42&lt;&gt;"顕熱交換器"),2,IF(OR(E$42="熱交換型換気設備",E$42="顕熱交換器"),0,1))</f>
        <v>2</v>
      </c>
      <c r="F59" s="128">
        <f t="shared" si="11"/>
        <v>2</v>
      </c>
      <c r="G59" s="128">
        <f t="shared" si="11"/>
        <v>2</v>
      </c>
      <c r="H59" s="128">
        <f t="shared" si="11"/>
        <v>2</v>
      </c>
      <c r="I59" s="128">
        <f t="shared" si="11"/>
        <v>2</v>
      </c>
      <c r="J59" s="128">
        <f t="shared" si="11"/>
        <v>2</v>
      </c>
      <c r="K59" s="128">
        <f t="shared" si="11"/>
        <v>2</v>
      </c>
      <c r="L59" s="128">
        <f t="shared" si="11"/>
        <v>2</v>
      </c>
      <c r="M59" s="128">
        <f t="shared" si="11"/>
        <v>2</v>
      </c>
      <c r="N59" s="128">
        <f t="shared" si="11"/>
        <v>2</v>
      </c>
      <c r="O59" s="128">
        <f t="shared" si="11"/>
        <v>2</v>
      </c>
      <c r="P59" s="128">
        <f t="shared" si="11"/>
        <v>2</v>
      </c>
      <c r="Q59" s="128">
        <f t="shared" si="11"/>
        <v>2</v>
      </c>
      <c r="R59" s="128">
        <f t="shared" si="11"/>
        <v>2</v>
      </c>
      <c r="S59" s="128">
        <f t="shared" si="11"/>
        <v>2</v>
      </c>
      <c r="T59" s="128">
        <f t="shared" si="11"/>
        <v>2</v>
      </c>
      <c r="U59" s="128">
        <f t="shared" si="11"/>
        <v>2</v>
      </c>
      <c r="V59" s="128">
        <f t="shared" si="11"/>
        <v>2</v>
      </c>
      <c r="W59" s="128">
        <f t="shared" si="11"/>
        <v>2</v>
      </c>
      <c r="X59" s="109" t="str">
        <f>IF(AB59+AC59=Y59,"適合","非適合")</f>
        <v>適合</v>
      </c>
      <c r="Y59" s="23">
        <f t="shared" ref="Y59:Y64" si="12">COUNTIF($D59:$W59,0)</f>
        <v>0</v>
      </c>
      <c r="Z59" s="184">
        <f t="shared" ref="Z59:Z64" si="13">COUNTIF($D59:$W59,1)</f>
        <v>0</v>
      </c>
      <c r="AA59" s="184">
        <f t="shared" ref="AA59:AA64" si="14">COUNTIF($D59:$W59,2)</f>
        <v>20</v>
      </c>
      <c r="AB59" s="184">
        <f>COUNTIF($D$42:$W$42,"熱交換型換気設備")</f>
        <v>0</v>
      </c>
      <c r="AC59" s="23">
        <f>COUNTIF($D$42:$W$42,"顕熱交換器")</f>
        <v>0</v>
      </c>
      <c r="AF59" s="117">
        <v>56</v>
      </c>
    </row>
    <row r="60" spans="2:37" hidden="1" x14ac:dyDescent="0.45">
      <c r="B60" s="109" t="s">
        <v>252</v>
      </c>
      <c r="C60" s="109"/>
      <c r="D60" s="109">
        <f>IF(D$42&lt;&gt;"顕熱交換器",2,IF(AND(D$42="顕熱交換器",D50&gt;=40),0,1))</f>
        <v>2</v>
      </c>
      <c r="E60" s="109">
        <f t="shared" ref="E60:W60" si="15">IF(E$42&lt;&gt;"顕熱交換器",2,IF(AND(E$42="顕熱交換器",E50&gt;=40),0,1))</f>
        <v>2</v>
      </c>
      <c r="F60" s="109">
        <f t="shared" si="15"/>
        <v>2</v>
      </c>
      <c r="G60" s="109">
        <f t="shared" si="15"/>
        <v>2</v>
      </c>
      <c r="H60" s="109">
        <f t="shared" si="15"/>
        <v>2</v>
      </c>
      <c r="I60" s="109">
        <f t="shared" si="15"/>
        <v>2</v>
      </c>
      <c r="J60" s="109">
        <f t="shared" si="15"/>
        <v>2</v>
      </c>
      <c r="K60" s="109">
        <f t="shared" si="15"/>
        <v>2</v>
      </c>
      <c r="L60" s="109">
        <f t="shared" si="15"/>
        <v>2</v>
      </c>
      <c r="M60" s="109">
        <f t="shared" si="15"/>
        <v>2</v>
      </c>
      <c r="N60" s="109">
        <f t="shared" si="15"/>
        <v>2</v>
      </c>
      <c r="O60" s="109">
        <f t="shared" si="15"/>
        <v>2</v>
      </c>
      <c r="P60" s="109">
        <f t="shared" si="15"/>
        <v>2</v>
      </c>
      <c r="Q60" s="109">
        <f t="shared" si="15"/>
        <v>2</v>
      </c>
      <c r="R60" s="109">
        <f t="shared" si="15"/>
        <v>2</v>
      </c>
      <c r="S60" s="109">
        <f t="shared" si="15"/>
        <v>2</v>
      </c>
      <c r="T60" s="109">
        <f t="shared" si="15"/>
        <v>2</v>
      </c>
      <c r="U60" s="109">
        <f t="shared" si="15"/>
        <v>2</v>
      </c>
      <c r="V60" s="109">
        <f t="shared" si="15"/>
        <v>2</v>
      </c>
      <c r="W60" s="109">
        <f t="shared" si="15"/>
        <v>2</v>
      </c>
      <c r="X60" s="109"/>
      <c r="Y60" s="23">
        <f t="shared" si="12"/>
        <v>0</v>
      </c>
      <c r="Z60" s="184">
        <f t="shared" si="13"/>
        <v>0</v>
      </c>
      <c r="AA60" s="184">
        <f t="shared" si="14"/>
        <v>20</v>
      </c>
      <c r="AC60" s="23">
        <f>COUNTIF($D$42:$W$42,"顕熱交換器")</f>
        <v>0</v>
      </c>
      <c r="AF60" s="117">
        <v>57</v>
      </c>
    </row>
    <row r="61" spans="2:37" hidden="1" x14ac:dyDescent="0.45">
      <c r="B61" s="109" t="s">
        <v>253</v>
      </c>
      <c r="C61" s="109"/>
      <c r="D61" s="109">
        <f>IF(D$42&lt;&gt;"顕熱交換器",2,IF(AND(D$42="顕熱交換器",D51&gt;=40),0,1))</f>
        <v>2</v>
      </c>
      <c r="E61" s="109">
        <f t="shared" ref="E61:W61" si="16">IF(E$42&lt;&gt;"顕熱交換器",2,IF(AND(E$42="顕熱交換器",E51&gt;=40),0,1))</f>
        <v>2</v>
      </c>
      <c r="F61" s="109">
        <f t="shared" si="16"/>
        <v>2</v>
      </c>
      <c r="G61" s="109">
        <f t="shared" si="16"/>
        <v>2</v>
      </c>
      <c r="H61" s="109">
        <f t="shared" si="16"/>
        <v>2</v>
      </c>
      <c r="I61" s="109">
        <f t="shared" si="16"/>
        <v>2</v>
      </c>
      <c r="J61" s="109">
        <f t="shared" si="16"/>
        <v>2</v>
      </c>
      <c r="K61" s="109">
        <f t="shared" si="16"/>
        <v>2</v>
      </c>
      <c r="L61" s="109">
        <f t="shared" si="16"/>
        <v>2</v>
      </c>
      <c r="M61" s="109">
        <f t="shared" si="16"/>
        <v>2</v>
      </c>
      <c r="N61" s="109">
        <f t="shared" si="16"/>
        <v>2</v>
      </c>
      <c r="O61" s="109">
        <f t="shared" si="16"/>
        <v>2</v>
      </c>
      <c r="P61" s="109">
        <f t="shared" si="16"/>
        <v>2</v>
      </c>
      <c r="Q61" s="109">
        <f t="shared" si="16"/>
        <v>2</v>
      </c>
      <c r="R61" s="109">
        <f t="shared" si="16"/>
        <v>2</v>
      </c>
      <c r="S61" s="109">
        <f t="shared" si="16"/>
        <v>2</v>
      </c>
      <c r="T61" s="109">
        <f t="shared" si="16"/>
        <v>2</v>
      </c>
      <c r="U61" s="109">
        <f t="shared" si="16"/>
        <v>2</v>
      </c>
      <c r="V61" s="109">
        <f t="shared" si="16"/>
        <v>2</v>
      </c>
      <c r="W61" s="109">
        <f t="shared" si="16"/>
        <v>2</v>
      </c>
      <c r="X61" s="109" t="str">
        <f>IF(AND(AC60=Y60,AC60=Y61),"適合","非適合")</f>
        <v>適合</v>
      </c>
      <c r="Y61" s="23">
        <f t="shared" si="12"/>
        <v>0</v>
      </c>
      <c r="Z61" s="184">
        <f t="shared" si="13"/>
        <v>0</v>
      </c>
      <c r="AA61" s="184">
        <f t="shared" si="14"/>
        <v>20</v>
      </c>
      <c r="AF61" s="117">
        <v>58</v>
      </c>
    </row>
    <row r="62" spans="2:37" hidden="1" x14ac:dyDescent="0.45">
      <c r="B62" s="111" t="s">
        <v>248</v>
      </c>
      <c r="C62" s="109"/>
      <c r="D62" s="109">
        <f>IF(D$42&lt;&gt;"熱交換型換気設備",2,IF(AND(D$42="熱交換型換気設備",D50&gt;=40),0,1))</f>
        <v>2</v>
      </c>
      <c r="E62" s="109">
        <f t="shared" ref="E62:W62" si="17">IF(E$42&lt;&gt;"熱交換型換気設備",2,IF(AND(E$42="熱交換型換気設備",E50&gt;=40),0,1))</f>
        <v>2</v>
      </c>
      <c r="F62" s="109">
        <f t="shared" si="17"/>
        <v>2</v>
      </c>
      <c r="G62" s="109">
        <f t="shared" si="17"/>
        <v>2</v>
      </c>
      <c r="H62" s="109">
        <f t="shared" si="17"/>
        <v>2</v>
      </c>
      <c r="I62" s="109">
        <f t="shared" si="17"/>
        <v>2</v>
      </c>
      <c r="J62" s="109">
        <f t="shared" si="17"/>
        <v>2</v>
      </c>
      <c r="K62" s="109">
        <f t="shared" si="17"/>
        <v>2</v>
      </c>
      <c r="L62" s="109">
        <f t="shared" si="17"/>
        <v>2</v>
      </c>
      <c r="M62" s="109">
        <f t="shared" si="17"/>
        <v>2</v>
      </c>
      <c r="N62" s="109">
        <f t="shared" si="17"/>
        <v>2</v>
      </c>
      <c r="O62" s="109">
        <f t="shared" si="17"/>
        <v>2</v>
      </c>
      <c r="P62" s="109">
        <f t="shared" si="17"/>
        <v>2</v>
      </c>
      <c r="Q62" s="109">
        <f t="shared" si="17"/>
        <v>2</v>
      </c>
      <c r="R62" s="109">
        <f t="shared" si="17"/>
        <v>2</v>
      </c>
      <c r="S62" s="109">
        <f t="shared" si="17"/>
        <v>2</v>
      </c>
      <c r="T62" s="109">
        <f t="shared" si="17"/>
        <v>2</v>
      </c>
      <c r="U62" s="109">
        <f t="shared" si="17"/>
        <v>2</v>
      </c>
      <c r="V62" s="109">
        <f t="shared" si="17"/>
        <v>2</v>
      </c>
      <c r="W62" s="109">
        <f t="shared" si="17"/>
        <v>2</v>
      </c>
      <c r="X62" s="109"/>
      <c r="Y62" s="23">
        <f t="shared" si="12"/>
        <v>0</v>
      </c>
      <c r="Z62" s="184">
        <f t="shared" si="13"/>
        <v>0</v>
      </c>
      <c r="AA62" s="184">
        <f>COUNTIF($D62:$W62,2)</f>
        <v>20</v>
      </c>
      <c r="AB62" s="184">
        <f>COUNT($D50:$W50)</f>
        <v>0</v>
      </c>
      <c r="AC62" s="23">
        <f>COUNTIF($D$42:$W$42,"熱交換型換気設備")</f>
        <v>0</v>
      </c>
      <c r="AF62" s="117">
        <v>59</v>
      </c>
    </row>
    <row r="63" spans="2:37" hidden="1" x14ac:dyDescent="0.45">
      <c r="B63" s="111" t="s">
        <v>249</v>
      </c>
      <c r="C63" s="109"/>
      <c r="D63" s="109">
        <f>IF(D$42&lt;&gt;"熱交換型換気設備",2,IF(AND(D$42="熱交換型換気設備",D51&gt;=40),0,1))</f>
        <v>2</v>
      </c>
      <c r="E63" s="109">
        <f t="shared" ref="E63:W63" si="18">IF(E$42&lt;&gt;"熱交換型換気設備",2,IF(AND(E$42="熱交換型換気設備",E51&gt;=40),0,1))</f>
        <v>2</v>
      </c>
      <c r="F63" s="109">
        <f t="shared" si="18"/>
        <v>2</v>
      </c>
      <c r="G63" s="109">
        <f t="shared" si="18"/>
        <v>2</v>
      </c>
      <c r="H63" s="109">
        <f t="shared" si="18"/>
        <v>2</v>
      </c>
      <c r="I63" s="109">
        <f t="shared" si="18"/>
        <v>2</v>
      </c>
      <c r="J63" s="109">
        <f t="shared" si="18"/>
        <v>2</v>
      </c>
      <c r="K63" s="109">
        <f t="shared" si="18"/>
        <v>2</v>
      </c>
      <c r="L63" s="109">
        <f t="shared" si="18"/>
        <v>2</v>
      </c>
      <c r="M63" s="109">
        <f t="shared" si="18"/>
        <v>2</v>
      </c>
      <c r="N63" s="109">
        <f t="shared" si="18"/>
        <v>2</v>
      </c>
      <c r="O63" s="109">
        <f t="shared" si="18"/>
        <v>2</v>
      </c>
      <c r="P63" s="109">
        <f t="shared" si="18"/>
        <v>2</v>
      </c>
      <c r="Q63" s="109">
        <f t="shared" si="18"/>
        <v>2</v>
      </c>
      <c r="R63" s="109">
        <f t="shared" si="18"/>
        <v>2</v>
      </c>
      <c r="S63" s="109">
        <f t="shared" si="18"/>
        <v>2</v>
      </c>
      <c r="T63" s="109">
        <f t="shared" si="18"/>
        <v>2</v>
      </c>
      <c r="U63" s="109">
        <f t="shared" si="18"/>
        <v>2</v>
      </c>
      <c r="V63" s="109">
        <f t="shared" si="18"/>
        <v>2</v>
      </c>
      <c r="W63" s="109">
        <f t="shared" si="18"/>
        <v>2</v>
      </c>
      <c r="X63" s="109" t="str">
        <f>IF(AND(AC62=Y62,AC62=Y63),"適合","非適合")</f>
        <v>適合</v>
      </c>
      <c r="Y63" s="23">
        <f t="shared" si="12"/>
        <v>0</v>
      </c>
      <c r="Z63" s="184">
        <f t="shared" si="13"/>
        <v>0</v>
      </c>
      <c r="AA63" s="184">
        <f t="shared" si="14"/>
        <v>20</v>
      </c>
      <c r="AB63" s="184">
        <f>COUNT($D51:$W51)</f>
        <v>0</v>
      </c>
      <c r="AF63" s="117">
        <v>60</v>
      </c>
    </row>
    <row r="64" spans="2:37" hidden="1" x14ac:dyDescent="0.45">
      <c r="B64" s="111" t="s">
        <v>251</v>
      </c>
      <c r="C64" s="109"/>
      <c r="D64" s="109">
        <f t="shared" ref="D64:W64" si="19">IF(AND(D42="",D43="",D44="",D45="",D46="",D47="",D48="",D50="",D51=""),2,IF(AND(D42&lt;&gt;"",D43&lt;&gt;"",D44&lt;&gt;"",D45&lt;&gt;"",D46&lt;&gt;"",D47&lt;&gt;"",D48&lt;&gt;"",D50&lt;&gt;"",D51&lt;&gt;"",OR(D$42="顕熱交換器",D$42="熱交換型換気設備")),0,IF(AND(D42&lt;&gt;"",D44&lt;&gt;"",D45&lt;&gt;"",D46&lt;&gt;"",D47&lt;&gt;"",D48&lt;&gt;"",D50="",D51="",D$42&lt;&gt;"顕熱交換器",D$42&lt;&gt;"熱交換型換気設備"),0,1)))</f>
        <v>2</v>
      </c>
      <c r="E64" s="109">
        <f t="shared" si="19"/>
        <v>2</v>
      </c>
      <c r="F64" s="109">
        <f t="shared" si="19"/>
        <v>2</v>
      </c>
      <c r="G64" s="109">
        <f t="shared" si="19"/>
        <v>2</v>
      </c>
      <c r="H64" s="109">
        <f t="shared" si="19"/>
        <v>2</v>
      </c>
      <c r="I64" s="109">
        <f t="shared" si="19"/>
        <v>2</v>
      </c>
      <c r="J64" s="109">
        <f t="shared" si="19"/>
        <v>2</v>
      </c>
      <c r="K64" s="109">
        <f t="shared" si="19"/>
        <v>2</v>
      </c>
      <c r="L64" s="109">
        <f t="shared" si="19"/>
        <v>2</v>
      </c>
      <c r="M64" s="109">
        <f t="shared" si="19"/>
        <v>2</v>
      </c>
      <c r="N64" s="109">
        <f t="shared" si="19"/>
        <v>2</v>
      </c>
      <c r="O64" s="109">
        <f t="shared" si="19"/>
        <v>2</v>
      </c>
      <c r="P64" s="109">
        <f t="shared" si="19"/>
        <v>2</v>
      </c>
      <c r="Q64" s="109">
        <f t="shared" si="19"/>
        <v>2</v>
      </c>
      <c r="R64" s="109">
        <f t="shared" si="19"/>
        <v>2</v>
      </c>
      <c r="S64" s="109">
        <f t="shared" si="19"/>
        <v>2</v>
      </c>
      <c r="T64" s="109">
        <f t="shared" si="19"/>
        <v>2</v>
      </c>
      <c r="U64" s="109">
        <f t="shared" si="19"/>
        <v>2</v>
      </c>
      <c r="V64" s="109">
        <f t="shared" si="19"/>
        <v>2</v>
      </c>
      <c r="W64" s="109">
        <f t="shared" si="19"/>
        <v>2</v>
      </c>
      <c r="X64" s="109" t="str">
        <f>IF(OR((AC60+AC62)&lt;&gt;AB62,(AC60+AC62)&lt;&gt;AB63,Z64&gt;0),"入力確認",IF(AC64=Y64,"適合","不適合"))</f>
        <v>適合</v>
      </c>
      <c r="Y64" s="23">
        <f t="shared" si="12"/>
        <v>0</v>
      </c>
      <c r="Z64" s="184">
        <f t="shared" si="13"/>
        <v>0</v>
      </c>
      <c r="AA64" s="184">
        <f t="shared" si="14"/>
        <v>20</v>
      </c>
      <c r="AC64" s="23">
        <f>20-COUNTIF($D$42:$W$42,"")</f>
        <v>0</v>
      </c>
      <c r="AF64" s="117">
        <v>61</v>
      </c>
    </row>
    <row r="65" spans="2:32" hidden="1" x14ac:dyDescent="0.45">
      <c r="B65" s="111" t="s">
        <v>498</v>
      </c>
      <c r="C65" s="109"/>
      <c r="D65" s="109"/>
      <c r="E65" s="109"/>
      <c r="F65" s="109"/>
      <c r="G65" s="109"/>
      <c r="H65" s="109"/>
      <c r="I65" s="109"/>
      <c r="J65" s="109"/>
      <c r="K65" s="109"/>
      <c r="L65" s="109"/>
      <c r="M65" s="109"/>
      <c r="N65" s="109"/>
      <c r="O65" s="109"/>
      <c r="P65" s="109"/>
      <c r="Q65" s="223" t="s">
        <v>499</v>
      </c>
      <c r="R65" s="109">
        <f>IF(OR(X36=0,Y36=0),X36+Y36+AA36,MAX(X36+AA36,Y36+AA36))</f>
        <v>0</v>
      </c>
      <c r="S65" s="109"/>
      <c r="T65" s="224" t="s">
        <v>500</v>
      </c>
      <c r="U65" s="109">
        <f>IF(OR(X52=0,Y52=0),X52+Y52+AA52,MAX(X52+AA52,Y52+AA52))</f>
        <v>0</v>
      </c>
      <c r="V65" s="109"/>
      <c r="W65" s="109"/>
      <c r="X65" s="109" t="str">
        <f>IF(OR(Z65=0,AA65=0),"適合","不適合")</f>
        <v>適合</v>
      </c>
      <c r="Z65" s="184">
        <f>IF(AND(X34=0,X47=0),2,IF(R65&lt;=U65,0,1))</f>
        <v>0</v>
      </c>
      <c r="AA65" s="184">
        <f>IF(AND(Y34=0,Y47=0),2,IF(R65&lt;=U65,0,1))</f>
        <v>0</v>
      </c>
      <c r="AC65" s="23">
        <f>COUNTIF($D$43:$W$43,"排気")</f>
        <v>0</v>
      </c>
      <c r="AD65" s="23">
        <f>COUNTIF($D$43:$W$43,"給気")</f>
        <v>0</v>
      </c>
      <c r="AE65" s="23">
        <f>COUNTIF($D$43:$W$43,"給気・排気")</f>
        <v>0</v>
      </c>
      <c r="AF65" s="117">
        <v>62</v>
      </c>
    </row>
    <row r="66" spans="2:32" ht="27" customHeight="1" x14ac:dyDescent="0.45">
      <c r="B66" s="36" t="s">
        <v>246</v>
      </c>
      <c r="C66" s="37"/>
    </row>
    <row r="67" spans="2:32" x14ac:dyDescent="0.45">
      <c r="B67" s="36"/>
      <c r="C67" s="37"/>
      <c r="E67" s="137"/>
    </row>
    <row r="68" spans="2:32" ht="42.75" customHeight="1" x14ac:dyDescent="0.45">
      <c r="B68" s="28" t="s">
        <v>272</v>
      </c>
      <c r="C68" s="37"/>
    </row>
    <row r="69" spans="2:32" ht="9" customHeight="1" x14ac:dyDescent="0.45">
      <c r="B69" s="23"/>
      <c r="C69" s="37"/>
    </row>
    <row r="70" spans="2:32" ht="27" customHeight="1" x14ac:dyDescent="0.45">
      <c r="B70" s="81" t="s">
        <v>180</v>
      </c>
      <c r="C70" s="282" t="s">
        <v>123</v>
      </c>
      <c r="D70" s="282"/>
      <c r="E70" s="282"/>
      <c r="F70" s="282"/>
      <c r="G70" s="282"/>
      <c r="H70" s="283" t="s">
        <v>124</v>
      </c>
      <c r="I70" s="283"/>
      <c r="J70" s="283"/>
      <c r="K70" s="283"/>
      <c r="L70" s="283"/>
      <c r="M70" s="283"/>
      <c r="N70" s="283"/>
      <c r="O70" s="284" t="s">
        <v>178</v>
      </c>
      <c r="P70" s="284"/>
      <c r="Q70" s="284"/>
      <c r="R70" s="284"/>
      <c r="S70" s="284"/>
      <c r="T70" s="284"/>
      <c r="U70" s="277" t="s">
        <v>179</v>
      </c>
      <c r="V70" s="278"/>
      <c r="W70" s="101"/>
    </row>
    <row r="71" spans="2:32" ht="27" customHeight="1" x14ac:dyDescent="0.45">
      <c r="B71" s="87" t="s">
        <v>142</v>
      </c>
      <c r="C71" s="281"/>
      <c r="D71" s="281"/>
      <c r="E71" s="281"/>
      <c r="F71" s="281"/>
      <c r="G71" s="281"/>
      <c r="H71" s="281"/>
      <c r="I71" s="281"/>
      <c r="J71" s="281"/>
      <c r="K71" s="281"/>
      <c r="L71" s="281"/>
      <c r="M71" s="281"/>
      <c r="N71" s="281"/>
      <c r="O71" s="281"/>
      <c r="P71" s="281"/>
      <c r="Q71" s="281"/>
      <c r="R71" s="281"/>
      <c r="S71" s="281"/>
      <c r="T71" s="281"/>
      <c r="U71" s="281"/>
      <c r="V71" s="281"/>
      <c r="W71" s="101"/>
    </row>
    <row r="72" spans="2:32" ht="27" customHeight="1" x14ac:dyDescent="0.45">
      <c r="B72" s="80" t="s">
        <v>143</v>
      </c>
      <c r="C72" s="275"/>
      <c r="D72" s="275"/>
      <c r="E72" s="275"/>
      <c r="F72" s="275"/>
      <c r="G72" s="275"/>
      <c r="H72" s="275"/>
      <c r="I72" s="275"/>
      <c r="J72" s="275"/>
      <c r="K72" s="275"/>
      <c r="L72" s="275"/>
      <c r="M72" s="275"/>
      <c r="N72" s="275"/>
      <c r="O72" s="275"/>
      <c r="P72" s="275"/>
      <c r="Q72" s="275"/>
      <c r="R72" s="275"/>
      <c r="S72" s="275"/>
      <c r="T72" s="275"/>
      <c r="U72" s="275"/>
      <c r="V72" s="275"/>
      <c r="W72" s="101"/>
    </row>
    <row r="73" spans="2:32" ht="27" customHeight="1" x14ac:dyDescent="0.45">
      <c r="B73" s="80" t="s">
        <v>144</v>
      </c>
      <c r="C73" s="275"/>
      <c r="D73" s="275"/>
      <c r="E73" s="275"/>
      <c r="F73" s="275"/>
      <c r="G73" s="275"/>
      <c r="H73" s="275"/>
      <c r="I73" s="275"/>
      <c r="J73" s="275"/>
      <c r="K73" s="275"/>
      <c r="L73" s="275"/>
      <c r="M73" s="275"/>
      <c r="N73" s="275"/>
      <c r="O73" s="275"/>
      <c r="P73" s="275"/>
      <c r="Q73" s="275"/>
      <c r="R73" s="275"/>
      <c r="S73" s="275"/>
      <c r="T73" s="275"/>
      <c r="U73" s="275"/>
      <c r="V73" s="275"/>
      <c r="W73" s="101"/>
    </row>
    <row r="74" spans="2:32" ht="27" customHeight="1" x14ac:dyDescent="0.45">
      <c r="B74" s="80" t="s">
        <v>145</v>
      </c>
      <c r="C74" s="275"/>
      <c r="D74" s="275"/>
      <c r="E74" s="275"/>
      <c r="F74" s="275"/>
      <c r="G74" s="275"/>
      <c r="H74" s="275"/>
      <c r="I74" s="275"/>
      <c r="J74" s="275"/>
      <c r="K74" s="275"/>
      <c r="L74" s="275"/>
      <c r="M74" s="275"/>
      <c r="N74" s="275"/>
      <c r="O74" s="275"/>
      <c r="P74" s="275"/>
      <c r="Q74" s="275"/>
      <c r="R74" s="275"/>
      <c r="S74" s="275"/>
      <c r="T74" s="275"/>
      <c r="U74" s="275"/>
      <c r="V74" s="275"/>
      <c r="W74" s="101"/>
    </row>
    <row r="75" spans="2:32" ht="27" customHeight="1" x14ac:dyDescent="0.45">
      <c r="B75" s="80" t="s">
        <v>146</v>
      </c>
      <c r="C75" s="275"/>
      <c r="D75" s="275"/>
      <c r="E75" s="275"/>
      <c r="F75" s="275"/>
      <c r="G75" s="275"/>
      <c r="H75" s="275"/>
      <c r="I75" s="275"/>
      <c r="J75" s="275"/>
      <c r="K75" s="275"/>
      <c r="L75" s="275"/>
      <c r="M75" s="275"/>
      <c r="N75" s="275"/>
      <c r="O75" s="275"/>
      <c r="P75" s="275"/>
      <c r="Q75" s="275"/>
      <c r="R75" s="275"/>
      <c r="S75" s="275"/>
      <c r="T75" s="275"/>
      <c r="U75" s="275"/>
      <c r="V75" s="275"/>
      <c r="W75" s="101"/>
    </row>
    <row r="76" spans="2:32" ht="27" customHeight="1" x14ac:dyDescent="0.45">
      <c r="B76" s="80" t="s">
        <v>147</v>
      </c>
      <c r="C76" s="275"/>
      <c r="D76" s="275"/>
      <c r="E76" s="275"/>
      <c r="F76" s="275"/>
      <c r="G76" s="275"/>
      <c r="H76" s="275"/>
      <c r="I76" s="275"/>
      <c r="J76" s="275"/>
      <c r="K76" s="275"/>
      <c r="L76" s="275"/>
      <c r="M76" s="275"/>
      <c r="N76" s="275"/>
      <c r="O76" s="275"/>
      <c r="P76" s="275"/>
      <c r="Q76" s="275"/>
      <c r="R76" s="275"/>
      <c r="S76" s="275"/>
      <c r="T76" s="275"/>
      <c r="U76" s="275"/>
      <c r="V76" s="275"/>
      <c r="W76" s="101"/>
    </row>
    <row r="77" spans="2:32" ht="27" customHeight="1" x14ac:dyDescent="0.45">
      <c r="B77" s="80" t="s">
        <v>148</v>
      </c>
      <c r="C77" s="275"/>
      <c r="D77" s="275"/>
      <c r="E77" s="275"/>
      <c r="F77" s="275"/>
      <c r="G77" s="275"/>
      <c r="H77" s="275"/>
      <c r="I77" s="275"/>
      <c r="J77" s="275"/>
      <c r="K77" s="275"/>
      <c r="L77" s="275"/>
      <c r="M77" s="275"/>
      <c r="N77" s="275"/>
      <c r="O77" s="275"/>
      <c r="P77" s="275"/>
      <c r="Q77" s="275"/>
      <c r="R77" s="275"/>
      <c r="S77" s="275"/>
      <c r="T77" s="275"/>
      <c r="U77" s="275"/>
      <c r="V77" s="275"/>
      <c r="W77" s="101"/>
    </row>
    <row r="78" spans="2:32" ht="27" customHeight="1" x14ac:dyDescent="0.45">
      <c r="B78" s="80" t="s">
        <v>149</v>
      </c>
      <c r="C78" s="275"/>
      <c r="D78" s="275"/>
      <c r="E78" s="275"/>
      <c r="F78" s="275"/>
      <c r="G78" s="275"/>
      <c r="H78" s="275"/>
      <c r="I78" s="275"/>
      <c r="J78" s="275"/>
      <c r="K78" s="275"/>
      <c r="L78" s="275"/>
      <c r="M78" s="275"/>
      <c r="N78" s="275"/>
      <c r="O78" s="275"/>
      <c r="P78" s="275"/>
      <c r="Q78" s="275"/>
      <c r="R78" s="275"/>
      <c r="S78" s="275"/>
      <c r="T78" s="275"/>
      <c r="U78" s="275"/>
      <c r="V78" s="275"/>
      <c r="W78" s="101"/>
    </row>
    <row r="79" spans="2:32" ht="27" customHeight="1" x14ac:dyDescent="0.45">
      <c r="B79" s="80" t="s">
        <v>150</v>
      </c>
      <c r="C79" s="275"/>
      <c r="D79" s="275"/>
      <c r="E79" s="275"/>
      <c r="F79" s="275"/>
      <c r="G79" s="275"/>
      <c r="H79" s="275"/>
      <c r="I79" s="275"/>
      <c r="J79" s="275"/>
      <c r="K79" s="275"/>
      <c r="L79" s="275"/>
      <c r="M79" s="275"/>
      <c r="N79" s="275"/>
      <c r="O79" s="275"/>
      <c r="P79" s="275"/>
      <c r="Q79" s="275"/>
      <c r="R79" s="275"/>
      <c r="S79" s="275"/>
      <c r="T79" s="275"/>
      <c r="U79" s="275"/>
      <c r="V79" s="275"/>
      <c r="W79" s="101"/>
    </row>
    <row r="80" spans="2:32" ht="27" customHeight="1" x14ac:dyDescent="0.45">
      <c r="B80" s="80" t="s">
        <v>151</v>
      </c>
      <c r="C80" s="275"/>
      <c r="D80" s="275"/>
      <c r="E80" s="275"/>
      <c r="F80" s="275"/>
      <c r="G80" s="275"/>
      <c r="H80" s="275"/>
      <c r="I80" s="275"/>
      <c r="J80" s="275"/>
      <c r="K80" s="275"/>
      <c r="L80" s="275"/>
      <c r="M80" s="275"/>
      <c r="N80" s="275"/>
      <c r="O80" s="275"/>
      <c r="P80" s="275"/>
      <c r="Q80" s="275"/>
      <c r="R80" s="275"/>
      <c r="S80" s="275"/>
      <c r="T80" s="275"/>
      <c r="U80" s="275"/>
      <c r="V80" s="275"/>
      <c r="W80" s="101"/>
    </row>
    <row r="81" spans="2:24" ht="27" customHeight="1" x14ac:dyDescent="0.45">
      <c r="B81" s="80" t="s">
        <v>346</v>
      </c>
      <c r="C81" s="275"/>
      <c r="D81" s="275"/>
      <c r="E81" s="275"/>
      <c r="F81" s="275"/>
      <c r="G81" s="275"/>
      <c r="H81" s="275"/>
      <c r="I81" s="275"/>
      <c r="J81" s="275"/>
      <c r="K81" s="275"/>
      <c r="L81" s="275"/>
      <c r="M81" s="275"/>
      <c r="N81" s="275"/>
      <c r="O81" s="275"/>
      <c r="P81" s="275"/>
      <c r="Q81" s="275"/>
      <c r="R81" s="275"/>
      <c r="S81" s="275"/>
      <c r="T81" s="275"/>
      <c r="U81" s="275"/>
      <c r="V81" s="275"/>
      <c r="W81" s="101"/>
    </row>
    <row r="82" spans="2:24" ht="27" customHeight="1" x14ac:dyDescent="0.45">
      <c r="B82" s="80" t="s">
        <v>152</v>
      </c>
      <c r="C82" s="275"/>
      <c r="D82" s="275"/>
      <c r="E82" s="275"/>
      <c r="F82" s="275"/>
      <c r="G82" s="275"/>
      <c r="H82" s="275"/>
      <c r="I82" s="275"/>
      <c r="J82" s="275"/>
      <c r="K82" s="275"/>
      <c r="L82" s="275"/>
      <c r="M82" s="275"/>
      <c r="N82" s="275"/>
      <c r="O82" s="275"/>
      <c r="P82" s="275"/>
      <c r="Q82" s="275"/>
      <c r="R82" s="275"/>
      <c r="S82" s="275"/>
      <c r="T82" s="275"/>
      <c r="U82" s="275"/>
      <c r="V82" s="275"/>
      <c r="W82" s="101"/>
    </row>
    <row r="83" spans="2:24" ht="27" customHeight="1" x14ac:dyDescent="0.45">
      <c r="B83" s="80" t="s">
        <v>153</v>
      </c>
      <c r="C83" s="275"/>
      <c r="D83" s="275"/>
      <c r="E83" s="275"/>
      <c r="F83" s="275"/>
      <c r="G83" s="275"/>
      <c r="H83" s="275"/>
      <c r="I83" s="275"/>
      <c r="J83" s="275"/>
      <c r="K83" s="275"/>
      <c r="L83" s="275"/>
      <c r="M83" s="275"/>
      <c r="N83" s="275"/>
      <c r="O83" s="275"/>
      <c r="P83" s="275"/>
      <c r="Q83" s="275"/>
      <c r="R83" s="275"/>
      <c r="S83" s="275"/>
      <c r="T83" s="275"/>
      <c r="U83" s="275"/>
      <c r="V83" s="275"/>
      <c r="W83" s="101"/>
    </row>
    <row r="84" spans="2:24" ht="27" customHeight="1" x14ac:dyDescent="0.45">
      <c r="B84" s="80" t="s">
        <v>154</v>
      </c>
      <c r="C84" s="275"/>
      <c r="D84" s="275"/>
      <c r="E84" s="275"/>
      <c r="F84" s="275"/>
      <c r="G84" s="275"/>
      <c r="H84" s="275"/>
      <c r="I84" s="275"/>
      <c r="J84" s="275"/>
      <c r="K84" s="275"/>
      <c r="L84" s="275"/>
      <c r="M84" s="275"/>
      <c r="N84" s="275"/>
      <c r="O84" s="275"/>
      <c r="P84" s="275"/>
      <c r="Q84" s="275"/>
      <c r="R84" s="275"/>
      <c r="S84" s="275"/>
      <c r="T84" s="275"/>
      <c r="U84" s="275"/>
      <c r="V84" s="275"/>
      <c r="W84" s="101"/>
    </row>
    <row r="85" spans="2:24" ht="27" customHeight="1" x14ac:dyDescent="0.45">
      <c r="B85" s="80" t="s">
        <v>155</v>
      </c>
      <c r="C85" s="275"/>
      <c r="D85" s="275"/>
      <c r="E85" s="275"/>
      <c r="F85" s="275"/>
      <c r="G85" s="275"/>
      <c r="H85" s="275"/>
      <c r="I85" s="275"/>
      <c r="J85" s="275"/>
      <c r="K85" s="275"/>
      <c r="L85" s="275"/>
      <c r="M85" s="275"/>
      <c r="N85" s="275"/>
      <c r="O85" s="275"/>
      <c r="P85" s="275"/>
      <c r="Q85" s="275"/>
      <c r="R85" s="275"/>
      <c r="S85" s="275"/>
      <c r="T85" s="275"/>
      <c r="U85" s="275"/>
      <c r="V85" s="275"/>
      <c r="W85" s="101"/>
    </row>
    <row r="86" spans="2:24" ht="27" customHeight="1" x14ac:dyDescent="0.45">
      <c r="B86" s="80" t="s">
        <v>156</v>
      </c>
      <c r="C86" s="275"/>
      <c r="D86" s="275"/>
      <c r="E86" s="275"/>
      <c r="F86" s="275"/>
      <c r="G86" s="275"/>
      <c r="H86" s="275"/>
      <c r="I86" s="275"/>
      <c r="J86" s="275"/>
      <c r="K86" s="275"/>
      <c r="L86" s="275"/>
      <c r="M86" s="275"/>
      <c r="N86" s="275"/>
      <c r="O86" s="275"/>
      <c r="P86" s="275"/>
      <c r="Q86" s="275"/>
      <c r="R86" s="275"/>
      <c r="S86" s="275"/>
      <c r="T86" s="275"/>
      <c r="U86" s="275"/>
      <c r="V86" s="275"/>
      <c r="W86" s="101"/>
    </row>
    <row r="87" spans="2:24" ht="27" customHeight="1" x14ac:dyDescent="0.45">
      <c r="B87" s="80" t="s">
        <v>157</v>
      </c>
      <c r="C87" s="275"/>
      <c r="D87" s="275"/>
      <c r="E87" s="275"/>
      <c r="F87" s="275"/>
      <c r="G87" s="275"/>
      <c r="H87" s="275"/>
      <c r="I87" s="275"/>
      <c r="J87" s="275"/>
      <c r="K87" s="275"/>
      <c r="L87" s="275"/>
      <c r="M87" s="275"/>
      <c r="N87" s="275"/>
      <c r="O87" s="275"/>
      <c r="P87" s="275"/>
      <c r="Q87" s="275"/>
      <c r="R87" s="275"/>
      <c r="S87" s="275"/>
      <c r="T87" s="275"/>
      <c r="U87" s="275"/>
      <c r="V87" s="275"/>
      <c r="W87" s="101"/>
    </row>
    <row r="88" spans="2:24" ht="27" customHeight="1" x14ac:dyDescent="0.45">
      <c r="B88" s="80" t="s">
        <v>158</v>
      </c>
      <c r="C88" s="275"/>
      <c r="D88" s="275"/>
      <c r="E88" s="275"/>
      <c r="F88" s="275"/>
      <c r="G88" s="275"/>
      <c r="H88" s="275"/>
      <c r="I88" s="275"/>
      <c r="J88" s="275"/>
      <c r="K88" s="275"/>
      <c r="L88" s="275"/>
      <c r="M88" s="275"/>
      <c r="N88" s="275"/>
      <c r="O88" s="275"/>
      <c r="P88" s="275"/>
      <c r="Q88" s="275"/>
      <c r="R88" s="275"/>
      <c r="S88" s="275"/>
      <c r="T88" s="275"/>
      <c r="U88" s="275"/>
      <c r="V88" s="275"/>
      <c r="W88" s="101"/>
    </row>
    <row r="89" spans="2:24" ht="27" customHeight="1" x14ac:dyDescent="0.45">
      <c r="B89" s="80" t="s">
        <v>159</v>
      </c>
      <c r="C89" s="275"/>
      <c r="D89" s="275"/>
      <c r="E89" s="275"/>
      <c r="F89" s="275"/>
      <c r="G89" s="275"/>
      <c r="H89" s="275"/>
      <c r="I89" s="275"/>
      <c r="J89" s="275"/>
      <c r="K89" s="275"/>
      <c r="L89" s="275"/>
      <c r="M89" s="275"/>
      <c r="N89" s="275"/>
      <c r="O89" s="275"/>
      <c r="P89" s="275"/>
      <c r="Q89" s="275"/>
      <c r="R89" s="275"/>
      <c r="S89" s="275"/>
      <c r="T89" s="275"/>
      <c r="U89" s="275"/>
      <c r="V89" s="275"/>
      <c r="W89" s="101"/>
    </row>
    <row r="90" spans="2:24" ht="27" customHeight="1" x14ac:dyDescent="0.45">
      <c r="B90" s="80" t="s">
        <v>160</v>
      </c>
      <c r="C90" s="276"/>
      <c r="D90" s="276"/>
      <c r="E90" s="276"/>
      <c r="F90" s="276"/>
      <c r="G90" s="276"/>
      <c r="H90" s="276"/>
      <c r="I90" s="276"/>
      <c r="J90" s="276"/>
      <c r="K90" s="276"/>
      <c r="L90" s="276"/>
      <c r="M90" s="276"/>
      <c r="N90" s="276"/>
      <c r="O90" s="276"/>
      <c r="P90" s="276"/>
      <c r="Q90" s="276"/>
      <c r="R90" s="276"/>
      <c r="S90" s="276"/>
      <c r="T90" s="276"/>
      <c r="U90" s="276"/>
      <c r="V90" s="276"/>
      <c r="W90" s="101"/>
    </row>
    <row r="91" spans="2:24" x14ac:dyDescent="0.45">
      <c r="B91" s="82"/>
      <c r="C91" s="150"/>
      <c r="D91" s="150"/>
      <c r="E91" s="150"/>
      <c r="F91" s="150"/>
      <c r="G91" s="150"/>
      <c r="H91" s="150"/>
      <c r="I91" s="151"/>
      <c r="J91" s="151"/>
      <c r="K91" s="151"/>
      <c r="L91" s="151"/>
      <c r="M91" s="138"/>
      <c r="N91" s="147"/>
      <c r="O91" s="147"/>
      <c r="P91" s="147"/>
      <c r="Q91" s="147"/>
      <c r="R91" s="147"/>
      <c r="S91" s="147"/>
      <c r="T91" s="147"/>
      <c r="U91" s="147"/>
      <c r="V91" s="147"/>
      <c r="W91" s="147"/>
    </row>
    <row r="92" spans="2:24" ht="27" customHeight="1" x14ac:dyDescent="0.45">
      <c r="B92" s="81" t="s">
        <v>181</v>
      </c>
      <c r="C92" s="282" t="s">
        <v>123</v>
      </c>
      <c r="D92" s="282"/>
      <c r="E92" s="282"/>
      <c r="F92" s="282"/>
      <c r="G92" s="282"/>
      <c r="H92" s="283" t="s">
        <v>124</v>
      </c>
      <c r="I92" s="283"/>
      <c r="J92" s="283"/>
      <c r="K92" s="283"/>
      <c r="L92" s="283"/>
      <c r="M92" s="283"/>
      <c r="N92" s="283"/>
      <c r="O92" s="284" t="s">
        <v>2</v>
      </c>
      <c r="P92" s="284"/>
      <c r="Q92" s="284"/>
      <c r="R92" s="284"/>
      <c r="S92" s="284"/>
      <c r="T92" s="284"/>
      <c r="U92" s="277" t="s">
        <v>179</v>
      </c>
      <c r="V92" s="278"/>
      <c r="W92" s="277" t="s">
        <v>198</v>
      </c>
      <c r="X92" s="278"/>
    </row>
    <row r="93" spans="2:24" ht="27" customHeight="1" x14ac:dyDescent="0.45">
      <c r="B93" s="141" t="s">
        <v>283</v>
      </c>
      <c r="C93" s="281"/>
      <c r="D93" s="281"/>
      <c r="E93" s="281"/>
      <c r="F93" s="281"/>
      <c r="G93" s="281"/>
      <c r="H93" s="281"/>
      <c r="I93" s="281"/>
      <c r="J93" s="281"/>
      <c r="K93" s="281"/>
      <c r="L93" s="281"/>
      <c r="M93" s="281"/>
      <c r="N93" s="281"/>
      <c r="O93" s="281"/>
      <c r="P93" s="281"/>
      <c r="Q93" s="281"/>
      <c r="R93" s="281"/>
      <c r="S93" s="281"/>
      <c r="T93" s="281"/>
      <c r="U93" s="281"/>
      <c r="V93" s="281"/>
      <c r="W93" s="279"/>
      <c r="X93" s="280"/>
    </row>
    <row r="94" spans="2:24" ht="27" customHeight="1" x14ac:dyDescent="0.45">
      <c r="B94" s="142" t="s">
        <v>284</v>
      </c>
      <c r="C94" s="275"/>
      <c r="D94" s="275"/>
      <c r="E94" s="275"/>
      <c r="F94" s="275"/>
      <c r="G94" s="275"/>
      <c r="H94" s="275"/>
      <c r="I94" s="275"/>
      <c r="J94" s="275"/>
      <c r="K94" s="275"/>
      <c r="L94" s="275"/>
      <c r="M94" s="275"/>
      <c r="N94" s="275"/>
      <c r="O94" s="275"/>
      <c r="P94" s="275"/>
      <c r="Q94" s="275"/>
      <c r="R94" s="275"/>
      <c r="S94" s="275"/>
      <c r="T94" s="275"/>
      <c r="U94" s="275"/>
      <c r="V94" s="275"/>
      <c r="W94" s="271"/>
      <c r="X94" s="272"/>
    </row>
    <row r="95" spans="2:24" ht="27" customHeight="1" x14ac:dyDescent="0.45">
      <c r="B95" s="142" t="s">
        <v>285</v>
      </c>
      <c r="C95" s="275"/>
      <c r="D95" s="275"/>
      <c r="E95" s="275"/>
      <c r="F95" s="275"/>
      <c r="G95" s="275"/>
      <c r="H95" s="275"/>
      <c r="I95" s="275"/>
      <c r="J95" s="275"/>
      <c r="K95" s="275"/>
      <c r="L95" s="275"/>
      <c r="M95" s="275"/>
      <c r="N95" s="275"/>
      <c r="O95" s="275"/>
      <c r="P95" s="275"/>
      <c r="Q95" s="275"/>
      <c r="R95" s="275"/>
      <c r="S95" s="275"/>
      <c r="T95" s="275"/>
      <c r="U95" s="275"/>
      <c r="V95" s="275"/>
      <c r="W95" s="271"/>
      <c r="X95" s="272"/>
    </row>
    <row r="96" spans="2:24" ht="27" customHeight="1" x14ac:dyDescent="0.45">
      <c r="B96" s="142" t="s">
        <v>286</v>
      </c>
      <c r="C96" s="275"/>
      <c r="D96" s="275"/>
      <c r="E96" s="275"/>
      <c r="F96" s="275"/>
      <c r="G96" s="275"/>
      <c r="H96" s="275"/>
      <c r="I96" s="275"/>
      <c r="J96" s="275"/>
      <c r="K96" s="275"/>
      <c r="L96" s="275"/>
      <c r="M96" s="275"/>
      <c r="N96" s="275"/>
      <c r="O96" s="275"/>
      <c r="P96" s="275"/>
      <c r="Q96" s="275"/>
      <c r="R96" s="275"/>
      <c r="S96" s="275"/>
      <c r="T96" s="275"/>
      <c r="U96" s="275"/>
      <c r="V96" s="275"/>
      <c r="W96" s="271"/>
      <c r="X96" s="272"/>
    </row>
    <row r="97" spans="2:24" ht="27" customHeight="1" x14ac:dyDescent="0.45">
      <c r="B97" s="142" t="s">
        <v>287</v>
      </c>
      <c r="C97" s="275"/>
      <c r="D97" s="275"/>
      <c r="E97" s="275"/>
      <c r="F97" s="275"/>
      <c r="G97" s="275"/>
      <c r="H97" s="275"/>
      <c r="I97" s="275"/>
      <c r="J97" s="275"/>
      <c r="K97" s="275"/>
      <c r="L97" s="275"/>
      <c r="M97" s="275"/>
      <c r="N97" s="275"/>
      <c r="O97" s="275"/>
      <c r="P97" s="275"/>
      <c r="Q97" s="275"/>
      <c r="R97" s="275"/>
      <c r="S97" s="275"/>
      <c r="T97" s="275"/>
      <c r="U97" s="275"/>
      <c r="V97" s="275"/>
      <c r="W97" s="271"/>
      <c r="X97" s="272"/>
    </row>
    <row r="98" spans="2:24" ht="27" customHeight="1" x14ac:dyDescent="0.45">
      <c r="B98" s="142" t="s">
        <v>288</v>
      </c>
      <c r="C98" s="275"/>
      <c r="D98" s="275"/>
      <c r="E98" s="275"/>
      <c r="F98" s="275"/>
      <c r="G98" s="275"/>
      <c r="H98" s="275"/>
      <c r="I98" s="275"/>
      <c r="J98" s="275"/>
      <c r="K98" s="275"/>
      <c r="L98" s="275"/>
      <c r="M98" s="275"/>
      <c r="N98" s="275"/>
      <c r="O98" s="275"/>
      <c r="P98" s="275"/>
      <c r="Q98" s="275"/>
      <c r="R98" s="275"/>
      <c r="S98" s="275"/>
      <c r="T98" s="275"/>
      <c r="U98" s="275"/>
      <c r="V98" s="275"/>
      <c r="W98" s="271"/>
      <c r="X98" s="272"/>
    </row>
    <row r="99" spans="2:24" ht="27" customHeight="1" x14ac:dyDescent="0.45">
      <c r="B99" s="142" t="s">
        <v>289</v>
      </c>
      <c r="C99" s="275"/>
      <c r="D99" s="275"/>
      <c r="E99" s="275"/>
      <c r="F99" s="275"/>
      <c r="G99" s="275"/>
      <c r="H99" s="275"/>
      <c r="I99" s="275"/>
      <c r="J99" s="275"/>
      <c r="K99" s="275"/>
      <c r="L99" s="275"/>
      <c r="M99" s="275"/>
      <c r="N99" s="275"/>
      <c r="O99" s="275"/>
      <c r="P99" s="275"/>
      <c r="Q99" s="275"/>
      <c r="R99" s="275"/>
      <c r="S99" s="275"/>
      <c r="T99" s="275"/>
      <c r="U99" s="275"/>
      <c r="V99" s="275"/>
      <c r="W99" s="271"/>
      <c r="X99" s="272"/>
    </row>
    <row r="100" spans="2:24" ht="27" customHeight="1" x14ac:dyDescent="0.45">
      <c r="B100" s="142" t="s">
        <v>290</v>
      </c>
      <c r="C100" s="275"/>
      <c r="D100" s="275"/>
      <c r="E100" s="275"/>
      <c r="F100" s="275"/>
      <c r="G100" s="275"/>
      <c r="H100" s="275"/>
      <c r="I100" s="275"/>
      <c r="J100" s="275"/>
      <c r="K100" s="275"/>
      <c r="L100" s="275"/>
      <c r="M100" s="275"/>
      <c r="N100" s="275"/>
      <c r="O100" s="275"/>
      <c r="P100" s="275"/>
      <c r="Q100" s="275"/>
      <c r="R100" s="275"/>
      <c r="S100" s="275"/>
      <c r="T100" s="275"/>
      <c r="U100" s="275"/>
      <c r="V100" s="275"/>
      <c r="W100" s="271"/>
      <c r="X100" s="272"/>
    </row>
    <row r="101" spans="2:24" ht="27" customHeight="1" x14ac:dyDescent="0.45">
      <c r="B101" s="142" t="s">
        <v>291</v>
      </c>
      <c r="C101" s="275"/>
      <c r="D101" s="275"/>
      <c r="E101" s="275"/>
      <c r="F101" s="275"/>
      <c r="G101" s="275"/>
      <c r="H101" s="275"/>
      <c r="I101" s="275"/>
      <c r="J101" s="275"/>
      <c r="K101" s="275"/>
      <c r="L101" s="275"/>
      <c r="M101" s="275"/>
      <c r="N101" s="275"/>
      <c r="O101" s="275"/>
      <c r="P101" s="275"/>
      <c r="Q101" s="275"/>
      <c r="R101" s="275"/>
      <c r="S101" s="275"/>
      <c r="T101" s="275"/>
      <c r="U101" s="275"/>
      <c r="V101" s="275"/>
      <c r="W101" s="271"/>
      <c r="X101" s="272"/>
    </row>
    <row r="102" spans="2:24" ht="27" customHeight="1" x14ac:dyDescent="0.45">
      <c r="B102" s="142" t="s">
        <v>292</v>
      </c>
      <c r="C102" s="275"/>
      <c r="D102" s="275"/>
      <c r="E102" s="275"/>
      <c r="F102" s="275"/>
      <c r="G102" s="275"/>
      <c r="H102" s="275"/>
      <c r="I102" s="275"/>
      <c r="J102" s="275"/>
      <c r="K102" s="275"/>
      <c r="L102" s="275"/>
      <c r="M102" s="275"/>
      <c r="N102" s="275"/>
      <c r="O102" s="275"/>
      <c r="P102" s="275"/>
      <c r="Q102" s="275"/>
      <c r="R102" s="275"/>
      <c r="S102" s="275"/>
      <c r="T102" s="275"/>
      <c r="U102" s="275"/>
      <c r="V102" s="275"/>
      <c r="W102" s="271"/>
      <c r="X102" s="272"/>
    </row>
    <row r="103" spans="2:24" ht="27" customHeight="1" x14ac:dyDescent="0.45">
      <c r="B103" s="142" t="s">
        <v>347</v>
      </c>
      <c r="C103" s="275"/>
      <c r="D103" s="275"/>
      <c r="E103" s="275"/>
      <c r="F103" s="275"/>
      <c r="G103" s="275"/>
      <c r="H103" s="275"/>
      <c r="I103" s="275"/>
      <c r="J103" s="275"/>
      <c r="K103" s="275"/>
      <c r="L103" s="275"/>
      <c r="M103" s="275"/>
      <c r="N103" s="275"/>
      <c r="O103" s="275"/>
      <c r="P103" s="275"/>
      <c r="Q103" s="275"/>
      <c r="R103" s="275"/>
      <c r="S103" s="275"/>
      <c r="T103" s="275"/>
      <c r="U103" s="275"/>
      <c r="V103" s="275"/>
      <c r="W103" s="271"/>
      <c r="X103" s="272"/>
    </row>
    <row r="104" spans="2:24" ht="27" customHeight="1" x14ac:dyDescent="0.45">
      <c r="B104" s="142" t="s">
        <v>348</v>
      </c>
      <c r="C104" s="275"/>
      <c r="D104" s="275"/>
      <c r="E104" s="275"/>
      <c r="F104" s="275"/>
      <c r="G104" s="275"/>
      <c r="H104" s="275"/>
      <c r="I104" s="275"/>
      <c r="J104" s="275"/>
      <c r="K104" s="275"/>
      <c r="L104" s="275"/>
      <c r="M104" s="275"/>
      <c r="N104" s="275"/>
      <c r="O104" s="275"/>
      <c r="P104" s="275"/>
      <c r="Q104" s="275"/>
      <c r="R104" s="275"/>
      <c r="S104" s="275"/>
      <c r="T104" s="275"/>
      <c r="U104" s="275"/>
      <c r="V104" s="275"/>
      <c r="W104" s="271"/>
      <c r="X104" s="272"/>
    </row>
    <row r="105" spans="2:24" ht="27" customHeight="1" x14ac:dyDescent="0.45">
      <c r="B105" s="142" t="s">
        <v>349</v>
      </c>
      <c r="C105" s="275"/>
      <c r="D105" s="275"/>
      <c r="E105" s="275"/>
      <c r="F105" s="275"/>
      <c r="G105" s="275"/>
      <c r="H105" s="275"/>
      <c r="I105" s="275"/>
      <c r="J105" s="275"/>
      <c r="K105" s="275"/>
      <c r="L105" s="275"/>
      <c r="M105" s="275"/>
      <c r="N105" s="275"/>
      <c r="O105" s="275"/>
      <c r="P105" s="275"/>
      <c r="Q105" s="275"/>
      <c r="R105" s="275"/>
      <c r="S105" s="275"/>
      <c r="T105" s="275"/>
      <c r="U105" s="275"/>
      <c r="V105" s="275"/>
      <c r="W105" s="271"/>
      <c r="X105" s="272"/>
    </row>
    <row r="106" spans="2:24" ht="27" customHeight="1" x14ac:dyDescent="0.45">
      <c r="B106" s="142" t="s">
        <v>350</v>
      </c>
      <c r="C106" s="275"/>
      <c r="D106" s="275"/>
      <c r="E106" s="275"/>
      <c r="F106" s="275"/>
      <c r="G106" s="275"/>
      <c r="H106" s="275"/>
      <c r="I106" s="275"/>
      <c r="J106" s="275"/>
      <c r="K106" s="275"/>
      <c r="L106" s="275"/>
      <c r="M106" s="275"/>
      <c r="N106" s="275"/>
      <c r="O106" s="275"/>
      <c r="P106" s="275"/>
      <c r="Q106" s="275"/>
      <c r="R106" s="275"/>
      <c r="S106" s="275"/>
      <c r="T106" s="275"/>
      <c r="U106" s="275"/>
      <c r="V106" s="275"/>
      <c r="W106" s="271"/>
      <c r="X106" s="272"/>
    </row>
    <row r="107" spans="2:24" ht="27" customHeight="1" x14ac:dyDescent="0.45">
      <c r="B107" s="142" t="s">
        <v>351</v>
      </c>
      <c r="C107" s="275"/>
      <c r="D107" s="275"/>
      <c r="E107" s="275"/>
      <c r="F107" s="275"/>
      <c r="G107" s="275"/>
      <c r="H107" s="275"/>
      <c r="I107" s="275"/>
      <c r="J107" s="275"/>
      <c r="K107" s="275"/>
      <c r="L107" s="275"/>
      <c r="M107" s="275"/>
      <c r="N107" s="275"/>
      <c r="O107" s="275"/>
      <c r="P107" s="275"/>
      <c r="Q107" s="275"/>
      <c r="R107" s="275"/>
      <c r="S107" s="275"/>
      <c r="T107" s="275"/>
      <c r="U107" s="275"/>
      <c r="V107" s="275"/>
      <c r="W107" s="271"/>
      <c r="X107" s="272"/>
    </row>
    <row r="108" spans="2:24" ht="27" customHeight="1" x14ac:dyDescent="0.45">
      <c r="B108" s="142" t="s">
        <v>352</v>
      </c>
      <c r="C108" s="275"/>
      <c r="D108" s="275"/>
      <c r="E108" s="275"/>
      <c r="F108" s="275"/>
      <c r="G108" s="275"/>
      <c r="H108" s="275"/>
      <c r="I108" s="275"/>
      <c r="J108" s="275"/>
      <c r="K108" s="275"/>
      <c r="L108" s="275"/>
      <c r="M108" s="275"/>
      <c r="N108" s="275"/>
      <c r="O108" s="275"/>
      <c r="P108" s="275"/>
      <c r="Q108" s="275"/>
      <c r="R108" s="275"/>
      <c r="S108" s="275"/>
      <c r="T108" s="275"/>
      <c r="U108" s="275"/>
      <c r="V108" s="275"/>
      <c r="W108" s="271"/>
      <c r="X108" s="272"/>
    </row>
    <row r="109" spans="2:24" ht="27" customHeight="1" x14ac:dyDescent="0.45">
      <c r="B109" s="142" t="s">
        <v>353</v>
      </c>
      <c r="C109" s="275"/>
      <c r="D109" s="275"/>
      <c r="E109" s="275"/>
      <c r="F109" s="275"/>
      <c r="G109" s="275"/>
      <c r="H109" s="275"/>
      <c r="I109" s="275"/>
      <c r="J109" s="275"/>
      <c r="K109" s="275"/>
      <c r="L109" s="275"/>
      <c r="M109" s="275"/>
      <c r="N109" s="275"/>
      <c r="O109" s="275"/>
      <c r="P109" s="275"/>
      <c r="Q109" s="275"/>
      <c r="R109" s="275"/>
      <c r="S109" s="275"/>
      <c r="T109" s="275"/>
      <c r="U109" s="275"/>
      <c r="V109" s="275"/>
      <c r="W109" s="271"/>
      <c r="X109" s="272"/>
    </row>
    <row r="110" spans="2:24" ht="27" customHeight="1" x14ac:dyDescent="0.45">
      <c r="B110" s="142" t="s">
        <v>354</v>
      </c>
      <c r="C110" s="275"/>
      <c r="D110" s="275"/>
      <c r="E110" s="275"/>
      <c r="F110" s="275"/>
      <c r="G110" s="275"/>
      <c r="H110" s="275"/>
      <c r="I110" s="275"/>
      <c r="J110" s="275"/>
      <c r="K110" s="275"/>
      <c r="L110" s="275"/>
      <c r="M110" s="275"/>
      <c r="N110" s="275"/>
      <c r="O110" s="275"/>
      <c r="P110" s="275"/>
      <c r="Q110" s="275"/>
      <c r="R110" s="275"/>
      <c r="S110" s="275"/>
      <c r="T110" s="275"/>
      <c r="U110" s="275"/>
      <c r="V110" s="275"/>
      <c r="W110" s="271"/>
      <c r="X110" s="272"/>
    </row>
    <row r="111" spans="2:24" ht="27" customHeight="1" x14ac:dyDescent="0.45">
      <c r="B111" s="142" t="s">
        <v>355</v>
      </c>
      <c r="C111" s="275"/>
      <c r="D111" s="275"/>
      <c r="E111" s="275"/>
      <c r="F111" s="275"/>
      <c r="G111" s="275"/>
      <c r="H111" s="275"/>
      <c r="I111" s="275"/>
      <c r="J111" s="275"/>
      <c r="K111" s="275"/>
      <c r="L111" s="275"/>
      <c r="M111" s="275"/>
      <c r="N111" s="275"/>
      <c r="O111" s="275"/>
      <c r="P111" s="275"/>
      <c r="Q111" s="275"/>
      <c r="R111" s="275"/>
      <c r="S111" s="275"/>
      <c r="T111" s="275"/>
      <c r="U111" s="275"/>
      <c r="V111" s="275"/>
      <c r="W111" s="271"/>
      <c r="X111" s="272"/>
    </row>
    <row r="112" spans="2:24" ht="27" customHeight="1" x14ac:dyDescent="0.45">
      <c r="B112" s="143" t="s">
        <v>356</v>
      </c>
      <c r="C112" s="276"/>
      <c r="D112" s="276"/>
      <c r="E112" s="276"/>
      <c r="F112" s="276"/>
      <c r="G112" s="276"/>
      <c r="H112" s="276"/>
      <c r="I112" s="276"/>
      <c r="J112" s="276"/>
      <c r="K112" s="276"/>
      <c r="L112" s="276"/>
      <c r="M112" s="276"/>
      <c r="N112" s="276"/>
      <c r="O112" s="276"/>
      <c r="P112" s="276"/>
      <c r="Q112" s="276"/>
      <c r="R112" s="276"/>
      <c r="S112" s="276"/>
      <c r="T112" s="276"/>
      <c r="U112" s="276"/>
      <c r="V112" s="276"/>
      <c r="W112" s="273"/>
      <c r="X112" s="274"/>
    </row>
    <row r="113" spans="2:27" x14ac:dyDescent="0.45">
      <c r="B113" s="36"/>
      <c r="C113" s="37"/>
    </row>
    <row r="114" spans="2:27" ht="14.25" customHeight="1" thickBot="1" x14ac:dyDescent="0.5">
      <c r="B114" s="37"/>
      <c r="C114" s="37"/>
    </row>
    <row r="115" spans="2:27" ht="36" customHeight="1" thickBot="1" x14ac:dyDescent="0.5">
      <c r="B115" s="293" t="s">
        <v>212</v>
      </c>
      <c r="C115" s="294"/>
      <c r="D115" s="294"/>
      <c r="E115" s="294"/>
      <c r="F115" s="295"/>
      <c r="G115" s="310" t="s">
        <v>543</v>
      </c>
      <c r="H115" s="311"/>
      <c r="M115" s="44"/>
      <c r="N115" s="44"/>
      <c r="O115" s="44"/>
      <c r="P115" s="44"/>
      <c r="Q115" s="44"/>
      <c r="R115" s="44"/>
      <c r="S115" s="44"/>
      <c r="T115" s="44"/>
      <c r="U115" s="44"/>
      <c r="V115" s="44"/>
      <c r="W115" s="44"/>
    </row>
    <row r="116" spans="2:27" ht="27" customHeight="1" x14ac:dyDescent="0.45">
      <c r="B116" s="110" t="str">
        <f>IF(G115="実施を選択","",IF(G115="はい","※「はい」を選択した場合は、【３．空調設備の新旧仕様入力表】に必要事項を入力してください。","※「いいえ」を選択した場合は、【３．空調設備の新旧仕様表】の入力は不要です。"))</f>
        <v/>
      </c>
      <c r="C116" s="29"/>
      <c r="M116" s="44"/>
      <c r="N116" s="44"/>
      <c r="O116" s="44"/>
      <c r="P116" s="44"/>
      <c r="Q116" s="44"/>
      <c r="R116" s="44"/>
      <c r="S116" s="44"/>
      <c r="T116" s="44"/>
      <c r="U116" s="44"/>
      <c r="V116" s="44"/>
      <c r="W116" s="44"/>
    </row>
    <row r="117" spans="2:27" ht="8.25" customHeight="1" x14ac:dyDescent="0.45">
      <c r="B117" s="110"/>
      <c r="C117" s="29"/>
      <c r="M117" s="44"/>
      <c r="N117" s="44"/>
      <c r="O117" s="44"/>
      <c r="P117" s="44"/>
      <c r="Q117" s="44"/>
      <c r="R117" s="44"/>
      <c r="S117" s="44"/>
      <c r="T117" s="44"/>
      <c r="U117" s="44"/>
      <c r="V117" s="44"/>
      <c r="W117" s="44"/>
    </row>
    <row r="118" spans="2:27" ht="42.75" customHeight="1" x14ac:dyDescent="0.45">
      <c r="B118" s="28" t="s">
        <v>197</v>
      </c>
      <c r="C118" s="29"/>
      <c r="F118" s="285" t="s">
        <v>254</v>
      </c>
      <c r="G118" s="286"/>
      <c r="H118" s="268" t="str">
        <f>IF($G$115="実施を選択","実施確認：空調設備の更新＜はい＞又は、＜いいえ＞を選択してください。",IF(OR($G$115="いいえ",$G$115="実施を選択"),"",IF(AND(G115="はい",AE139=0),"旧設備について入力してください。",IF(OR(X137="入力確認",X138="入力確認",X139="入力確認"),"旧設備の入力をご確認ください。",IF(AND(G115="はい",AE160=0),"新設備について入力してください。",IF(OR(X158="入力確認",X159="入力確認",X160="入力確認"),"新設備の入力をご確認ください。",IF(AND(G115&lt;&gt;"はい",X132-X153&lt;&gt;0),"実施確認：空調設備の更新＜はい＞を選択してください。",IF(AND(G115="はい",X132-X153&gt;0),"省エネ設備更新の要件を満たしています。","省エネ設備更新の要件を満たしていないため、申請できません。"))))))))</f>
        <v>実施確認：空調設備の更新＜はい＞又は、＜いいえ＞を選択してください。</v>
      </c>
      <c r="I118" s="269"/>
      <c r="J118" s="269"/>
      <c r="K118" s="269"/>
      <c r="L118" s="269"/>
      <c r="M118" s="269"/>
      <c r="N118" s="269"/>
      <c r="O118" s="270"/>
      <c r="P118" s="44"/>
      <c r="Q118" s="44"/>
      <c r="R118" s="44"/>
      <c r="S118" s="44"/>
      <c r="T118" s="44"/>
      <c r="U118" s="44"/>
      <c r="V118" s="44"/>
      <c r="W118" s="44"/>
    </row>
    <row r="119" spans="2:27" ht="9" customHeight="1" x14ac:dyDescent="0.45">
      <c r="B119" s="28"/>
      <c r="C119" s="29"/>
      <c r="M119" s="44"/>
      <c r="N119" s="44"/>
      <c r="O119" s="44"/>
      <c r="P119" s="44"/>
      <c r="Q119" s="44"/>
      <c r="R119" s="44"/>
      <c r="S119" s="44"/>
      <c r="T119" s="44"/>
      <c r="U119" s="44"/>
      <c r="V119" s="44"/>
      <c r="W119" s="44"/>
    </row>
    <row r="120" spans="2:27" ht="42" customHeight="1" thickBot="1" x14ac:dyDescent="0.5">
      <c r="B120" s="181" t="s">
        <v>509</v>
      </c>
      <c r="C120" s="30"/>
    </row>
    <row r="121" spans="2:27" ht="27" customHeight="1" thickBot="1" x14ac:dyDescent="0.5">
      <c r="B121" s="282" t="s">
        <v>122</v>
      </c>
      <c r="C121" s="282"/>
      <c r="D121" s="31" t="s">
        <v>293</v>
      </c>
      <c r="E121" s="31" t="s">
        <v>294</v>
      </c>
      <c r="F121" s="31" t="s">
        <v>295</v>
      </c>
      <c r="G121" s="31" t="s">
        <v>296</v>
      </c>
      <c r="H121" s="31" t="s">
        <v>297</v>
      </c>
      <c r="I121" s="31" t="s">
        <v>298</v>
      </c>
      <c r="J121" s="31" t="s">
        <v>299</v>
      </c>
      <c r="K121" s="31" t="s">
        <v>300</v>
      </c>
      <c r="L121" s="31" t="s">
        <v>301</v>
      </c>
      <c r="M121" s="31" t="s">
        <v>302</v>
      </c>
      <c r="N121" s="31" t="s">
        <v>357</v>
      </c>
      <c r="O121" s="31" t="s">
        <v>358</v>
      </c>
      <c r="P121" s="31" t="s">
        <v>359</v>
      </c>
      <c r="Q121" s="31" t="s">
        <v>360</v>
      </c>
      <c r="R121" s="31" t="s">
        <v>361</v>
      </c>
      <c r="S121" s="31" t="s">
        <v>362</v>
      </c>
      <c r="T121" s="31" t="s">
        <v>363</v>
      </c>
      <c r="U121" s="31" t="s">
        <v>364</v>
      </c>
      <c r="V121" s="31" t="s">
        <v>365</v>
      </c>
      <c r="W121" s="31" t="s">
        <v>366</v>
      </c>
      <c r="X121" s="38" t="s">
        <v>0</v>
      </c>
      <c r="Z121" s="79" t="s">
        <v>432</v>
      </c>
      <c r="AA121" s="185"/>
    </row>
    <row r="122" spans="2:27" ht="63" customHeight="1" thickBot="1" x14ac:dyDescent="0.5">
      <c r="B122" s="290" t="s">
        <v>271</v>
      </c>
      <c r="C122" s="290"/>
      <c r="D122" s="2"/>
      <c r="E122" s="2"/>
      <c r="F122" s="2"/>
      <c r="G122" s="2"/>
      <c r="H122" s="2"/>
      <c r="I122" s="2"/>
      <c r="J122" s="2"/>
      <c r="K122" s="2"/>
      <c r="L122" s="2"/>
      <c r="M122" s="2"/>
      <c r="N122" s="2"/>
      <c r="O122" s="2"/>
      <c r="P122" s="2"/>
      <c r="Q122" s="2"/>
      <c r="R122" s="2"/>
      <c r="S122" s="2"/>
      <c r="T122" s="2"/>
      <c r="U122" s="2"/>
      <c r="V122" s="2"/>
      <c r="W122" s="2"/>
      <c r="X122" s="32" t="s">
        <v>10</v>
      </c>
      <c r="Z122" s="79" t="s">
        <v>435</v>
      </c>
      <c r="AA122" s="185"/>
    </row>
    <row r="123" spans="2:27" ht="27" customHeight="1" thickBot="1" x14ac:dyDescent="0.5">
      <c r="B123" s="287" t="s">
        <v>3</v>
      </c>
      <c r="C123" s="287"/>
      <c r="D123" s="196"/>
      <c r="E123" s="196"/>
      <c r="F123" s="196"/>
      <c r="G123" s="196"/>
      <c r="H123" s="196"/>
      <c r="I123" s="196"/>
      <c r="J123" s="196"/>
      <c r="K123" s="196"/>
      <c r="L123" s="196"/>
      <c r="M123" s="196"/>
      <c r="N123" s="196"/>
      <c r="O123" s="196"/>
      <c r="P123" s="196"/>
      <c r="Q123" s="196"/>
      <c r="R123" s="196"/>
      <c r="S123" s="196"/>
      <c r="T123" s="196"/>
      <c r="U123" s="196"/>
      <c r="V123" s="196"/>
      <c r="W123" s="196"/>
      <c r="X123" s="170" t="str">
        <f>IF(SUM(D123:W123)=0,"",SUM(D123:W123))</f>
        <v/>
      </c>
      <c r="Z123" s="79"/>
    </row>
    <row r="124" spans="2:27" ht="27" customHeight="1" x14ac:dyDescent="0.45">
      <c r="B124" s="291" t="s">
        <v>16</v>
      </c>
      <c r="C124" s="292"/>
      <c r="D124" s="21"/>
      <c r="E124" s="21"/>
      <c r="F124" s="21"/>
      <c r="G124" s="21"/>
      <c r="H124" s="21"/>
      <c r="I124" s="21"/>
      <c r="J124" s="21"/>
      <c r="K124" s="21"/>
      <c r="L124" s="21"/>
      <c r="M124" s="21"/>
      <c r="N124" s="21"/>
      <c r="O124" s="21"/>
      <c r="P124" s="21"/>
      <c r="Q124" s="21"/>
      <c r="R124" s="21"/>
      <c r="S124" s="21"/>
      <c r="T124" s="21"/>
      <c r="U124" s="21"/>
      <c r="V124" s="21"/>
      <c r="W124" s="21"/>
      <c r="X124" s="40" t="s">
        <v>10</v>
      </c>
      <c r="Z124" s="79" t="s">
        <v>436</v>
      </c>
    </row>
    <row r="125" spans="2:27" ht="27" customHeight="1" x14ac:dyDescent="0.45">
      <c r="B125" s="296" t="s">
        <v>108</v>
      </c>
      <c r="C125" s="297"/>
      <c r="D125" s="21"/>
      <c r="E125" s="21"/>
      <c r="F125" s="21"/>
      <c r="G125" s="21"/>
      <c r="H125" s="21"/>
      <c r="I125" s="21"/>
      <c r="J125" s="21"/>
      <c r="K125" s="21"/>
      <c r="L125" s="21"/>
      <c r="M125" s="21"/>
      <c r="N125" s="21"/>
      <c r="O125" s="21"/>
      <c r="P125" s="21"/>
      <c r="Q125" s="21"/>
      <c r="R125" s="21"/>
      <c r="S125" s="21"/>
      <c r="T125" s="21"/>
      <c r="U125" s="21"/>
      <c r="V125" s="21"/>
      <c r="W125" s="21"/>
      <c r="X125" s="40" t="s">
        <v>10</v>
      </c>
      <c r="Z125" s="79" t="s">
        <v>434</v>
      </c>
    </row>
    <row r="126" spans="2:27" ht="27" customHeight="1" x14ac:dyDescent="0.45">
      <c r="B126" s="318" t="s">
        <v>512</v>
      </c>
      <c r="C126" s="50" t="s">
        <v>7</v>
      </c>
      <c r="D126" s="239"/>
      <c r="E126" s="239"/>
      <c r="F126" s="239"/>
      <c r="G126" s="239"/>
      <c r="H126" s="239"/>
      <c r="I126" s="239"/>
      <c r="J126" s="239"/>
      <c r="K126" s="239"/>
      <c r="L126" s="239"/>
      <c r="M126" s="239"/>
      <c r="N126" s="239"/>
      <c r="O126" s="239"/>
      <c r="P126" s="239"/>
      <c r="Q126" s="239"/>
      <c r="R126" s="239"/>
      <c r="S126" s="239"/>
      <c r="T126" s="239"/>
      <c r="U126" s="239"/>
      <c r="V126" s="239"/>
      <c r="W126" s="239"/>
      <c r="X126" s="40" t="s">
        <v>10</v>
      </c>
      <c r="Z126" s="146"/>
    </row>
    <row r="127" spans="2:27" ht="27" customHeight="1" x14ac:dyDescent="0.45">
      <c r="B127" s="319"/>
      <c r="C127" s="50" t="s">
        <v>8</v>
      </c>
      <c r="D127" s="239"/>
      <c r="E127" s="239"/>
      <c r="F127" s="239"/>
      <c r="G127" s="239"/>
      <c r="H127" s="239"/>
      <c r="I127" s="239"/>
      <c r="J127" s="239"/>
      <c r="K127" s="239"/>
      <c r="L127" s="239"/>
      <c r="M127" s="239"/>
      <c r="N127" s="239"/>
      <c r="O127" s="239"/>
      <c r="P127" s="239"/>
      <c r="Q127" s="239"/>
      <c r="R127" s="239"/>
      <c r="S127" s="239"/>
      <c r="T127" s="239"/>
      <c r="U127" s="239"/>
      <c r="V127" s="239"/>
      <c r="W127" s="239"/>
      <c r="X127" s="35" t="s">
        <v>10</v>
      </c>
      <c r="Z127" s="146"/>
    </row>
    <row r="128" spans="2:27" ht="27" customHeight="1" x14ac:dyDescent="0.45">
      <c r="B128" s="318" t="s">
        <v>202</v>
      </c>
      <c r="C128" s="50" t="s">
        <v>7</v>
      </c>
      <c r="D128" s="238"/>
      <c r="E128" s="238"/>
      <c r="F128" s="238"/>
      <c r="G128" s="238"/>
      <c r="H128" s="238"/>
      <c r="I128" s="238"/>
      <c r="J128" s="238"/>
      <c r="K128" s="238"/>
      <c r="L128" s="238"/>
      <c r="M128" s="238"/>
      <c r="N128" s="238"/>
      <c r="O128" s="238"/>
      <c r="P128" s="238"/>
      <c r="Q128" s="238"/>
      <c r="R128" s="238"/>
      <c r="S128" s="238"/>
      <c r="T128" s="238"/>
      <c r="U128" s="238"/>
      <c r="V128" s="238"/>
      <c r="W128" s="238"/>
      <c r="X128" s="32" t="s">
        <v>10</v>
      </c>
      <c r="Z128" s="146"/>
    </row>
    <row r="129" spans="2:32" ht="27" customHeight="1" x14ac:dyDescent="0.45">
      <c r="B129" s="320"/>
      <c r="C129" s="50" t="s">
        <v>8</v>
      </c>
      <c r="D129" s="238"/>
      <c r="E129" s="238"/>
      <c r="F129" s="238"/>
      <c r="G129" s="238"/>
      <c r="H129" s="238"/>
      <c r="I129" s="238"/>
      <c r="J129" s="238"/>
      <c r="K129" s="238"/>
      <c r="L129" s="238"/>
      <c r="M129" s="238"/>
      <c r="N129" s="238"/>
      <c r="O129" s="238"/>
      <c r="P129" s="238"/>
      <c r="Q129" s="238"/>
      <c r="R129" s="238"/>
      <c r="S129" s="238"/>
      <c r="T129" s="238"/>
      <c r="U129" s="238"/>
      <c r="V129" s="238"/>
      <c r="W129" s="238"/>
      <c r="X129" s="35" t="s">
        <v>10</v>
      </c>
      <c r="Z129" s="146"/>
    </row>
    <row r="130" spans="2:32" ht="27" customHeight="1" thickBot="1" x14ac:dyDescent="0.5">
      <c r="B130" s="319"/>
      <c r="C130" s="50" t="s">
        <v>88</v>
      </c>
      <c r="D130" s="22"/>
      <c r="E130" s="22"/>
      <c r="F130" s="22"/>
      <c r="G130" s="22"/>
      <c r="H130" s="22"/>
      <c r="I130" s="22"/>
      <c r="J130" s="22"/>
      <c r="K130" s="22"/>
      <c r="L130" s="22"/>
      <c r="M130" s="22"/>
      <c r="N130" s="22"/>
      <c r="O130" s="22"/>
      <c r="P130" s="22"/>
      <c r="Q130" s="22"/>
      <c r="R130" s="22"/>
      <c r="S130" s="22"/>
      <c r="T130" s="22"/>
      <c r="U130" s="22"/>
      <c r="V130" s="22"/>
      <c r="W130" s="22"/>
      <c r="X130" s="35" t="s">
        <v>10</v>
      </c>
      <c r="Z130" s="79" t="s">
        <v>437</v>
      </c>
    </row>
    <row r="131" spans="2:32" ht="45.75" customHeight="1" x14ac:dyDescent="0.45">
      <c r="B131" s="301" t="s">
        <v>204</v>
      </c>
      <c r="C131" s="317"/>
      <c r="D131" s="180" t="str">
        <f>IF(計算!$O31=1,計算!$R31,IF(計算!$O31=2,計算!$U31,IF(計算!$O31=3,計算!$X31,IF(計算!$O31=4,計算!$AA31,IF(計算!$O31=5,計算!$AD31,"")))))</f>
        <v/>
      </c>
      <c r="E131" s="176" t="str">
        <f>IF(計算!$O32=1,計算!$R32,IF(計算!$O32=2,計算!$U32,IF(計算!$O32=3,計算!$X32,IF(計算!$O32=4,計算!$AA32,IF(計算!$O32=5,計算!$AD32,"")))))</f>
        <v/>
      </c>
      <c r="F131" s="176" t="str">
        <f>IF(計算!$O33=1,計算!$R33,IF(計算!$O33=2,計算!$U33,IF(計算!$O33=3,計算!$X33,IF(計算!$O33=4,計算!$AA33,IF(計算!$O33=5,計算!$AD33,"")))))</f>
        <v/>
      </c>
      <c r="G131" s="176" t="str">
        <f>IF(計算!$O34=1,計算!$R34,IF(計算!$O34=2,計算!$U34,IF(計算!$O34=3,計算!$X34,IF(計算!$O34=4,計算!$AA34,IF(計算!$O34=5,計算!$AD34,"")))))</f>
        <v/>
      </c>
      <c r="H131" s="176" t="str">
        <f>IF(計算!$O35=1,計算!$R35,IF(計算!$O35=2,計算!$U35,IF(計算!$O35=3,計算!$X35,IF(計算!$O35=4,計算!$AA35,IF(計算!$O35=5,計算!$AD35,"")))))</f>
        <v/>
      </c>
      <c r="I131" s="176" t="str">
        <f>IF(計算!$O36=1,計算!$R36,IF(計算!$O36=2,計算!$U36,IF(計算!$O36=3,計算!$X36,IF(計算!$O36=4,計算!$AA36,IF(計算!$O36=5,計算!$AD36,"")))))</f>
        <v/>
      </c>
      <c r="J131" s="176" t="str">
        <f>IF(計算!$O37=1,計算!$R37,IF(計算!$O37=2,計算!$U37,IF(計算!$O37=3,計算!$X37,IF(計算!$O37=4,計算!$AA37,IF(計算!$O37=5,計算!$AD37,"")))))</f>
        <v/>
      </c>
      <c r="K131" s="176" t="str">
        <f>IF(計算!$O38=1,計算!$R38,IF(計算!$O38=2,計算!$U38,IF(計算!$O38=3,計算!$X38,IF(計算!$O38=4,計算!$AA38,IF(計算!$O38=5,計算!$AD38,"")))))</f>
        <v/>
      </c>
      <c r="L131" s="176" t="str">
        <f>IF(計算!$O39=1,計算!$R39,IF(計算!$O39=2,計算!$U39,IF(計算!$O39=3,計算!$X39,IF(計算!$O39=4,計算!$AA39,IF(計算!$O39=5,計算!$AD39,"")))))</f>
        <v/>
      </c>
      <c r="M131" s="176" t="str">
        <f>IF(計算!$O40=1,計算!$R40,IF(計算!$O40=2,計算!$U40,IF(計算!$O40=3,計算!$X40,IF(計算!$O40=4,計算!$AA40,IF(計算!$O40=5,計算!$AD40,"")))))</f>
        <v/>
      </c>
      <c r="N131" s="176" t="str">
        <f>IF(計算!$O41=1,計算!$R41,IF(計算!$O41=2,計算!$U41,IF(計算!$O41=3,計算!$X41,IF(計算!$O41=4,計算!$AA41,IF(計算!$O41=5,計算!$AD41,"")))))</f>
        <v/>
      </c>
      <c r="O131" s="176" t="str">
        <f>IF(計算!$O42=1,計算!$R42,IF(計算!$O42=2,計算!$U42,IF(計算!$O42=3,計算!$X42,IF(計算!$O42=4,計算!$AA42,IF(計算!$O42=5,計算!$AD42,"")))))</f>
        <v/>
      </c>
      <c r="P131" s="176" t="str">
        <f>IF(計算!$O43=1,計算!$R43,IF(計算!$O43=2,計算!$U43,IF(計算!$O43=3,計算!$X43,IF(計算!$O43=4,計算!$AA43,IF(計算!$O43=5,計算!$AD43,"")))))</f>
        <v/>
      </c>
      <c r="Q131" s="176" t="str">
        <f>IF(計算!$O44=1,計算!$R44,IF(計算!$O44=2,計算!$U44,IF(計算!$O44=3,計算!$X44,IF(計算!$O44=4,計算!$AA44,IF(計算!$O44=5,計算!$AD44,"")))))</f>
        <v/>
      </c>
      <c r="R131" s="176" t="str">
        <f>IF(計算!$O45=1,計算!$R45,IF(計算!$O45=2,計算!$U45,IF(計算!$O45=3,計算!$X45,IF(計算!$O45=4,計算!$AA45,IF(計算!$O45=5,計算!$AD45,"")))))</f>
        <v/>
      </c>
      <c r="S131" s="176" t="str">
        <f>IF(計算!$O46=1,計算!$R46,IF(計算!$O46=2,計算!$U46,IF(計算!$O46=3,計算!$X46,IF(計算!$O46=4,計算!$AA46,IF(計算!$O46=5,計算!$AD46,"")))))</f>
        <v/>
      </c>
      <c r="T131" s="176" t="str">
        <f>IF(計算!$O47=1,計算!$R47,IF(計算!$O47=2,計算!$U47,IF(計算!$O47=3,計算!$X47,IF(計算!$O47=4,計算!$AA47,IF(計算!$O47=5,計算!$AD47,"")))))</f>
        <v/>
      </c>
      <c r="U131" s="176" t="str">
        <f>IF(計算!$O48=1,計算!$R48,IF(計算!$O48=2,計算!$U48,IF(計算!$O48=3,計算!$X48,IF(計算!$O48=4,計算!$AA48,IF(計算!$O48=5,計算!$AD48,"")))))</f>
        <v/>
      </c>
      <c r="V131" s="176" t="str">
        <f>IF(計算!$O49=1,計算!$R49,IF(計算!$O49=2,計算!$U49,IF(計算!$O49=3,計算!$X49,IF(計算!$O49=4,計算!$AA49,IF(計算!$O49=5,計算!$AD49,"")))))</f>
        <v/>
      </c>
      <c r="W131" s="176" t="str">
        <f>IF(計算!$O50=1,計算!$R50,IF(計算!$O50=2,計算!$U50,IF(計算!$O50=3,計算!$X50,IF(計算!$O50=4,計算!$AA50,IF(計算!$O50=5,計算!$AD50,"")))))</f>
        <v/>
      </c>
      <c r="X131" s="177" t="str">
        <f>IF(SUM(D131:W131)=0,"",SUM(D131:W131))</f>
        <v/>
      </c>
    </row>
    <row r="132" spans="2:32" ht="27" customHeight="1" thickBot="1" x14ac:dyDescent="0.5">
      <c r="B132" s="316" t="s">
        <v>205</v>
      </c>
      <c r="C132" s="317"/>
      <c r="D132" s="178" t="str">
        <f>IF(D131="","",ROUND(D131*0.0258,2))</f>
        <v/>
      </c>
      <c r="E132" s="178" t="str">
        <f t="shared" ref="E132:M132" si="20">IF(E131="","",ROUND(E131*0.0258,2))</f>
        <v/>
      </c>
      <c r="F132" s="178" t="str">
        <f t="shared" si="20"/>
        <v/>
      </c>
      <c r="G132" s="178" t="str">
        <f t="shared" si="20"/>
        <v/>
      </c>
      <c r="H132" s="178" t="str">
        <f t="shared" si="20"/>
        <v/>
      </c>
      <c r="I132" s="178" t="str">
        <f t="shared" si="20"/>
        <v/>
      </c>
      <c r="J132" s="178" t="str">
        <f t="shared" si="20"/>
        <v/>
      </c>
      <c r="K132" s="178" t="str">
        <f t="shared" si="20"/>
        <v/>
      </c>
      <c r="L132" s="178" t="str">
        <f t="shared" si="20"/>
        <v/>
      </c>
      <c r="M132" s="178" t="str">
        <f t="shared" si="20"/>
        <v/>
      </c>
      <c r="N132" s="178" t="str">
        <f t="shared" ref="N132:V132" si="21">IF(N131="","",ROUND(N131*0.0258,2))</f>
        <v/>
      </c>
      <c r="O132" s="178" t="str">
        <f t="shared" si="21"/>
        <v/>
      </c>
      <c r="P132" s="178" t="str">
        <f t="shared" si="21"/>
        <v/>
      </c>
      <c r="Q132" s="178" t="str">
        <f t="shared" si="21"/>
        <v/>
      </c>
      <c r="R132" s="178" t="str">
        <f t="shared" si="21"/>
        <v/>
      </c>
      <c r="S132" s="178" t="str">
        <f t="shared" si="21"/>
        <v/>
      </c>
      <c r="T132" s="178" t="str">
        <f t="shared" si="21"/>
        <v/>
      </c>
      <c r="U132" s="178" t="str">
        <f t="shared" si="21"/>
        <v/>
      </c>
      <c r="V132" s="178" t="str">
        <f t="shared" si="21"/>
        <v/>
      </c>
      <c r="W132" s="178" t="str">
        <f t="shared" ref="W132" si="22">IF(W131="","",ROUND(W131*0.0258,2))</f>
        <v/>
      </c>
      <c r="X132" s="179" t="str">
        <f>IF(SUM(D132:W132)=0,"",SUM(D132:W132))</f>
        <v/>
      </c>
    </row>
    <row r="133" spans="2:32" ht="27" hidden="1" customHeight="1" x14ac:dyDescent="0.45">
      <c r="B133" s="312" t="s">
        <v>201</v>
      </c>
      <c r="C133" s="92" t="s">
        <v>199</v>
      </c>
      <c r="D133" s="171"/>
      <c r="E133" s="171"/>
      <c r="F133" s="171"/>
      <c r="G133" s="171"/>
      <c r="H133" s="171"/>
      <c r="I133" s="171"/>
      <c r="J133" s="171"/>
      <c r="K133" s="171"/>
      <c r="L133" s="171"/>
      <c r="M133" s="171"/>
      <c r="N133" s="171"/>
      <c r="O133" s="171"/>
      <c r="P133" s="171"/>
      <c r="Q133" s="171"/>
      <c r="R133" s="171"/>
      <c r="S133" s="171"/>
      <c r="T133" s="171"/>
      <c r="U133" s="171"/>
      <c r="V133" s="171"/>
      <c r="W133" s="171"/>
      <c r="X133" s="32" t="s">
        <v>10</v>
      </c>
    </row>
    <row r="134" spans="2:32" ht="27" hidden="1" customHeight="1" x14ac:dyDescent="0.45">
      <c r="B134" s="313"/>
      <c r="C134" s="92" t="s">
        <v>200</v>
      </c>
      <c r="D134" s="171" t="str">
        <f>IFERROR(((D126/D128)+(D127/D129))/2,"")</f>
        <v/>
      </c>
      <c r="E134" s="171" t="str">
        <f t="shared" ref="E134:W134" si="23">IFERROR(((E126/E128)+(E127/E129))/2,"")</f>
        <v/>
      </c>
      <c r="F134" s="171" t="str">
        <f t="shared" si="23"/>
        <v/>
      </c>
      <c r="G134" s="171" t="str">
        <f t="shared" si="23"/>
        <v/>
      </c>
      <c r="H134" s="171" t="str">
        <f t="shared" si="23"/>
        <v/>
      </c>
      <c r="I134" s="171" t="str">
        <f t="shared" si="23"/>
        <v/>
      </c>
      <c r="J134" s="171" t="str">
        <f t="shared" si="23"/>
        <v/>
      </c>
      <c r="K134" s="171" t="str">
        <f t="shared" si="23"/>
        <v/>
      </c>
      <c r="L134" s="171" t="str">
        <f t="shared" si="23"/>
        <v/>
      </c>
      <c r="M134" s="171" t="str">
        <f t="shared" si="23"/>
        <v/>
      </c>
      <c r="N134" s="171" t="str">
        <f t="shared" si="23"/>
        <v/>
      </c>
      <c r="O134" s="171" t="str">
        <f t="shared" si="23"/>
        <v/>
      </c>
      <c r="P134" s="171" t="str">
        <f t="shared" si="23"/>
        <v/>
      </c>
      <c r="Q134" s="171" t="str">
        <f t="shared" si="23"/>
        <v/>
      </c>
      <c r="R134" s="171" t="str">
        <f t="shared" si="23"/>
        <v/>
      </c>
      <c r="S134" s="171" t="str">
        <f t="shared" si="23"/>
        <v/>
      </c>
      <c r="T134" s="171" t="str">
        <f t="shared" si="23"/>
        <v/>
      </c>
      <c r="U134" s="171" t="str">
        <f t="shared" si="23"/>
        <v/>
      </c>
      <c r="V134" s="171" t="str">
        <f t="shared" si="23"/>
        <v/>
      </c>
      <c r="W134" s="171" t="str">
        <f t="shared" si="23"/>
        <v/>
      </c>
      <c r="X134" s="35" t="s">
        <v>10</v>
      </c>
    </row>
    <row r="135" spans="2:32" hidden="1" x14ac:dyDescent="0.45">
      <c r="B135" s="129" t="s">
        <v>280</v>
      </c>
      <c r="C135" s="129"/>
      <c r="D135" s="130">
        <f t="shared" ref="D135:M135" si="24">IF(D$122="",9,IF(OR(D$122="電気式パッケージ形空調機",D$122="ルームエアコン"),1,IF(AND(D$122="ガスヒートポンプ式空調機",D$124="都市ガス",D$130="kW"),2,IF(AND(D$122="ガスヒートポンプ式空調機",D$124="都市ガス",D$130="ｍ3N/h"),3,IF(AND(D$122="ガスヒートポンプ式空調機",D$124="LPG",D$130="kW"),4,IF(AND(D$122="ガスヒートポンプ式空調機",D$124="LPG",D$130="kg/h"),5,0))))))</f>
        <v>9</v>
      </c>
      <c r="E135" s="130">
        <f t="shared" si="24"/>
        <v>9</v>
      </c>
      <c r="F135" s="130">
        <f t="shared" si="24"/>
        <v>9</v>
      </c>
      <c r="G135" s="130">
        <f t="shared" si="24"/>
        <v>9</v>
      </c>
      <c r="H135" s="130">
        <f t="shared" si="24"/>
        <v>9</v>
      </c>
      <c r="I135" s="130">
        <f t="shared" si="24"/>
        <v>9</v>
      </c>
      <c r="J135" s="130">
        <f t="shared" si="24"/>
        <v>9</v>
      </c>
      <c r="K135" s="130">
        <f t="shared" si="24"/>
        <v>9</v>
      </c>
      <c r="L135" s="130">
        <f t="shared" si="24"/>
        <v>9</v>
      </c>
      <c r="M135" s="130">
        <f t="shared" si="24"/>
        <v>9</v>
      </c>
      <c r="N135" s="130">
        <f t="shared" ref="N135:W135" si="25">IF(N$122="",9,IF(OR(N$122="電気式パッケージ形空調機",N$122="ルームエアコン"),1,IF(AND(N$122="ガスヒートポンプ式空調機",N$124="都市ガス",N$130="kW"),2,IF(AND(N$122="ガスヒートポンプ式空調機",N$124="都市ガス",N$130="ｍ3N/h"),3,IF(AND(N$122="ガスヒートポンプ式空調機",N$124="LPG",N$130="kW"),4,IF(AND(N$122="ガスヒートポンプ式空調機",N$124="LPG",N$130="kg/h"),5,0))))))</f>
        <v>9</v>
      </c>
      <c r="O135" s="130">
        <f>IF(O$122="",9,IF(OR(O$122="電気式パッケージ形空調機",O$122="ルームエアコン"),1,IF(AND(O$122="ガスヒートポンプ式空調機",O$124="都市ガス",O$130="kW"),2,IF(AND(O$122="ガスヒートポンプ式空調機",O$124="都市ガス",O$130="ｍ3N/h"),3,IF(AND(O$122="ガスヒートポンプ式空調機",O$124="LPG",O$130="kW"),4,IF(AND(O$122="ガスヒートポンプ式空調機",O$124="LPG",O$130="kg/h"),5,0))))))</f>
        <v>9</v>
      </c>
      <c r="P135" s="130">
        <f t="shared" si="25"/>
        <v>9</v>
      </c>
      <c r="Q135" s="130">
        <f t="shared" si="25"/>
        <v>9</v>
      </c>
      <c r="R135" s="130">
        <f t="shared" si="25"/>
        <v>9</v>
      </c>
      <c r="S135" s="130">
        <f t="shared" si="25"/>
        <v>9</v>
      </c>
      <c r="T135" s="130">
        <f t="shared" si="25"/>
        <v>9</v>
      </c>
      <c r="U135" s="130">
        <f t="shared" si="25"/>
        <v>9</v>
      </c>
      <c r="V135" s="130">
        <f t="shared" si="25"/>
        <v>9</v>
      </c>
      <c r="W135" s="130">
        <f t="shared" si="25"/>
        <v>9</v>
      </c>
      <c r="X135" s="109"/>
      <c r="Y135" s="131">
        <f>COUNTIF($D135:$W135,0)</f>
        <v>0</v>
      </c>
      <c r="Z135" s="186">
        <f>COUNTIF($D135:$W135,1)</f>
        <v>0</v>
      </c>
      <c r="AA135" s="186">
        <f>COUNTIF($D135:$W135,2)</f>
        <v>0</v>
      </c>
      <c r="AB135" s="186">
        <f>COUNTIF($D135:$W135,3)</f>
        <v>0</v>
      </c>
      <c r="AC135" s="131">
        <f>COUNTIF($D135:$W135,4)</f>
        <v>0</v>
      </c>
      <c r="AD135" s="131">
        <f>COUNTIF($D135:$W135,5)</f>
        <v>0</v>
      </c>
      <c r="AE135" s="131"/>
      <c r="AF135" s="117">
        <v>119</v>
      </c>
    </row>
    <row r="136" spans="2:32" hidden="1" x14ac:dyDescent="0.45">
      <c r="B136" s="129" t="s">
        <v>279</v>
      </c>
      <c r="C136" s="129"/>
      <c r="D136" s="130">
        <f>IF(AND(D$124="",D$130=""),9,IF(AND(D$124="電気",D$130="kW"),1,IF(AND(D$124="都市ガス",D$130="kW"),2,IF(AND(D$124="都市ガス",D$130="ｍ3N/h"),3,IF(AND(D$124="LPG",D$130="kW"),4,IF(AND(D$124="LPG",D$130="kg/h"),5,0))))))</f>
        <v>9</v>
      </c>
      <c r="E136" s="130">
        <f t="shared" ref="E136:W136" si="26">IF(AND(E$124="",E$130=""),9,IF(AND(E$124="電気",E$130="kW"),1,IF(AND(E$124="都市ガス",E$130="kW"),2,IF(AND(E$124="都市ガス",E$130="ｍ3N/h"),3,IF(AND(E$124="LPG",E$130="kW"),4,IF(AND(E$124="LPG",E$130="kg/h"),5,0))))))</f>
        <v>9</v>
      </c>
      <c r="F136" s="130">
        <f t="shared" si="26"/>
        <v>9</v>
      </c>
      <c r="G136" s="130">
        <f t="shared" si="26"/>
        <v>9</v>
      </c>
      <c r="H136" s="130">
        <f t="shared" si="26"/>
        <v>9</v>
      </c>
      <c r="I136" s="130">
        <f t="shared" si="26"/>
        <v>9</v>
      </c>
      <c r="J136" s="130">
        <f t="shared" si="26"/>
        <v>9</v>
      </c>
      <c r="K136" s="130">
        <f t="shared" si="26"/>
        <v>9</v>
      </c>
      <c r="L136" s="130">
        <f t="shared" si="26"/>
        <v>9</v>
      </c>
      <c r="M136" s="130">
        <f t="shared" si="26"/>
        <v>9</v>
      </c>
      <c r="N136" s="130">
        <f t="shared" si="26"/>
        <v>9</v>
      </c>
      <c r="O136" s="130">
        <f>IF(AND(O$124="",O$130=""),9,IF(AND(O$124="電気",O$130="kW"),1,IF(AND(O$124="都市ガス",O$130="kW"),2,IF(AND(O$124="都市ガス",O$130="ｍ3N/h"),3,IF(AND(O$124="LPG",O$130="kW"),4,IF(AND(O$124="LPG",O$130="kg/h"),5,0))))))</f>
        <v>9</v>
      </c>
      <c r="P136" s="130">
        <f t="shared" si="26"/>
        <v>9</v>
      </c>
      <c r="Q136" s="130">
        <f t="shared" si="26"/>
        <v>9</v>
      </c>
      <c r="R136" s="130">
        <f t="shared" si="26"/>
        <v>9</v>
      </c>
      <c r="S136" s="130">
        <f t="shared" si="26"/>
        <v>9</v>
      </c>
      <c r="T136" s="130">
        <f t="shared" si="26"/>
        <v>9</v>
      </c>
      <c r="U136" s="130">
        <f t="shared" si="26"/>
        <v>9</v>
      </c>
      <c r="V136" s="130">
        <f t="shared" si="26"/>
        <v>9</v>
      </c>
      <c r="W136" s="130">
        <f t="shared" si="26"/>
        <v>9</v>
      </c>
      <c r="X136" s="109"/>
      <c r="Y136" s="131">
        <f>COUNTIF($D136:$W136,0)</f>
        <v>0</v>
      </c>
      <c r="Z136" s="186">
        <f>COUNTIF($D136:$W136,1)</f>
        <v>0</v>
      </c>
      <c r="AA136" s="186">
        <f>COUNTIF($D136:$W136,2)</f>
        <v>0</v>
      </c>
      <c r="AB136" s="186">
        <f>COUNTIF($D136:$W136,3)</f>
        <v>0</v>
      </c>
      <c r="AC136" s="131">
        <f>COUNTIF($D136:$W136,4)</f>
        <v>0</v>
      </c>
      <c r="AD136" s="131">
        <f>COUNTIF($D136:$W136,5)</f>
        <v>0</v>
      </c>
      <c r="AE136" s="131"/>
      <c r="AF136" s="117">
        <v>120</v>
      </c>
    </row>
    <row r="137" spans="2:32" hidden="1" x14ac:dyDescent="0.45">
      <c r="B137" s="132" t="s">
        <v>276</v>
      </c>
      <c r="C137" s="132"/>
      <c r="D137" s="133">
        <f>IF(OR(AND(D135=0,D136=0),D135&lt;&gt;D136),1,IF(AND(D135=9,D136=9),2,IF(D135=D136,0,"")))</f>
        <v>2</v>
      </c>
      <c r="E137" s="133">
        <f t="shared" ref="E137:M137" si="27">IF(OR(AND(E135=0,E136=0),E135&lt;&gt;E136),1,IF(AND(E135=9,E136=9),2,IF(E135=E136,0,"")))</f>
        <v>2</v>
      </c>
      <c r="F137" s="133">
        <f t="shared" si="27"/>
        <v>2</v>
      </c>
      <c r="G137" s="133">
        <f t="shared" si="27"/>
        <v>2</v>
      </c>
      <c r="H137" s="133">
        <f t="shared" si="27"/>
        <v>2</v>
      </c>
      <c r="I137" s="133">
        <f t="shared" si="27"/>
        <v>2</v>
      </c>
      <c r="J137" s="133">
        <f t="shared" si="27"/>
        <v>2</v>
      </c>
      <c r="K137" s="133">
        <f t="shared" si="27"/>
        <v>2</v>
      </c>
      <c r="L137" s="133">
        <f t="shared" si="27"/>
        <v>2</v>
      </c>
      <c r="M137" s="133">
        <f t="shared" si="27"/>
        <v>2</v>
      </c>
      <c r="N137" s="133">
        <f t="shared" ref="N137:V137" si="28">IF(OR(AND(N135=0,N136=0),N135&lt;&gt;N136),1,IF(AND(N135=9,N136=9),2,IF(N135=N136,0,"")))</f>
        <v>2</v>
      </c>
      <c r="O137" s="133">
        <f>IF(OR(AND(O135=0,O136=0),O135&lt;&gt;O136),1,IF(AND(O135=9,O136=9),2,IF(O135=O136,0,"")))</f>
        <v>2</v>
      </c>
      <c r="P137" s="133">
        <f t="shared" si="28"/>
        <v>2</v>
      </c>
      <c r="Q137" s="133">
        <f t="shared" si="28"/>
        <v>2</v>
      </c>
      <c r="R137" s="133">
        <f t="shared" si="28"/>
        <v>2</v>
      </c>
      <c r="S137" s="133">
        <f t="shared" si="28"/>
        <v>2</v>
      </c>
      <c r="T137" s="133">
        <f t="shared" si="28"/>
        <v>2</v>
      </c>
      <c r="U137" s="133">
        <f t="shared" si="28"/>
        <v>2</v>
      </c>
      <c r="V137" s="133">
        <f t="shared" si="28"/>
        <v>2</v>
      </c>
      <c r="W137" s="133">
        <f>IF(OR(AND(W135=0,W136=0),W135&lt;&gt;W136),1,IF(AND(W135=9,W136=9),2,IF(W135=W136,0,"")))</f>
        <v>2</v>
      </c>
      <c r="X137" s="109" t="str">
        <f>IF(Z137&gt;0,"入力確認",IF(AE139=Y137,"適合","不適合"))</f>
        <v>適合</v>
      </c>
      <c r="Y137" s="131">
        <f>COUNTIF($D137:$W137,0)</f>
        <v>0</v>
      </c>
      <c r="Z137" s="186">
        <f>COUNTIF($D137:$W137,1)</f>
        <v>0</v>
      </c>
      <c r="AA137" s="186">
        <f>COUNTIF($D137:$W137,2)</f>
        <v>20</v>
      </c>
      <c r="AB137" s="186"/>
      <c r="AC137" s="131"/>
      <c r="AD137" s="131"/>
      <c r="AE137" s="131"/>
      <c r="AF137" s="117">
        <v>121</v>
      </c>
    </row>
    <row r="138" spans="2:32" hidden="1" x14ac:dyDescent="0.45">
      <c r="B138" s="174" t="s">
        <v>429</v>
      </c>
      <c r="C138" s="174"/>
      <c r="D138" s="175">
        <f>IF(OR(D128&lt;0,D129&lt;0),1,IF(OR(D128&gt;0,D129&gt;0),0,2))</f>
        <v>2</v>
      </c>
      <c r="E138" s="175">
        <f t="shared" ref="E138:N138" si="29">IF(OR(E128&lt;0,E129&lt;0),1,IF(OR(E128&gt;0,E129&gt;0),0,2))</f>
        <v>2</v>
      </c>
      <c r="F138" s="175">
        <f t="shared" si="29"/>
        <v>2</v>
      </c>
      <c r="G138" s="175">
        <f t="shared" si="29"/>
        <v>2</v>
      </c>
      <c r="H138" s="175">
        <f t="shared" si="29"/>
        <v>2</v>
      </c>
      <c r="I138" s="175">
        <f t="shared" si="29"/>
        <v>2</v>
      </c>
      <c r="J138" s="175">
        <f t="shared" si="29"/>
        <v>2</v>
      </c>
      <c r="K138" s="175">
        <f t="shared" si="29"/>
        <v>2</v>
      </c>
      <c r="L138" s="175">
        <f t="shared" si="29"/>
        <v>2</v>
      </c>
      <c r="M138" s="175">
        <f t="shared" si="29"/>
        <v>2</v>
      </c>
      <c r="N138" s="175">
        <f t="shared" si="29"/>
        <v>2</v>
      </c>
      <c r="O138" s="175">
        <f>IF(OR(O128&lt;0,O129&lt;0),1,IF(OR(O128&gt;0,O129&gt;0),0,2))</f>
        <v>2</v>
      </c>
      <c r="P138" s="175">
        <f t="shared" ref="P138:W138" si="30">IF(OR(P128&lt;0,P129&lt;0),1,IF(OR(P128&gt;0,P129&gt;0),0,2))</f>
        <v>2</v>
      </c>
      <c r="Q138" s="175">
        <f t="shared" si="30"/>
        <v>2</v>
      </c>
      <c r="R138" s="175">
        <f t="shared" si="30"/>
        <v>2</v>
      </c>
      <c r="S138" s="175">
        <f t="shared" si="30"/>
        <v>2</v>
      </c>
      <c r="T138" s="175">
        <f t="shared" si="30"/>
        <v>2</v>
      </c>
      <c r="U138" s="175">
        <f t="shared" si="30"/>
        <v>2</v>
      </c>
      <c r="V138" s="175">
        <f t="shared" si="30"/>
        <v>2</v>
      </c>
      <c r="W138" s="175">
        <f t="shared" si="30"/>
        <v>2</v>
      </c>
      <c r="X138" s="109" t="str">
        <f>IF(Z138&gt;0,"入力確認",IF(AE139=Y138,"適合","不適合"))</f>
        <v>適合</v>
      </c>
      <c r="Y138" s="131">
        <f>COUNTIF($D138:$W138,0)</f>
        <v>0</v>
      </c>
      <c r="Z138" s="186">
        <f>COUNTIF($D138:$W138,1)</f>
        <v>0</v>
      </c>
      <c r="AA138" s="186">
        <f>COUNTIF($D138:$W138,2)</f>
        <v>20</v>
      </c>
      <c r="AB138" s="186"/>
      <c r="AC138" s="131"/>
      <c r="AD138" s="131"/>
      <c r="AE138" s="131"/>
      <c r="AF138" s="117">
        <v>122</v>
      </c>
    </row>
    <row r="139" spans="2:32" hidden="1" x14ac:dyDescent="0.45">
      <c r="B139" s="111" t="s">
        <v>251</v>
      </c>
      <c r="C139" s="109"/>
      <c r="D139" s="109">
        <f>IF(AND(D122="",D123="",D124="",D125="",D126="",D127="",D128="",D129="",D130=""),2,IF(AND(D122&lt;&gt;"",D123&lt;&gt;"",D124&lt;&gt;"",D125&lt;&gt;"",D126&lt;&gt;"",D127&lt;&gt;"",D128&lt;&gt;"",D129&lt;&gt;"",D130&lt;&gt;""),0,1))</f>
        <v>2</v>
      </c>
      <c r="E139" s="109">
        <f t="shared" ref="E139:W139" si="31">IF(AND(E122="",E123="",E124="",E125="",E126="",E127="",E128="",E129="",E130=""),2,IF(AND(E122&lt;&gt;"",E123&lt;&gt;"",E124&lt;&gt;"",E125&lt;&gt;"",E126&lt;&gt;"",E127&lt;&gt;"",E128&lt;&gt;"",E129&lt;&gt;"",E130&lt;&gt;""),0,1))</f>
        <v>2</v>
      </c>
      <c r="F139" s="109">
        <f t="shared" si="31"/>
        <v>2</v>
      </c>
      <c r="G139" s="109">
        <f t="shared" si="31"/>
        <v>2</v>
      </c>
      <c r="H139" s="109">
        <f t="shared" si="31"/>
        <v>2</v>
      </c>
      <c r="I139" s="109">
        <f t="shared" si="31"/>
        <v>2</v>
      </c>
      <c r="J139" s="109">
        <f t="shared" si="31"/>
        <v>2</v>
      </c>
      <c r="K139" s="109">
        <f t="shared" si="31"/>
        <v>2</v>
      </c>
      <c r="L139" s="109">
        <f t="shared" si="31"/>
        <v>2</v>
      </c>
      <c r="M139" s="109">
        <f t="shared" si="31"/>
        <v>2</v>
      </c>
      <c r="N139" s="109">
        <f t="shared" si="31"/>
        <v>2</v>
      </c>
      <c r="O139" s="109">
        <f t="shared" si="31"/>
        <v>2</v>
      </c>
      <c r="P139" s="109">
        <f t="shared" si="31"/>
        <v>2</v>
      </c>
      <c r="Q139" s="109">
        <f t="shared" si="31"/>
        <v>2</v>
      </c>
      <c r="R139" s="109">
        <f t="shared" si="31"/>
        <v>2</v>
      </c>
      <c r="S139" s="109">
        <f t="shared" si="31"/>
        <v>2</v>
      </c>
      <c r="T139" s="109">
        <f t="shared" si="31"/>
        <v>2</v>
      </c>
      <c r="U139" s="109">
        <f t="shared" si="31"/>
        <v>2</v>
      </c>
      <c r="V139" s="109">
        <f t="shared" si="31"/>
        <v>2</v>
      </c>
      <c r="W139" s="109">
        <f t="shared" si="31"/>
        <v>2</v>
      </c>
      <c r="X139" s="109" t="str">
        <f>IF(Z139&gt;0,"入力確認",IF(AE139=Y139,"適合","不適合"))</f>
        <v>適合</v>
      </c>
      <c r="Y139" s="131">
        <f>COUNTIF($D139:$W139,0)</f>
        <v>0</v>
      </c>
      <c r="Z139" s="186">
        <f>COUNTIF($D139:$W139,1)</f>
        <v>0</v>
      </c>
      <c r="AA139" s="186">
        <f>COUNTIF($D139:$W139,2)</f>
        <v>20</v>
      </c>
      <c r="AB139" s="186"/>
      <c r="AC139" s="131"/>
      <c r="AD139" s="131"/>
      <c r="AE139" s="173">
        <f>20-COUNTIF($D$122:$W$122,"")</f>
        <v>0</v>
      </c>
      <c r="AF139" s="117">
        <v>123</v>
      </c>
    </row>
    <row r="140" spans="2:32" x14ac:dyDescent="0.45">
      <c r="B140" s="41"/>
      <c r="C140" s="41"/>
      <c r="D140" s="42"/>
      <c r="E140" s="42"/>
      <c r="F140" s="42"/>
      <c r="G140" s="42"/>
      <c r="H140" s="42"/>
      <c r="I140" s="42"/>
      <c r="J140" s="42"/>
      <c r="K140" s="42"/>
      <c r="L140" s="42"/>
      <c r="M140" s="42"/>
      <c r="N140" s="42"/>
      <c r="O140" s="42"/>
      <c r="P140" s="42"/>
      <c r="Q140" s="42"/>
      <c r="R140" s="42"/>
      <c r="S140" s="42"/>
      <c r="T140" s="42"/>
      <c r="U140" s="42"/>
      <c r="V140" s="42"/>
      <c r="W140" s="42"/>
      <c r="X140" s="42"/>
    </row>
    <row r="141" spans="2:32" ht="42" customHeight="1" thickBot="1" x14ac:dyDescent="0.5">
      <c r="B141" s="181" t="s">
        <v>510</v>
      </c>
      <c r="C141" s="30"/>
    </row>
    <row r="142" spans="2:32" ht="27" customHeight="1" thickBot="1" x14ac:dyDescent="0.5">
      <c r="B142" s="289" t="s">
        <v>121</v>
      </c>
      <c r="C142" s="289"/>
      <c r="D142" s="31" t="s">
        <v>303</v>
      </c>
      <c r="E142" s="31" t="s">
        <v>304</v>
      </c>
      <c r="F142" s="31" t="s">
        <v>305</v>
      </c>
      <c r="G142" s="31" t="s">
        <v>306</v>
      </c>
      <c r="H142" s="31" t="s">
        <v>307</v>
      </c>
      <c r="I142" s="31" t="s">
        <v>308</v>
      </c>
      <c r="J142" s="31" t="s">
        <v>309</v>
      </c>
      <c r="K142" s="31" t="s">
        <v>310</v>
      </c>
      <c r="L142" s="31" t="s">
        <v>311</v>
      </c>
      <c r="M142" s="31" t="s">
        <v>312</v>
      </c>
      <c r="N142" s="31" t="s">
        <v>367</v>
      </c>
      <c r="O142" s="31" t="s">
        <v>368</v>
      </c>
      <c r="P142" s="31" t="s">
        <v>369</v>
      </c>
      <c r="Q142" s="31" t="s">
        <v>370</v>
      </c>
      <c r="R142" s="31" t="s">
        <v>371</v>
      </c>
      <c r="S142" s="31" t="s">
        <v>372</v>
      </c>
      <c r="T142" s="31" t="s">
        <v>373</v>
      </c>
      <c r="U142" s="31" t="s">
        <v>374</v>
      </c>
      <c r="V142" s="31" t="s">
        <v>375</v>
      </c>
      <c r="W142" s="31" t="s">
        <v>376</v>
      </c>
      <c r="X142" s="38" t="s">
        <v>0</v>
      </c>
      <c r="Z142" s="79" t="s">
        <v>433</v>
      </c>
    </row>
    <row r="143" spans="2:32" ht="63" customHeight="1" thickBot="1" x14ac:dyDescent="0.5">
      <c r="B143" s="288" t="s">
        <v>271</v>
      </c>
      <c r="C143" s="288"/>
      <c r="D143" s="2"/>
      <c r="E143" s="2"/>
      <c r="F143" s="2"/>
      <c r="G143" s="2"/>
      <c r="H143" s="2"/>
      <c r="I143" s="2"/>
      <c r="J143" s="2"/>
      <c r="K143" s="2"/>
      <c r="L143" s="2"/>
      <c r="M143" s="2"/>
      <c r="N143" s="148"/>
      <c r="O143" s="148"/>
      <c r="P143" s="148"/>
      <c r="Q143" s="148"/>
      <c r="R143" s="148"/>
      <c r="S143" s="148"/>
      <c r="T143" s="148"/>
      <c r="U143" s="148"/>
      <c r="V143" s="148"/>
      <c r="W143" s="148"/>
      <c r="X143" s="32" t="s">
        <v>10</v>
      </c>
      <c r="Z143" s="79" t="s">
        <v>435</v>
      </c>
    </row>
    <row r="144" spans="2:32" ht="27" customHeight="1" thickBot="1" x14ac:dyDescent="0.5">
      <c r="B144" s="288" t="s">
        <v>3</v>
      </c>
      <c r="C144" s="288"/>
      <c r="D144" s="196"/>
      <c r="E144" s="196"/>
      <c r="F144" s="196"/>
      <c r="G144" s="196"/>
      <c r="H144" s="196"/>
      <c r="I144" s="196"/>
      <c r="J144" s="196"/>
      <c r="K144" s="196"/>
      <c r="L144" s="196"/>
      <c r="M144" s="196"/>
      <c r="N144" s="196"/>
      <c r="O144" s="196"/>
      <c r="P144" s="196"/>
      <c r="Q144" s="196"/>
      <c r="R144" s="196"/>
      <c r="S144" s="196"/>
      <c r="T144" s="196"/>
      <c r="U144" s="196"/>
      <c r="V144" s="196"/>
      <c r="W144" s="196"/>
      <c r="X144" s="170" t="str">
        <f>IF(SUM(D144:W144)=0,"",SUM(D144:W144))</f>
        <v/>
      </c>
      <c r="Z144" s="79"/>
    </row>
    <row r="145" spans="2:32" ht="27" customHeight="1" x14ac:dyDescent="0.45">
      <c r="B145" s="292" t="s">
        <v>16</v>
      </c>
      <c r="C145" s="292"/>
      <c r="D145" s="21"/>
      <c r="E145" s="21"/>
      <c r="F145" s="21"/>
      <c r="G145" s="21"/>
      <c r="H145" s="21"/>
      <c r="I145" s="21"/>
      <c r="J145" s="21"/>
      <c r="K145" s="21"/>
      <c r="L145" s="21"/>
      <c r="M145" s="21"/>
      <c r="N145" s="21"/>
      <c r="O145" s="21"/>
      <c r="P145" s="21"/>
      <c r="Q145" s="21"/>
      <c r="R145" s="21"/>
      <c r="S145" s="21"/>
      <c r="T145" s="21"/>
      <c r="U145" s="21"/>
      <c r="V145" s="21"/>
      <c r="W145" s="21"/>
      <c r="X145" s="40" t="s">
        <v>10</v>
      </c>
      <c r="Z145" s="79" t="s">
        <v>436</v>
      </c>
    </row>
    <row r="146" spans="2:32" ht="27" customHeight="1" x14ac:dyDescent="0.45">
      <c r="B146" s="301" t="s">
        <v>108</v>
      </c>
      <c r="C146" s="302"/>
      <c r="D146" s="21"/>
      <c r="E146" s="21"/>
      <c r="F146" s="21"/>
      <c r="G146" s="21"/>
      <c r="H146" s="21"/>
      <c r="I146" s="21"/>
      <c r="J146" s="21"/>
      <c r="K146" s="21"/>
      <c r="L146" s="21"/>
      <c r="M146" s="21"/>
      <c r="N146" s="149"/>
      <c r="O146" s="149"/>
      <c r="P146" s="149"/>
      <c r="Q146" s="149"/>
      <c r="R146" s="149"/>
      <c r="S146" s="149"/>
      <c r="T146" s="149"/>
      <c r="U146" s="149"/>
      <c r="V146" s="149"/>
      <c r="W146" s="149"/>
      <c r="X146" s="40" t="s">
        <v>10</v>
      </c>
      <c r="Z146" s="79" t="s">
        <v>434</v>
      </c>
    </row>
    <row r="147" spans="2:32" ht="27" customHeight="1" x14ac:dyDescent="0.45">
      <c r="B147" s="298" t="s">
        <v>512</v>
      </c>
      <c r="C147" s="93" t="s">
        <v>7</v>
      </c>
      <c r="D147" s="239"/>
      <c r="E147" s="239"/>
      <c r="F147" s="239"/>
      <c r="G147" s="239"/>
      <c r="H147" s="239"/>
      <c r="I147" s="239"/>
      <c r="J147" s="239"/>
      <c r="K147" s="239"/>
      <c r="L147" s="239"/>
      <c r="M147" s="239"/>
      <c r="N147" s="240"/>
      <c r="O147" s="240"/>
      <c r="P147" s="240"/>
      <c r="Q147" s="240"/>
      <c r="R147" s="240"/>
      <c r="S147" s="240"/>
      <c r="T147" s="240"/>
      <c r="U147" s="240"/>
      <c r="V147" s="240"/>
      <c r="W147" s="240"/>
      <c r="X147" s="40" t="s">
        <v>10</v>
      </c>
      <c r="Z147" s="146"/>
    </row>
    <row r="148" spans="2:32" ht="27" customHeight="1" x14ac:dyDescent="0.45">
      <c r="B148" s="300"/>
      <c r="C148" s="93" t="s">
        <v>8</v>
      </c>
      <c r="D148" s="239"/>
      <c r="E148" s="239"/>
      <c r="F148" s="239"/>
      <c r="G148" s="239"/>
      <c r="H148" s="239"/>
      <c r="I148" s="239"/>
      <c r="J148" s="239"/>
      <c r="K148" s="239"/>
      <c r="L148" s="239"/>
      <c r="M148" s="239"/>
      <c r="N148" s="239"/>
      <c r="O148" s="239"/>
      <c r="P148" s="239"/>
      <c r="Q148" s="239"/>
      <c r="R148" s="239"/>
      <c r="S148" s="239"/>
      <c r="T148" s="239"/>
      <c r="U148" s="239"/>
      <c r="V148" s="239"/>
      <c r="W148" s="239"/>
      <c r="X148" s="35" t="s">
        <v>10</v>
      </c>
      <c r="Z148" s="146"/>
    </row>
    <row r="149" spans="2:32" ht="27" customHeight="1" x14ac:dyDescent="0.45">
      <c r="B149" s="298" t="s">
        <v>203</v>
      </c>
      <c r="C149" s="93" t="s">
        <v>7</v>
      </c>
      <c r="D149" s="239"/>
      <c r="E149" s="239"/>
      <c r="F149" s="239"/>
      <c r="G149" s="239"/>
      <c r="H149" s="239"/>
      <c r="I149" s="239"/>
      <c r="J149" s="239"/>
      <c r="K149" s="239"/>
      <c r="L149" s="239"/>
      <c r="M149" s="239"/>
      <c r="N149" s="241"/>
      <c r="O149" s="241"/>
      <c r="P149" s="241"/>
      <c r="Q149" s="241"/>
      <c r="R149" s="241"/>
      <c r="S149" s="241"/>
      <c r="T149" s="241"/>
      <c r="U149" s="241"/>
      <c r="V149" s="241"/>
      <c r="W149" s="241"/>
      <c r="X149" s="32" t="s">
        <v>10</v>
      </c>
      <c r="Z149" s="146"/>
    </row>
    <row r="150" spans="2:32" ht="27" customHeight="1" x14ac:dyDescent="0.45">
      <c r="B150" s="299"/>
      <c r="C150" s="93" t="s">
        <v>8</v>
      </c>
      <c r="D150" s="239"/>
      <c r="E150" s="239"/>
      <c r="F150" s="239"/>
      <c r="G150" s="239"/>
      <c r="H150" s="239"/>
      <c r="I150" s="239"/>
      <c r="J150" s="239"/>
      <c r="K150" s="239"/>
      <c r="L150" s="239"/>
      <c r="M150" s="239"/>
      <c r="N150" s="239"/>
      <c r="O150" s="239"/>
      <c r="P150" s="239"/>
      <c r="Q150" s="239"/>
      <c r="R150" s="239"/>
      <c r="S150" s="239"/>
      <c r="T150" s="239"/>
      <c r="U150" s="239"/>
      <c r="V150" s="239"/>
      <c r="W150" s="239"/>
      <c r="X150" s="35" t="s">
        <v>10</v>
      </c>
      <c r="Z150" s="146"/>
    </row>
    <row r="151" spans="2:32" ht="27" customHeight="1" thickBot="1" x14ac:dyDescent="0.5">
      <c r="B151" s="300"/>
      <c r="C151" s="93" t="s">
        <v>88</v>
      </c>
      <c r="D151" s="22"/>
      <c r="E151" s="22"/>
      <c r="F151" s="22"/>
      <c r="G151" s="22"/>
      <c r="H151" s="22"/>
      <c r="I151" s="22"/>
      <c r="J151" s="22"/>
      <c r="K151" s="22"/>
      <c r="L151" s="22"/>
      <c r="M151" s="22"/>
      <c r="N151" s="22"/>
      <c r="O151" s="22"/>
      <c r="P151" s="22"/>
      <c r="Q151" s="22"/>
      <c r="R151" s="22"/>
      <c r="S151" s="22"/>
      <c r="T151" s="22"/>
      <c r="U151" s="22"/>
      <c r="V151" s="22"/>
      <c r="W151" s="22"/>
      <c r="X151" s="35" t="s">
        <v>10</v>
      </c>
      <c r="Z151" s="79" t="s">
        <v>437</v>
      </c>
    </row>
    <row r="152" spans="2:32" ht="45" customHeight="1" x14ac:dyDescent="0.45">
      <c r="B152" s="301" t="s">
        <v>204</v>
      </c>
      <c r="C152" s="302"/>
      <c r="D152" s="176" t="str">
        <f>IF(計算!$O56=1,計算!$R56,IF(計算!$O56=2,計算!$U56,IF(計算!$O56=3,計算!$X56,IF(計算!$O56=4,計算!$AA56,IF(計算!$O56=5,計算!$AD56,"")))))</f>
        <v/>
      </c>
      <c r="E152" s="176" t="str">
        <f>IF(計算!$O57=1,計算!$R57,IF(計算!$O57=2,計算!$U57,IF(計算!$O57=3,計算!$X57,IF(計算!$O57=4,計算!$AA57,IF(計算!$O57=5,計算!$AD57,"")))))</f>
        <v/>
      </c>
      <c r="F152" s="176" t="str">
        <f>IF(計算!$O58=1,計算!$R58,IF(計算!$O58=2,計算!$U58,IF(計算!$O58=3,計算!$X58,IF(計算!$O58=4,計算!$AA58,IF(計算!$O58=5,計算!$AD58,"")))))</f>
        <v/>
      </c>
      <c r="G152" s="176" t="str">
        <f>IF(計算!$O59=1,計算!$R59,IF(計算!$O59=2,計算!$U59,IF(計算!$O59=3,計算!$X59,IF(計算!$O59=4,計算!$AA59,IF(計算!$O59=5,計算!$AD59,"")))))</f>
        <v/>
      </c>
      <c r="H152" s="176" t="str">
        <f>IF(計算!$O60=1,計算!$R60,IF(計算!$O60=2,計算!$U60,IF(計算!$O60=3,計算!$X60,IF(計算!$O60=4,計算!$AA60,IF(計算!$O60=5,計算!$AD60,"")))))</f>
        <v/>
      </c>
      <c r="I152" s="176" t="str">
        <f>IF(計算!$O61=1,計算!$R61,IF(計算!$O61=2,計算!$U61,IF(計算!$O61=3,計算!$X61,IF(計算!$O61=4,計算!$AA61,IF(計算!$O61=5,計算!$AD61,"")))))</f>
        <v/>
      </c>
      <c r="J152" s="176" t="str">
        <f>IF(計算!$O62=1,計算!$R62,IF(計算!$O62=2,計算!$U62,IF(計算!$O62=3,計算!$X62,IF(計算!$O62=4,計算!$AA62,IF(計算!$O62=5,計算!$AD62,"")))))</f>
        <v/>
      </c>
      <c r="K152" s="176" t="str">
        <f>IF(計算!$O63=1,計算!$R63,IF(計算!$O63=2,計算!$U63,IF(計算!$O63=3,計算!$X63,IF(計算!$O63=4,計算!$AA63,IF(計算!$O63=5,計算!$AD63,"")))))</f>
        <v/>
      </c>
      <c r="L152" s="176" t="str">
        <f>IF(計算!$O64=1,計算!$R64,IF(計算!$O64=2,計算!$U64,IF(計算!$O64=3,計算!$X64,IF(計算!$O64=4,計算!$AA64,IF(計算!$O64=5,計算!$AD64,"")))))</f>
        <v/>
      </c>
      <c r="M152" s="176" t="str">
        <f>IF(計算!$O65=1,計算!$R65,IF(計算!$O65=2,計算!$U65,IF(計算!$O65=3,計算!$X65,IF(計算!$O65=4,計算!$AA65,IF(計算!$O65=5,計算!$AD65,"")))))</f>
        <v/>
      </c>
      <c r="N152" s="176" t="str">
        <f>IF(計算!$O66=1,計算!$R66,IF(計算!$O66=2,計算!$U66,IF(計算!$O66=3,計算!$X66,IF(計算!$O66=4,計算!$AA66,IF(計算!$O66=5,計算!$AD66,"")))))</f>
        <v/>
      </c>
      <c r="O152" s="176" t="str">
        <f>IF(計算!$O67=1,計算!$R67,IF(計算!$O67=2,計算!$U67,IF(計算!$O67=3,計算!$X67,IF(計算!$O67=4,計算!$AA67,IF(計算!$O67=5,計算!$AD67,"")))))</f>
        <v/>
      </c>
      <c r="P152" s="176" t="str">
        <f>IF(計算!$O68=1,計算!$R68,IF(計算!$O68=2,計算!$U68,IF(計算!$O68=3,計算!$X68,IF(計算!$O68=4,計算!$AA68,IF(計算!$O68=5,計算!$AD68,"")))))</f>
        <v/>
      </c>
      <c r="Q152" s="176" t="str">
        <f>IF(計算!$O69=1,計算!$R69,IF(計算!$O69=2,計算!$U69,IF(計算!$O69=3,計算!$X69,IF(計算!$O69=4,計算!$AA69,IF(計算!$O69=5,計算!$AD69,"")))))</f>
        <v/>
      </c>
      <c r="R152" s="176" t="str">
        <f>IF(計算!$O70=1,計算!$R70,IF(計算!$O70=2,計算!$U70,IF(計算!$O70=3,計算!$X70,IF(計算!$O70=4,計算!$AA70,IF(計算!$O70=5,計算!$AD70,"")))))</f>
        <v/>
      </c>
      <c r="S152" s="176" t="str">
        <f>IF(計算!$O71=1,計算!$R71,IF(計算!$O71=2,計算!$U71,IF(計算!$O71=3,計算!$X71,IF(計算!$O71=4,計算!$AA71,IF(計算!$O71=5,計算!$AD71,"")))))</f>
        <v/>
      </c>
      <c r="T152" s="176" t="str">
        <f>IF(計算!$O72=1,計算!$R72,IF(計算!$O72=2,計算!$U72,IF(計算!$O72=3,計算!$X72,IF(計算!$O72=4,計算!$AA72,IF(計算!$O72=5,計算!$AD72,"")))))</f>
        <v/>
      </c>
      <c r="U152" s="176" t="str">
        <f>IF(計算!$O73=1,計算!$R73,IF(計算!$O73=2,計算!$U73,IF(計算!$O73=3,計算!$X73,IF(計算!$O73=4,計算!$AA73,IF(計算!$O73=5,計算!$AD73,"")))))</f>
        <v/>
      </c>
      <c r="V152" s="176" t="str">
        <f>IF(計算!$O74=1,計算!$R74,IF(計算!$O74=2,計算!$U74,IF(計算!$O74=3,計算!$X74,IF(計算!$O74=4,計算!$AA74,IF(計算!$O74=5,計算!$AD74,"")))))</f>
        <v/>
      </c>
      <c r="W152" s="176" t="str">
        <f>IF(計算!$O75=1,計算!$R75,IF(計算!$O75=2,計算!$U75,IF(計算!$O75=3,計算!$X75,IF(計算!$O75=4,計算!$AA75,IF(計算!$O75=5,計算!$AD75,"")))))</f>
        <v/>
      </c>
      <c r="X152" s="177" t="str">
        <f>IF(SUM(D152:W152)=0,"",SUM(D152:W152))</f>
        <v/>
      </c>
    </row>
    <row r="153" spans="2:32" ht="27" customHeight="1" thickBot="1" x14ac:dyDescent="0.5">
      <c r="B153" s="316" t="s">
        <v>205</v>
      </c>
      <c r="C153" s="317"/>
      <c r="D153" s="178" t="str">
        <f>IF(D152="","",ROUND(D152*0.0258,2))</f>
        <v/>
      </c>
      <c r="E153" s="178" t="str">
        <f t="shared" ref="E153:M153" si="32">IF(E152="","",ROUND(E152*0.0258,2))</f>
        <v/>
      </c>
      <c r="F153" s="178" t="str">
        <f t="shared" si="32"/>
        <v/>
      </c>
      <c r="G153" s="178" t="str">
        <f t="shared" si="32"/>
        <v/>
      </c>
      <c r="H153" s="178" t="str">
        <f t="shared" si="32"/>
        <v/>
      </c>
      <c r="I153" s="178" t="str">
        <f t="shared" si="32"/>
        <v/>
      </c>
      <c r="J153" s="178" t="str">
        <f t="shared" si="32"/>
        <v/>
      </c>
      <c r="K153" s="178" t="str">
        <f t="shared" si="32"/>
        <v/>
      </c>
      <c r="L153" s="178" t="str">
        <f t="shared" si="32"/>
        <v/>
      </c>
      <c r="M153" s="178" t="str">
        <f t="shared" si="32"/>
        <v/>
      </c>
      <c r="N153" s="178" t="str">
        <f t="shared" ref="N153:W153" si="33">IF(N152="","",ROUND(N152*0.0258,2))</f>
        <v/>
      </c>
      <c r="O153" s="178" t="str">
        <f t="shared" si="33"/>
        <v/>
      </c>
      <c r="P153" s="178" t="str">
        <f t="shared" si="33"/>
        <v/>
      </c>
      <c r="Q153" s="178" t="str">
        <f t="shared" si="33"/>
        <v/>
      </c>
      <c r="R153" s="178" t="str">
        <f t="shared" si="33"/>
        <v/>
      </c>
      <c r="S153" s="178" t="str">
        <f t="shared" si="33"/>
        <v/>
      </c>
      <c r="T153" s="178" t="str">
        <f t="shared" si="33"/>
        <v/>
      </c>
      <c r="U153" s="178" t="str">
        <f t="shared" si="33"/>
        <v/>
      </c>
      <c r="V153" s="178" t="str">
        <f t="shared" si="33"/>
        <v/>
      </c>
      <c r="W153" s="178" t="str">
        <f t="shared" si="33"/>
        <v/>
      </c>
      <c r="X153" s="179" t="str">
        <f>IF(SUM(D153:W153)=0,"",SUM(D153:W153))</f>
        <v/>
      </c>
      <c r="Z153" s="79" t="s">
        <v>438</v>
      </c>
    </row>
    <row r="154" spans="2:32" ht="27" hidden="1" customHeight="1" x14ac:dyDescent="0.45">
      <c r="B154" s="314" t="s">
        <v>201</v>
      </c>
      <c r="C154" s="94" t="s">
        <v>199</v>
      </c>
      <c r="D154" s="171"/>
      <c r="E154" s="171"/>
      <c r="F154" s="171"/>
      <c r="G154" s="171"/>
      <c r="H154" s="171"/>
      <c r="I154" s="171"/>
      <c r="J154" s="171"/>
      <c r="K154" s="171"/>
      <c r="L154" s="171"/>
      <c r="M154" s="171"/>
      <c r="N154" s="171"/>
      <c r="O154" s="171"/>
      <c r="P154" s="171"/>
      <c r="Q154" s="171"/>
      <c r="R154" s="171"/>
      <c r="S154" s="171"/>
      <c r="T154" s="171"/>
      <c r="U154" s="171"/>
      <c r="V154" s="171"/>
      <c r="W154" s="171"/>
      <c r="X154" s="32" t="s">
        <v>10</v>
      </c>
    </row>
    <row r="155" spans="2:32" ht="27" hidden="1" customHeight="1" x14ac:dyDescent="0.45">
      <c r="B155" s="315"/>
      <c r="C155" s="94" t="s">
        <v>200</v>
      </c>
      <c r="D155" s="171" t="str">
        <f>IFERROR(((D147/D149)+(D148/D150))/2,"")</f>
        <v/>
      </c>
      <c r="E155" s="171" t="str">
        <f t="shared" ref="E155:W155" si="34">IFERROR(((E147/E149)+(E148/E150))/2,"")</f>
        <v/>
      </c>
      <c r="F155" s="171" t="str">
        <f t="shared" si="34"/>
        <v/>
      </c>
      <c r="G155" s="171" t="str">
        <f t="shared" si="34"/>
        <v/>
      </c>
      <c r="H155" s="171" t="str">
        <f t="shared" si="34"/>
        <v/>
      </c>
      <c r="I155" s="171" t="str">
        <f t="shared" si="34"/>
        <v/>
      </c>
      <c r="J155" s="171" t="str">
        <f t="shared" si="34"/>
        <v/>
      </c>
      <c r="K155" s="171" t="str">
        <f t="shared" si="34"/>
        <v/>
      </c>
      <c r="L155" s="171" t="str">
        <f t="shared" si="34"/>
        <v/>
      </c>
      <c r="M155" s="171" t="str">
        <f t="shared" si="34"/>
        <v/>
      </c>
      <c r="N155" s="171" t="str">
        <f t="shared" si="34"/>
        <v/>
      </c>
      <c r="O155" s="171" t="str">
        <f t="shared" si="34"/>
        <v/>
      </c>
      <c r="P155" s="171" t="str">
        <f t="shared" si="34"/>
        <v/>
      </c>
      <c r="Q155" s="171" t="str">
        <f t="shared" si="34"/>
        <v/>
      </c>
      <c r="R155" s="171" t="str">
        <f t="shared" si="34"/>
        <v/>
      </c>
      <c r="S155" s="171" t="str">
        <f t="shared" si="34"/>
        <v/>
      </c>
      <c r="T155" s="171" t="str">
        <f t="shared" si="34"/>
        <v/>
      </c>
      <c r="U155" s="171" t="str">
        <f t="shared" si="34"/>
        <v/>
      </c>
      <c r="V155" s="171" t="str">
        <f t="shared" si="34"/>
        <v/>
      </c>
      <c r="W155" s="171" t="str">
        <f t="shared" si="34"/>
        <v/>
      </c>
      <c r="X155" s="35" t="s">
        <v>10</v>
      </c>
    </row>
    <row r="156" spans="2:32" hidden="1" x14ac:dyDescent="0.45">
      <c r="B156" s="129" t="s">
        <v>277</v>
      </c>
      <c r="C156" s="129"/>
      <c r="D156" s="130">
        <f t="shared" ref="D156:M156" si="35">IF(D$143="",9,IF(OR(D$143="電気式パッケージ形空調機",D$143="ルームエアコン"),1,IF(AND(D$143="ガスヒートポンプ式空調機",D$145="都市ガス",D$151="kW"),2,IF(AND(D$143="ガスヒートポンプ式空調機",D$145="都市ガス",D$151="ｍ3N/h"),3,IF(AND(D$143="ガスヒートポンプ式空調機",D$145="LPG",D$151="kW"),4,IF(AND(D$143="ガスヒートポンプ式空調機",D$145="LPG",D$151="kg/h"),5,0))))))</f>
        <v>9</v>
      </c>
      <c r="E156" s="130">
        <f t="shared" si="35"/>
        <v>9</v>
      </c>
      <c r="F156" s="130">
        <f t="shared" si="35"/>
        <v>9</v>
      </c>
      <c r="G156" s="130">
        <f t="shared" si="35"/>
        <v>9</v>
      </c>
      <c r="H156" s="130">
        <f t="shared" si="35"/>
        <v>9</v>
      </c>
      <c r="I156" s="130">
        <f t="shared" si="35"/>
        <v>9</v>
      </c>
      <c r="J156" s="130">
        <f t="shared" si="35"/>
        <v>9</v>
      </c>
      <c r="K156" s="130">
        <f t="shared" si="35"/>
        <v>9</v>
      </c>
      <c r="L156" s="130">
        <f t="shared" si="35"/>
        <v>9</v>
      </c>
      <c r="M156" s="130">
        <f t="shared" si="35"/>
        <v>9</v>
      </c>
      <c r="N156" s="130">
        <f t="shared" ref="N156:V156" si="36">IF(N$143="",9,IF(OR(N$143="電気式パッケージ形空調機",N$143="ルームエアコン"),1,IF(AND(N$143="ガスヒートポンプ式空調機",N$145="都市ガス",N$151="kW"),2,IF(AND(N$143="ガスヒートポンプ式空調機",N$145="都市ガス",N$151="ｍ3N/h"),3,IF(AND(N$143="ガスヒートポンプ式空調機",N$145="LPG",N$151="kW"),4,IF(AND(N$143="ガスヒートポンプ式空調機",N$145="LPG",N$151="kg/h"),5,0))))))</f>
        <v>9</v>
      </c>
      <c r="O156" s="130">
        <f t="shared" si="36"/>
        <v>9</v>
      </c>
      <c r="P156" s="130">
        <f t="shared" si="36"/>
        <v>9</v>
      </c>
      <c r="Q156" s="130">
        <f t="shared" si="36"/>
        <v>9</v>
      </c>
      <c r="R156" s="130">
        <f t="shared" si="36"/>
        <v>9</v>
      </c>
      <c r="S156" s="130">
        <f t="shared" si="36"/>
        <v>9</v>
      </c>
      <c r="T156" s="130">
        <f t="shared" si="36"/>
        <v>9</v>
      </c>
      <c r="U156" s="130">
        <f t="shared" si="36"/>
        <v>9</v>
      </c>
      <c r="V156" s="130">
        <f t="shared" si="36"/>
        <v>9</v>
      </c>
      <c r="W156" s="130">
        <f>IF(W$143="",9,IF(OR(W$143="電気式パッケージ形空調機",W$143="ルームエアコン"),1,IF(AND(W$143="ガスヒートポンプ式空調機",W$145="都市ガス",W$151="kW"),2,IF(AND(W$143="ガスヒートポンプ式空調機",W$145="都市ガス",W$151="ｍ3N/h"),3,IF(AND(W$143="ガスヒートポンプ式空調機",W$145="LPG",W$151="kW"),4,IF(AND(W$143="ガスヒートポンプ式空調機",W$145="LPG",W$151="kg/h"),5,0))))))</f>
        <v>9</v>
      </c>
      <c r="X156" s="109"/>
      <c r="Y156" s="131">
        <f>COUNTIF($D156:$W156,0)</f>
        <v>0</v>
      </c>
      <c r="Z156" s="186">
        <f>COUNTIF($D156:$W156,1)</f>
        <v>0</v>
      </c>
      <c r="AA156" s="186">
        <f>COUNTIF($D156:$W156,2)</f>
        <v>0</v>
      </c>
      <c r="AB156" s="186">
        <f>COUNTIF($D156:$W156,3)</f>
        <v>0</v>
      </c>
      <c r="AC156" s="131">
        <f>COUNTIF($D156:$W156,4)</f>
        <v>0</v>
      </c>
      <c r="AD156" s="131">
        <f>COUNTIF($D156:$W156,5)</f>
        <v>0</v>
      </c>
      <c r="AE156" s="131"/>
      <c r="AF156" s="117">
        <v>140</v>
      </c>
    </row>
    <row r="157" spans="2:32" hidden="1" x14ac:dyDescent="0.45">
      <c r="B157" s="129" t="s">
        <v>278</v>
      </c>
      <c r="C157" s="129"/>
      <c r="D157" s="130">
        <f>IF(AND(D$145="",D$151=""),9,IF(AND(D$145="電気",D$151="kW"),1,IF(AND(D$145="都市ガス",D$151="kW"),2,IF(AND(D$145="都市ガス",D$151="ｍ3N/h"),3,IF(AND(D$145="LPG",D$151="kW"),4,IF(AND(D$145="LPG",D$151="kg/h"),5,0))))))</f>
        <v>9</v>
      </c>
      <c r="E157" s="130">
        <f t="shared" ref="E157:W157" si="37">IF(AND(E$145="",E$151=""),9,IF(AND(E$145="電気",E$151="kW"),1,IF(AND(E$145="都市ガス",E$151="kW"),2,IF(AND(E$145="都市ガス",E$151="ｍ3N/h"),3,IF(AND(E$145="LPG",E$151="kW"),4,IF(AND(E$145="LPG",E$151="kg/h"),5,0))))))</f>
        <v>9</v>
      </c>
      <c r="F157" s="130">
        <f t="shared" si="37"/>
        <v>9</v>
      </c>
      <c r="G157" s="130">
        <f t="shared" si="37"/>
        <v>9</v>
      </c>
      <c r="H157" s="130">
        <f t="shared" si="37"/>
        <v>9</v>
      </c>
      <c r="I157" s="130">
        <f t="shared" si="37"/>
        <v>9</v>
      </c>
      <c r="J157" s="130">
        <f t="shared" si="37"/>
        <v>9</v>
      </c>
      <c r="K157" s="130">
        <f t="shared" si="37"/>
        <v>9</v>
      </c>
      <c r="L157" s="130">
        <f t="shared" si="37"/>
        <v>9</v>
      </c>
      <c r="M157" s="130">
        <f t="shared" si="37"/>
        <v>9</v>
      </c>
      <c r="N157" s="130">
        <f t="shared" si="37"/>
        <v>9</v>
      </c>
      <c r="O157" s="130">
        <f t="shared" si="37"/>
        <v>9</v>
      </c>
      <c r="P157" s="130">
        <f t="shared" si="37"/>
        <v>9</v>
      </c>
      <c r="Q157" s="130">
        <f t="shared" si="37"/>
        <v>9</v>
      </c>
      <c r="R157" s="130">
        <f t="shared" si="37"/>
        <v>9</v>
      </c>
      <c r="S157" s="130">
        <f t="shared" si="37"/>
        <v>9</v>
      </c>
      <c r="T157" s="130">
        <f t="shared" si="37"/>
        <v>9</v>
      </c>
      <c r="U157" s="130">
        <f t="shared" si="37"/>
        <v>9</v>
      </c>
      <c r="V157" s="130">
        <f t="shared" si="37"/>
        <v>9</v>
      </c>
      <c r="W157" s="130">
        <f t="shared" si="37"/>
        <v>9</v>
      </c>
      <c r="X157" s="109"/>
      <c r="Y157" s="131">
        <f>COUNTIF($D157:$W157,0)</f>
        <v>0</v>
      </c>
      <c r="Z157" s="186">
        <f>COUNTIF($D157:$W157,1)</f>
        <v>0</v>
      </c>
      <c r="AA157" s="186">
        <f>COUNTIF($D157:$W157,2)</f>
        <v>0</v>
      </c>
      <c r="AB157" s="186">
        <f>COUNTIF($D157:$W157,3)</f>
        <v>0</v>
      </c>
      <c r="AC157" s="131">
        <f>COUNTIF($D157:$W157,4)</f>
        <v>0</v>
      </c>
      <c r="AD157" s="131">
        <f>COUNTIF($D157:$W157,5)</f>
        <v>0</v>
      </c>
      <c r="AE157" s="131"/>
      <c r="AF157" s="117">
        <v>141</v>
      </c>
    </row>
    <row r="158" spans="2:32" hidden="1" x14ac:dyDescent="0.45">
      <c r="B158" s="132" t="s">
        <v>276</v>
      </c>
      <c r="C158" s="132"/>
      <c r="D158" s="133">
        <f>IF(OR(AND(D156=0,D157=0),D156&lt;&gt;D157),1,IF(AND(D156=9,D157=9),2,IF(D156=D157,0,"")))</f>
        <v>2</v>
      </c>
      <c r="E158" s="133">
        <f t="shared" ref="E158:M158" si="38">IF(OR(AND(E156=0,E157=0),E156&lt;&gt;E157),1,IF(AND(E156=9,E157=9),2,IF(E156=E157,0,"")))</f>
        <v>2</v>
      </c>
      <c r="F158" s="133">
        <f t="shared" si="38"/>
        <v>2</v>
      </c>
      <c r="G158" s="133">
        <f t="shared" si="38"/>
        <v>2</v>
      </c>
      <c r="H158" s="133">
        <f t="shared" si="38"/>
        <v>2</v>
      </c>
      <c r="I158" s="133">
        <f t="shared" si="38"/>
        <v>2</v>
      </c>
      <c r="J158" s="133">
        <f t="shared" si="38"/>
        <v>2</v>
      </c>
      <c r="K158" s="133">
        <f t="shared" si="38"/>
        <v>2</v>
      </c>
      <c r="L158" s="133">
        <f t="shared" si="38"/>
        <v>2</v>
      </c>
      <c r="M158" s="133">
        <f t="shared" si="38"/>
        <v>2</v>
      </c>
      <c r="N158" s="133">
        <f t="shared" ref="N158:W158" si="39">IF(OR(AND(N156=0,N157=0),N156&lt;&gt;N157),1,IF(AND(N156=9,N157=9),2,IF(N156=N157,0,"")))</f>
        <v>2</v>
      </c>
      <c r="O158" s="133">
        <f t="shared" si="39"/>
        <v>2</v>
      </c>
      <c r="P158" s="133">
        <f t="shared" si="39"/>
        <v>2</v>
      </c>
      <c r="Q158" s="133">
        <f t="shared" si="39"/>
        <v>2</v>
      </c>
      <c r="R158" s="133">
        <f t="shared" si="39"/>
        <v>2</v>
      </c>
      <c r="S158" s="133">
        <f t="shared" si="39"/>
        <v>2</v>
      </c>
      <c r="T158" s="133">
        <f t="shared" si="39"/>
        <v>2</v>
      </c>
      <c r="U158" s="133">
        <f t="shared" si="39"/>
        <v>2</v>
      </c>
      <c r="V158" s="133">
        <f t="shared" si="39"/>
        <v>2</v>
      </c>
      <c r="W158" s="133">
        <f t="shared" si="39"/>
        <v>2</v>
      </c>
      <c r="X158" s="109" t="str">
        <f>IF(Z158&gt;0,"入力確認",IF(AE160=Y158,"適合","不適合"))</f>
        <v>適合</v>
      </c>
      <c r="Y158" s="131">
        <f>COUNTIF($D158:$W158,0)</f>
        <v>0</v>
      </c>
      <c r="Z158" s="186">
        <f>COUNTIF($D158:$W158,1)</f>
        <v>0</v>
      </c>
      <c r="AA158" s="186">
        <f>COUNTIF($D158:$W158,2)</f>
        <v>20</v>
      </c>
      <c r="AB158" s="186"/>
      <c r="AC158" s="131"/>
      <c r="AD158" s="131"/>
      <c r="AE158" s="131"/>
      <c r="AF158" s="117">
        <v>142</v>
      </c>
    </row>
    <row r="159" spans="2:32" hidden="1" x14ac:dyDescent="0.45">
      <c r="B159" s="174" t="s">
        <v>429</v>
      </c>
      <c r="C159" s="174"/>
      <c r="D159" s="175">
        <f t="shared" ref="D159:N159" si="40">IF(OR(D149&lt;0,D150&lt;0),1,IF(OR(D149&gt;0,D150&gt;0),0,2))</f>
        <v>2</v>
      </c>
      <c r="E159" s="175">
        <f t="shared" si="40"/>
        <v>2</v>
      </c>
      <c r="F159" s="175">
        <f t="shared" si="40"/>
        <v>2</v>
      </c>
      <c r="G159" s="175">
        <f t="shared" si="40"/>
        <v>2</v>
      </c>
      <c r="H159" s="175">
        <f t="shared" si="40"/>
        <v>2</v>
      </c>
      <c r="I159" s="175">
        <f t="shared" si="40"/>
        <v>2</v>
      </c>
      <c r="J159" s="175">
        <f t="shared" si="40"/>
        <v>2</v>
      </c>
      <c r="K159" s="175">
        <f t="shared" si="40"/>
        <v>2</v>
      </c>
      <c r="L159" s="175">
        <f t="shared" si="40"/>
        <v>2</v>
      </c>
      <c r="M159" s="175">
        <f t="shared" si="40"/>
        <v>2</v>
      </c>
      <c r="N159" s="175">
        <f t="shared" si="40"/>
        <v>2</v>
      </c>
      <c r="O159" s="175">
        <f>IF(OR(O149&lt;0,O150&lt;0),1,IF(OR(O149&gt;0,O150&gt;0),0,2))</f>
        <v>2</v>
      </c>
      <c r="P159" s="175">
        <f t="shared" ref="P159:W159" si="41">IF(OR(P149&lt;0,P150&lt;0),1,IF(OR(P149&gt;0,P150&gt;0),0,2))</f>
        <v>2</v>
      </c>
      <c r="Q159" s="175">
        <f t="shared" si="41"/>
        <v>2</v>
      </c>
      <c r="R159" s="175">
        <f t="shared" si="41"/>
        <v>2</v>
      </c>
      <c r="S159" s="175">
        <f t="shared" si="41"/>
        <v>2</v>
      </c>
      <c r="T159" s="175">
        <f t="shared" si="41"/>
        <v>2</v>
      </c>
      <c r="U159" s="175">
        <f t="shared" si="41"/>
        <v>2</v>
      </c>
      <c r="V159" s="175">
        <f t="shared" si="41"/>
        <v>2</v>
      </c>
      <c r="W159" s="175">
        <f t="shared" si="41"/>
        <v>2</v>
      </c>
      <c r="X159" s="109" t="str">
        <f>IF(Z159&gt;0,"入力確認",IF(AE160=Y159,"適合","不適合"))</f>
        <v>適合</v>
      </c>
      <c r="Y159" s="131">
        <f>COUNTIF($D159:$W159,0)</f>
        <v>0</v>
      </c>
      <c r="Z159" s="186">
        <f>COUNTIF($D159:$W159,1)</f>
        <v>0</v>
      </c>
      <c r="AA159" s="186">
        <f>COUNTIF($D159:$W159,2)</f>
        <v>20</v>
      </c>
      <c r="AB159" s="186"/>
      <c r="AC159" s="131"/>
      <c r="AD159" s="131"/>
      <c r="AE159" s="131"/>
      <c r="AF159" s="117">
        <v>143</v>
      </c>
    </row>
    <row r="160" spans="2:32" hidden="1" x14ac:dyDescent="0.45">
      <c r="B160" s="111" t="s">
        <v>251</v>
      </c>
      <c r="C160" s="109"/>
      <c r="D160" s="109">
        <f>IF(AND(D143="",D144="",D145="",D146="",D147="",D148="",D149="",D150="",D151=""),2,IF(AND(D143&lt;&gt;"",D144&lt;&gt;"",D145&lt;&gt;"",D146&lt;&gt;"",D147&lt;&gt;"",D148&lt;&gt;"",D149&lt;&gt;"",D150&lt;&gt;"",D151&lt;&gt;""),0,1))</f>
        <v>2</v>
      </c>
      <c r="E160" s="109">
        <f t="shared" ref="E160:W160" si="42">IF(AND(E143="",E144="",E145="",E146="",E147="",E148="",E149="",E150="",E151=""),2,IF(AND(E143&lt;&gt;"",E144&lt;&gt;"",E145&lt;&gt;"",E146&lt;&gt;"",E147&lt;&gt;"",E148&lt;&gt;"",E149&lt;&gt;"",E150&lt;&gt;"",E151&lt;&gt;""),0,1))</f>
        <v>2</v>
      </c>
      <c r="F160" s="109">
        <f t="shared" si="42"/>
        <v>2</v>
      </c>
      <c r="G160" s="109">
        <f t="shared" si="42"/>
        <v>2</v>
      </c>
      <c r="H160" s="109">
        <f t="shared" si="42"/>
        <v>2</v>
      </c>
      <c r="I160" s="109">
        <f t="shared" si="42"/>
        <v>2</v>
      </c>
      <c r="J160" s="109">
        <f t="shared" si="42"/>
        <v>2</v>
      </c>
      <c r="K160" s="109">
        <f t="shared" si="42"/>
        <v>2</v>
      </c>
      <c r="L160" s="109">
        <f t="shared" si="42"/>
        <v>2</v>
      </c>
      <c r="M160" s="109">
        <f t="shared" si="42"/>
        <v>2</v>
      </c>
      <c r="N160" s="109">
        <f t="shared" si="42"/>
        <v>2</v>
      </c>
      <c r="O160" s="109">
        <f t="shared" si="42"/>
        <v>2</v>
      </c>
      <c r="P160" s="109">
        <f t="shared" si="42"/>
        <v>2</v>
      </c>
      <c r="Q160" s="109">
        <f t="shared" si="42"/>
        <v>2</v>
      </c>
      <c r="R160" s="109">
        <f t="shared" si="42"/>
        <v>2</v>
      </c>
      <c r="S160" s="109">
        <f t="shared" si="42"/>
        <v>2</v>
      </c>
      <c r="T160" s="109">
        <f t="shared" si="42"/>
        <v>2</v>
      </c>
      <c r="U160" s="109">
        <f t="shared" si="42"/>
        <v>2</v>
      </c>
      <c r="V160" s="109">
        <f t="shared" si="42"/>
        <v>2</v>
      </c>
      <c r="W160" s="109">
        <f t="shared" si="42"/>
        <v>2</v>
      </c>
      <c r="X160" s="109" t="str">
        <f>IF(Z160&gt;0,"入力確認",IF(AE160=Y160,"適合","不適合"))</f>
        <v>適合</v>
      </c>
      <c r="Y160" s="131">
        <f>COUNTIF($D160:$W160,0)</f>
        <v>0</v>
      </c>
      <c r="Z160" s="186">
        <f>COUNTIF($D160:$W160,1)</f>
        <v>0</v>
      </c>
      <c r="AA160" s="186">
        <f>COUNTIF($D160:$W160,2)</f>
        <v>20</v>
      </c>
      <c r="AB160" s="186"/>
      <c r="AC160" s="131"/>
      <c r="AD160" s="131"/>
      <c r="AE160" s="173">
        <f>20-COUNTIF($D$143:$W$143,"")</f>
        <v>0</v>
      </c>
      <c r="AF160" s="117">
        <v>144</v>
      </c>
    </row>
    <row r="162" spans="2:25" ht="33" customHeight="1" x14ac:dyDescent="0.45">
      <c r="B162" s="28" t="s">
        <v>273</v>
      </c>
      <c r="C162" s="37"/>
    </row>
    <row r="163" spans="2:25" ht="9" customHeight="1" x14ac:dyDescent="0.45">
      <c r="B163" s="23"/>
      <c r="C163" s="37"/>
    </row>
    <row r="164" spans="2:25" ht="27" customHeight="1" x14ac:dyDescent="0.45">
      <c r="B164" s="81" t="s">
        <v>180</v>
      </c>
      <c r="C164" s="282" t="s">
        <v>123</v>
      </c>
      <c r="D164" s="282"/>
      <c r="E164" s="282"/>
      <c r="F164" s="282"/>
      <c r="G164" s="282"/>
      <c r="H164" s="283" t="s">
        <v>124</v>
      </c>
      <c r="I164" s="283"/>
      <c r="J164" s="283"/>
      <c r="K164" s="283"/>
      <c r="L164" s="283"/>
      <c r="M164" s="283"/>
      <c r="N164" s="283"/>
      <c r="O164" s="284" t="s">
        <v>282</v>
      </c>
      <c r="P164" s="284"/>
      <c r="Q164" s="284"/>
      <c r="R164" s="284"/>
      <c r="S164" s="284"/>
      <c r="T164" s="284"/>
      <c r="U164" s="277" t="s">
        <v>179</v>
      </c>
      <c r="V164" s="278"/>
      <c r="W164" s="152"/>
      <c r="X164" s="154"/>
      <c r="Y164" s="139"/>
    </row>
    <row r="165" spans="2:25" ht="27" customHeight="1" x14ac:dyDescent="0.45">
      <c r="B165" s="87" t="s">
        <v>293</v>
      </c>
      <c r="C165" s="281"/>
      <c r="D165" s="281"/>
      <c r="E165" s="281"/>
      <c r="F165" s="281"/>
      <c r="G165" s="281"/>
      <c r="H165" s="281"/>
      <c r="I165" s="281"/>
      <c r="J165" s="281"/>
      <c r="K165" s="281"/>
      <c r="L165" s="281"/>
      <c r="M165" s="281"/>
      <c r="N165" s="281"/>
      <c r="O165" s="281"/>
      <c r="P165" s="281"/>
      <c r="Q165" s="281"/>
      <c r="R165" s="281"/>
      <c r="S165" s="281"/>
      <c r="T165" s="281"/>
      <c r="U165" s="281"/>
      <c r="V165" s="281"/>
      <c r="W165" s="153"/>
      <c r="X165" s="154"/>
      <c r="Y165" s="140"/>
    </row>
    <row r="166" spans="2:25" ht="27" customHeight="1" x14ac:dyDescent="0.45">
      <c r="B166" s="80" t="s">
        <v>313</v>
      </c>
      <c r="C166" s="275"/>
      <c r="D166" s="275"/>
      <c r="E166" s="275"/>
      <c r="F166" s="275"/>
      <c r="G166" s="275"/>
      <c r="H166" s="275"/>
      <c r="I166" s="275"/>
      <c r="J166" s="275"/>
      <c r="K166" s="275"/>
      <c r="L166" s="275"/>
      <c r="M166" s="275"/>
      <c r="N166" s="275"/>
      <c r="O166" s="275"/>
      <c r="P166" s="275"/>
      <c r="Q166" s="275"/>
      <c r="R166" s="275"/>
      <c r="S166" s="275"/>
      <c r="T166" s="275"/>
      <c r="U166" s="275"/>
      <c r="V166" s="275"/>
      <c r="W166" s="153"/>
      <c r="X166" s="154"/>
      <c r="Y166" s="140"/>
    </row>
    <row r="167" spans="2:25" ht="27" customHeight="1" x14ac:dyDescent="0.45">
      <c r="B167" s="80" t="s">
        <v>295</v>
      </c>
      <c r="C167" s="275"/>
      <c r="D167" s="275"/>
      <c r="E167" s="275"/>
      <c r="F167" s="275"/>
      <c r="G167" s="275"/>
      <c r="H167" s="275"/>
      <c r="I167" s="275"/>
      <c r="J167" s="275"/>
      <c r="K167" s="275"/>
      <c r="L167" s="275"/>
      <c r="M167" s="275"/>
      <c r="N167" s="275"/>
      <c r="O167" s="275"/>
      <c r="P167" s="275"/>
      <c r="Q167" s="275"/>
      <c r="R167" s="275"/>
      <c r="S167" s="275"/>
      <c r="T167" s="275"/>
      <c r="U167" s="275"/>
      <c r="V167" s="275"/>
      <c r="W167" s="153"/>
      <c r="X167" s="154"/>
      <c r="Y167" s="140"/>
    </row>
    <row r="168" spans="2:25" ht="27" customHeight="1" x14ac:dyDescent="0.45">
      <c r="B168" s="80" t="s">
        <v>296</v>
      </c>
      <c r="C168" s="275"/>
      <c r="D168" s="275"/>
      <c r="E168" s="275"/>
      <c r="F168" s="275"/>
      <c r="G168" s="275"/>
      <c r="H168" s="275"/>
      <c r="I168" s="275"/>
      <c r="J168" s="275"/>
      <c r="K168" s="275"/>
      <c r="L168" s="275"/>
      <c r="M168" s="275"/>
      <c r="N168" s="275"/>
      <c r="O168" s="275"/>
      <c r="P168" s="275"/>
      <c r="Q168" s="275"/>
      <c r="R168" s="275"/>
      <c r="S168" s="275"/>
      <c r="T168" s="275"/>
      <c r="U168" s="275"/>
      <c r="V168" s="275"/>
      <c r="W168" s="153"/>
      <c r="X168" s="154"/>
      <c r="Y168" s="140"/>
    </row>
    <row r="169" spans="2:25" ht="27" customHeight="1" x14ac:dyDescent="0.45">
      <c r="B169" s="80" t="s">
        <v>297</v>
      </c>
      <c r="C169" s="275"/>
      <c r="D169" s="275"/>
      <c r="E169" s="275"/>
      <c r="F169" s="275"/>
      <c r="G169" s="275"/>
      <c r="H169" s="275"/>
      <c r="I169" s="275"/>
      <c r="J169" s="275"/>
      <c r="K169" s="275"/>
      <c r="L169" s="275"/>
      <c r="M169" s="275"/>
      <c r="N169" s="275"/>
      <c r="O169" s="275"/>
      <c r="P169" s="275"/>
      <c r="Q169" s="275"/>
      <c r="R169" s="275"/>
      <c r="S169" s="275"/>
      <c r="T169" s="275"/>
      <c r="U169" s="275"/>
      <c r="V169" s="275"/>
      <c r="W169" s="153"/>
      <c r="X169" s="154"/>
      <c r="Y169" s="140"/>
    </row>
    <row r="170" spans="2:25" ht="27" customHeight="1" x14ac:dyDescent="0.45">
      <c r="B170" s="80" t="s">
        <v>298</v>
      </c>
      <c r="C170" s="275"/>
      <c r="D170" s="275"/>
      <c r="E170" s="275"/>
      <c r="F170" s="275"/>
      <c r="G170" s="275"/>
      <c r="H170" s="275"/>
      <c r="I170" s="275"/>
      <c r="J170" s="275"/>
      <c r="K170" s="275"/>
      <c r="L170" s="275"/>
      <c r="M170" s="275"/>
      <c r="N170" s="275"/>
      <c r="O170" s="275"/>
      <c r="P170" s="275"/>
      <c r="Q170" s="275"/>
      <c r="R170" s="275"/>
      <c r="S170" s="275"/>
      <c r="T170" s="275"/>
      <c r="U170" s="275"/>
      <c r="V170" s="275"/>
      <c r="W170" s="153"/>
      <c r="X170" s="154"/>
      <c r="Y170" s="140"/>
    </row>
    <row r="171" spans="2:25" ht="27" customHeight="1" x14ac:dyDescent="0.45">
      <c r="B171" s="80" t="s">
        <v>299</v>
      </c>
      <c r="C171" s="275"/>
      <c r="D171" s="275"/>
      <c r="E171" s="275"/>
      <c r="F171" s="275"/>
      <c r="G171" s="275"/>
      <c r="H171" s="275"/>
      <c r="I171" s="275"/>
      <c r="J171" s="275"/>
      <c r="K171" s="275"/>
      <c r="L171" s="275"/>
      <c r="M171" s="275"/>
      <c r="N171" s="275"/>
      <c r="O171" s="275"/>
      <c r="P171" s="275"/>
      <c r="Q171" s="275"/>
      <c r="R171" s="275"/>
      <c r="S171" s="275"/>
      <c r="T171" s="275"/>
      <c r="U171" s="275"/>
      <c r="V171" s="275"/>
      <c r="W171" s="153"/>
      <c r="X171" s="154"/>
      <c r="Y171" s="140"/>
    </row>
    <row r="172" spans="2:25" ht="27" customHeight="1" x14ac:dyDescent="0.45">
      <c r="B172" s="80" t="s">
        <v>300</v>
      </c>
      <c r="C172" s="275"/>
      <c r="D172" s="275"/>
      <c r="E172" s="275"/>
      <c r="F172" s="275"/>
      <c r="G172" s="275"/>
      <c r="H172" s="275"/>
      <c r="I172" s="275"/>
      <c r="J172" s="275"/>
      <c r="K172" s="275"/>
      <c r="L172" s="275"/>
      <c r="M172" s="275"/>
      <c r="N172" s="275"/>
      <c r="O172" s="275"/>
      <c r="P172" s="275"/>
      <c r="Q172" s="275"/>
      <c r="R172" s="275"/>
      <c r="S172" s="275"/>
      <c r="T172" s="275"/>
      <c r="U172" s="275"/>
      <c r="V172" s="275"/>
      <c r="W172" s="153"/>
      <c r="X172" s="154"/>
      <c r="Y172" s="140"/>
    </row>
    <row r="173" spans="2:25" ht="27" customHeight="1" x14ac:dyDescent="0.45">
      <c r="B173" s="80" t="s">
        <v>301</v>
      </c>
      <c r="C173" s="275"/>
      <c r="D173" s="275"/>
      <c r="E173" s="275"/>
      <c r="F173" s="275"/>
      <c r="G173" s="275"/>
      <c r="H173" s="275"/>
      <c r="I173" s="275"/>
      <c r="J173" s="275"/>
      <c r="K173" s="275"/>
      <c r="L173" s="275"/>
      <c r="M173" s="275"/>
      <c r="N173" s="275"/>
      <c r="O173" s="275"/>
      <c r="P173" s="275"/>
      <c r="Q173" s="275"/>
      <c r="R173" s="275"/>
      <c r="S173" s="275"/>
      <c r="T173" s="275"/>
      <c r="U173" s="275"/>
      <c r="V173" s="275"/>
      <c r="W173" s="153"/>
      <c r="X173" s="154"/>
      <c r="Y173" s="140"/>
    </row>
    <row r="174" spans="2:25" ht="27" customHeight="1" x14ac:dyDescent="0.45">
      <c r="B174" s="80" t="s">
        <v>302</v>
      </c>
      <c r="C174" s="275"/>
      <c r="D174" s="275"/>
      <c r="E174" s="275"/>
      <c r="F174" s="275"/>
      <c r="G174" s="275"/>
      <c r="H174" s="275"/>
      <c r="I174" s="275"/>
      <c r="J174" s="275"/>
      <c r="K174" s="275"/>
      <c r="L174" s="275"/>
      <c r="M174" s="275"/>
      <c r="N174" s="275"/>
      <c r="O174" s="275"/>
      <c r="P174" s="275"/>
      <c r="Q174" s="275"/>
      <c r="R174" s="275"/>
      <c r="S174" s="275"/>
      <c r="T174" s="275"/>
      <c r="U174" s="275"/>
      <c r="V174" s="275"/>
      <c r="W174" s="153"/>
      <c r="X174" s="154"/>
      <c r="Y174" s="140"/>
    </row>
    <row r="175" spans="2:25" ht="27" customHeight="1" x14ac:dyDescent="0.45">
      <c r="B175" s="80" t="s">
        <v>357</v>
      </c>
      <c r="C175" s="275"/>
      <c r="D175" s="275"/>
      <c r="E175" s="275"/>
      <c r="F175" s="275"/>
      <c r="G175" s="275"/>
      <c r="H175" s="275"/>
      <c r="I175" s="275"/>
      <c r="J175" s="275"/>
      <c r="K175" s="275"/>
      <c r="L175" s="275"/>
      <c r="M175" s="275"/>
      <c r="N175" s="275"/>
      <c r="O175" s="275"/>
      <c r="P175" s="275"/>
      <c r="Q175" s="275"/>
      <c r="R175" s="275"/>
      <c r="S175" s="275"/>
      <c r="T175" s="275"/>
      <c r="U175" s="275"/>
      <c r="V175" s="275"/>
      <c r="W175" s="153"/>
      <c r="X175" s="154"/>
      <c r="Y175" s="140"/>
    </row>
    <row r="176" spans="2:25" ht="27" customHeight="1" x14ac:dyDescent="0.45">
      <c r="B176" s="80" t="s">
        <v>358</v>
      </c>
      <c r="C176" s="275"/>
      <c r="D176" s="275"/>
      <c r="E176" s="275"/>
      <c r="F176" s="275"/>
      <c r="G176" s="275"/>
      <c r="H176" s="275"/>
      <c r="I176" s="275"/>
      <c r="J176" s="275"/>
      <c r="K176" s="275"/>
      <c r="L176" s="275"/>
      <c r="M176" s="275"/>
      <c r="N176" s="275"/>
      <c r="O176" s="275"/>
      <c r="P176" s="275"/>
      <c r="Q176" s="275"/>
      <c r="R176" s="275"/>
      <c r="S176" s="275"/>
      <c r="T176" s="275"/>
      <c r="U176" s="275"/>
      <c r="V176" s="275"/>
      <c r="W176" s="153"/>
      <c r="X176" s="154"/>
      <c r="Y176" s="140"/>
    </row>
    <row r="177" spans="2:25" ht="27" customHeight="1" x14ac:dyDescent="0.45">
      <c r="B177" s="80" t="s">
        <v>359</v>
      </c>
      <c r="C177" s="275"/>
      <c r="D177" s="275"/>
      <c r="E177" s="275"/>
      <c r="F177" s="275"/>
      <c r="G177" s="275"/>
      <c r="H177" s="275"/>
      <c r="I177" s="275"/>
      <c r="J177" s="275"/>
      <c r="K177" s="275"/>
      <c r="L177" s="275"/>
      <c r="M177" s="275"/>
      <c r="N177" s="275"/>
      <c r="O177" s="275"/>
      <c r="P177" s="275"/>
      <c r="Q177" s="275"/>
      <c r="R177" s="275"/>
      <c r="S177" s="275"/>
      <c r="T177" s="275"/>
      <c r="U177" s="275"/>
      <c r="V177" s="275"/>
      <c r="W177" s="153"/>
      <c r="X177" s="154"/>
      <c r="Y177" s="140"/>
    </row>
    <row r="178" spans="2:25" ht="27" customHeight="1" x14ac:dyDescent="0.45">
      <c r="B178" s="80" t="s">
        <v>360</v>
      </c>
      <c r="C178" s="275"/>
      <c r="D178" s="275"/>
      <c r="E178" s="275"/>
      <c r="F178" s="275"/>
      <c r="G178" s="275"/>
      <c r="H178" s="275"/>
      <c r="I178" s="275"/>
      <c r="J178" s="275"/>
      <c r="K178" s="275"/>
      <c r="L178" s="275"/>
      <c r="M178" s="275"/>
      <c r="N178" s="275"/>
      <c r="O178" s="275"/>
      <c r="P178" s="275"/>
      <c r="Q178" s="275"/>
      <c r="R178" s="275"/>
      <c r="S178" s="275"/>
      <c r="T178" s="275"/>
      <c r="U178" s="275"/>
      <c r="V178" s="275"/>
      <c r="W178" s="153"/>
      <c r="X178" s="154"/>
      <c r="Y178" s="140"/>
    </row>
    <row r="179" spans="2:25" ht="27" customHeight="1" x14ac:dyDescent="0.45">
      <c r="B179" s="80" t="s">
        <v>361</v>
      </c>
      <c r="C179" s="275"/>
      <c r="D179" s="275"/>
      <c r="E179" s="275"/>
      <c r="F179" s="275"/>
      <c r="G179" s="275"/>
      <c r="H179" s="275"/>
      <c r="I179" s="275"/>
      <c r="J179" s="275"/>
      <c r="K179" s="275"/>
      <c r="L179" s="275"/>
      <c r="M179" s="275"/>
      <c r="N179" s="275"/>
      <c r="O179" s="275"/>
      <c r="P179" s="275"/>
      <c r="Q179" s="275"/>
      <c r="R179" s="275"/>
      <c r="S179" s="275"/>
      <c r="T179" s="275"/>
      <c r="U179" s="275"/>
      <c r="V179" s="275"/>
      <c r="W179" s="153"/>
      <c r="X179" s="154"/>
      <c r="Y179" s="140"/>
    </row>
    <row r="180" spans="2:25" ht="27" customHeight="1" x14ac:dyDescent="0.45">
      <c r="B180" s="80" t="s">
        <v>362</v>
      </c>
      <c r="C180" s="275"/>
      <c r="D180" s="275"/>
      <c r="E180" s="275"/>
      <c r="F180" s="275"/>
      <c r="G180" s="275"/>
      <c r="H180" s="275"/>
      <c r="I180" s="275"/>
      <c r="J180" s="275"/>
      <c r="K180" s="275"/>
      <c r="L180" s="275"/>
      <c r="M180" s="275"/>
      <c r="N180" s="275"/>
      <c r="O180" s="275"/>
      <c r="P180" s="275"/>
      <c r="Q180" s="275"/>
      <c r="R180" s="275"/>
      <c r="S180" s="275"/>
      <c r="T180" s="275"/>
      <c r="U180" s="275"/>
      <c r="V180" s="275"/>
      <c r="W180" s="153"/>
      <c r="X180" s="154"/>
      <c r="Y180" s="140"/>
    </row>
    <row r="181" spans="2:25" ht="27" customHeight="1" x14ac:dyDescent="0.45">
      <c r="B181" s="80" t="s">
        <v>363</v>
      </c>
      <c r="C181" s="275"/>
      <c r="D181" s="275"/>
      <c r="E181" s="275"/>
      <c r="F181" s="275"/>
      <c r="G181" s="275"/>
      <c r="H181" s="275"/>
      <c r="I181" s="275"/>
      <c r="J181" s="275"/>
      <c r="K181" s="275"/>
      <c r="L181" s="275"/>
      <c r="M181" s="275"/>
      <c r="N181" s="275"/>
      <c r="O181" s="275"/>
      <c r="P181" s="275"/>
      <c r="Q181" s="275"/>
      <c r="R181" s="275"/>
      <c r="S181" s="275"/>
      <c r="T181" s="275"/>
      <c r="U181" s="275"/>
      <c r="V181" s="275"/>
      <c r="W181" s="153"/>
      <c r="X181" s="154"/>
      <c r="Y181" s="140"/>
    </row>
    <row r="182" spans="2:25" ht="27" customHeight="1" x14ac:dyDescent="0.45">
      <c r="B182" s="80" t="s">
        <v>364</v>
      </c>
      <c r="C182" s="275"/>
      <c r="D182" s="275"/>
      <c r="E182" s="275"/>
      <c r="F182" s="275"/>
      <c r="G182" s="275"/>
      <c r="H182" s="275"/>
      <c r="I182" s="275"/>
      <c r="J182" s="275"/>
      <c r="K182" s="275"/>
      <c r="L182" s="275"/>
      <c r="M182" s="275"/>
      <c r="N182" s="275"/>
      <c r="O182" s="275"/>
      <c r="P182" s="275"/>
      <c r="Q182" s="275"/>
      <c r="R182" s="275"/>
      <c r="S182" s="275"/>
      <c r="T182" s="275"/>
      <c r="U182" s="275"/>
      <c r="V182" s="275"/>
      <c r="W182" s="153"/>
      <c r="X182" s="154"/>
      <c r="Y182" s="140"/>
    </row>
    <row r="183" spans="2:25" ht="27" customHeight="1" x14ac:dyDescent="0.45">
      <c r="B183" s="80" t="s">
        <v>365</v>
      </c>
      <c r="C183" s="275"/>
      <c r="D183" s="275"/>
      <c r="E183" s="275"/>
      <c r="F183" s="275"/>
      <c r="G183" s="275"/>
      <c r="H183" s="275"/>
      <c r="I183" s="275"/>
      <c r="J183" s="275"/>
      <c r="K183" s="275"/>
      <c r="L183" s="275"/>
      <c r="M183" s="275"/>
      <c r="N183" s="275"/>
      <c r="O183" s="275"/>
      <c r="P183" s="275"/>
      <c r="Q183" s="275"/>
      <c r="R183" s="275"/>
      <c r="S183" s="275"/>
      <c r="T183" s="275"/>
      <c r="U183" s="275"/>
      <c r="V183" s="275"/>
      <c r="W183" s="153"/>
      <c r="X183" s="154"/>
      <c r="Y183" s="140"/>
    </row>
    <row r="184" spans="2:25" ht="27" customHeight="1" x14ac:dyDescent="0.45">
      <c r="B184" s="80" t="s">
        <v>366</v>
      </c>
      <c r="C184" s="276"/>
      <c r="D184" s="276"/>
      <c r="E184" s="276"/>
      <c r="F184" s="276"/>
      <c r="G184" s="276"/>
      <c r="H184" s="276"/>
      <c r="I184" s="276"/>
      <c r="J184" s="276"/>
      <c r="K184" s="276"/>
      <c r="L184" s="276"/>
      <c r="M184" s="276"/>
      <c r="N184" s="276"/>
      <c r="O184" s="276"/>
      <c r="P184" s="276"/>
      <c r="Q184" s="276"/>
      <c r="R184" s="276"/>
      <c r="S184" s="276"/>
      <c r="T184" s="276"/>
      <c r="U184" s="276"/>
      <c r="V184" s="276"/>
      <c r="W184" s="153"/>
      <c r="X184" s="154"/>
      <c r="Y184" s="140"/>
    </row>
    <row r="185" spans="2:25" x14ac:dyDescent="0.45">
      <c r="B185" s="82"/>
      <c r="C185" s="83"/>
      <c r="D185" s="83"/>
      <c r="E185" s="83"/>
      <c r="F185" s="83"/>
      <c r="G185" s="83"/>
      <c r="H185" s="83"/>
      <c r="I185" s="84"/>
      <c r="J185" s="84"/>
      <c r="K185" s="84"/>
      <c r="L185" s="84"/>
      <c r="M185" s="82"/>
      <c r="N185" s="138"/>
      <c r="O185" s="138"/>
      <c r="P185" s="138"/>
      <c r="Q185" s="138"/>
      <c r="R185" s="138"/>
      <c r="S185" s="138"/>
      <c r="T185" s="138"/>
      <c r="U185" s="138"/>
      <c r="V185" s="138"/>
      <c r="W185" s="138"/>
      <c r="X185" s="138"/>
    </row>
    <row r="186" spans="2:25" ht="27" customHeight="1" x14ac:dyDescent="0.45">
      <c r="B186" s="81" t="s">
        <v>181</v>
      </c>
      <c r="C186" s="282" t="s">
        <v>123</v>
      </c>
      <c r="D186" s="282"/>
      <c r="E186" s="282"/>
      <c r="F186" s="282"/>
      <c r="G186" s="282"/>
      <c r="H186" s="283" t="s">
        <v>124</v>
      </c>
      <c r="I186" s="283"/>
      <c r="J186" s="283"/>
      <c r="K186" s="283"/>
      <c r="L186" s="283"/>
      <c r="M186" s="283"/>
      <c r="N186" s="283"/>
      <c r="O186" s="284" t="s">
        <v>282</v>
      </c>
      <c r="P186" s="284"/>
      <c r="Q186" s="284"/>
      <c r="R186" s="284"/>
      <c r="S186" s="284"/>
      <c r="T186" s="284"/>
      <c r="U186" s="277" t="s">
        <v>179</v>
      </c>
      <c r="V186" s="278"/>
      <c r="W186" s="277" t="s">
        <v>198</v>
      </c>
      <c r="X186" s="278"/>
    </row>
    <row r="187" spans="2:25" ht="27" customHeight="1" x14ac:dyDescent="0.45">
      <c r="B187" s="141" t="s">
        <v>303</v>
      </c>
      <c r="C187" s="281"/>
      <c r="D187" s="281"/>
      <c r="E187" s="281"/>
      <c r="F187" s="281"/>
      <c r="G187" s="281"/>
      <c r="H187" s="281"/>
      <c r="I187" s="281"/>
      <c r="J187" s="281"/>
      <c r="K187" s="281"/>
      <c r="L187" s="281"/>
      <c r="M187" s="281"/>
      <c r="N187" s="281"/>
      <c r="O187" s="281"/>
      <c r="P187" s="281"/>
      <c r="Q187" s="281"/>
      <c r="R187" s="281"/>
      <c r="S187" s="281"/>
      <c r="T187" s="281"/>
      <c r="U187" s="281"/>
      <c r="V187" s="281"/>
      <c r="W187" s="279"/>
      <c r="X187" s="280"/>
    </row>
    <row r="188" spans="2:25" ht="27" customHeight="1" x14ac:dyDescent="0.45">
      <c r="B188" s="142" t="s">
        <v>314</v>
      </c>
      <c r="C188" s="275"/>
      <c r="D188" s="275"/>
      <c r="E188" s="275"/>
      <c r="F188" s="275"/>
      <c r="G188" s="275"/>
      <c r="H188" s="275"/>
      <c r="I188" s="275"/>
      <c r="J188" s="275"/>
      <c r="K188" s="275"/>
      <c r="L188" s="275"/>
      <c r="M188" s="275"/>
      <c r="N188" s="275"/>
      <c r="O188" s="275"/>
      <c r="P188" s="275"/>
      <c r="Q188" s="275"/>
      <c r="R188" s="275"/>
      <c r="S188" s="275"/>
      <c r="T188" s="275"/>
      <c r="U188" s="275"/>
      <c r="V188" s="275"/>
      <c r="W188" s="271"/>
      <c r="X188" s="272"/>
    </row>
    <row r="189" spans="2:25" ht="27" customHeight="1" x14ac:dyDescent="0.45">
      <c r="B189" s="142" t="s">
        <v>305</v>
      </c>
      <c r="C189" s="275"/>
      <c r="D189" s="275"/>
      <c r="E189" s="275"/>
      <c r="F189" s="275"/>
      <c r="G189" s="275"/>
      <c r="H189" s="275"/>
      <c r="I189" s="275"/>
      <c r="J189" s="275"/>
      <c r="K189" s="275"/>
      <c r="L189" s="275"/>
      <c r="M189" s="275"/>
      <c r="N189" s="275"/>
      <c r="O189" s="275"/>
      <c r="P189" s="275"/>
      <c r="Q189" s="275"/>
      <c r="R189" s="275"/>
      <c r="S189" s="275"/>
      <c r="T189" s="275"/>
      <c r="U189" s="275"/>
      <c r="V189" s="275"/>
      <c r="W189" s="271"/>
      <c r="X189" s="272"/>
    </row>
    <row r="190" spans="2:25" ht="27" customHeight="1" x14ac:dyDescent="0.45">
      <c r="B190" s="142" t="s">
        <v>306</v>
      </c>
      <c r="C190" s="275"/>
      <c r="D190" s="275"/>
      <c r="E190" s="275"/>
      <c r="F190" s="275"/>
      <c r="G190" s="275"/>
      <c r="H190" s="275"/>
      <c r="I190" s="275"/>
      <c r="J190" s="275"/>
      <c r="K190" s="275"/>
      <c r="L190" s="275"/>
      <c r="M190" s="275"/>
      <c r="N190" s="275"/>
      <c r="O190" s="275"/>
      <c r="P190" s="275"/>
      <c r="Q190" s="275"/>
      <c r="R190" s="275"/>
      <c r="S190" s="275"/>
      <c r="T190" s="275"/>
      <c r="U190" s="275"/>
      <c r="V190" s="275"/>
      <c r="W190" s="271"/>
      <c r="X190" s="272"/>
    </row>
    <row r="191" spans="2:25" ht="27" customHeight="1" x14ac:dyDescent="0.45">
      <c r="B191" s="142" t="s">
        <v>307</v>
      </c>
      <c r="C191" s="275"/>
      <c r="D191" s="275"/>
      <c r="E191" s="275"/>
      <c r="F191" s="275"/>
      <c r="G191" s="275"/>
      <c r="H191" s="275"/>
      <c r="I191" s="275"/>
      <c r="J191" s="275"/>
      <c r="K191" s="275"/>
      <c r="L191" s="275"/>
      <c r="M191" s="275"/>
      <c r="N191" s="275"/>
      <c r="O191" s="275"/>
      <c r="P191" s="275"/>
      <c r="Q191" s="275"/>
      <c r="R191" s="275"/>
      <c r="S191" s="275"/>
      <c r="T191" s="275"/>
      <c r="U191" s="275"/>
      <c r="V191" s="275"/>
      <c r="W191" s="271"/>
      <c r="X191" s="272"/>
    </row>
    <row r="192" spans="2:25" ht="27" customHeight="1" x14ac:dyDescent="0.45">
      <c r="B192" s="142" t="s">
        <v>308</v>
      </c>
      <c r="C192" s="275"/>
      <c r="D192" s="275"/>
      <c r="E192" s="275"/>
      <c r="F192" s="275"/>
      <c r="G192" s="275"/>
      <c r="H192" s="275"/>
      <c r="I192" s="275"/>
      <c r="J192" s="275"/>
      <c r="K192" s="275"/>
      <c r="L192" s="275"/>
      <c r="M192" s="275"/>
      <c r="N192" s="275"/>
      <c r="O192" s="275"/>
      <c r="P192" s="275"/>
      <c r="Q192" s="275"/>
      <c r="R192" s="275"/>
      <c r="S192" s="275"/>
      <c r="T192" s="275"/>
      <c r="U192" s="275"/>
      <c r="V192" s="275"/>
      <c r="W192" s="271"/>
      <c r="X192" s="272"/>
    </row>
    <row r="193" spans="2:24" ht="27" customHeight="1" x14ac:dyDescent="0.45">
      <c r="B193" s="142" t="s">
        <v>309</v>
      </c>
      <c r="C193" s="275"/>
      <c r="D193" s="275"/>
      <c r="E193" s="275"/>
      <c r="F193" s="275"/>
      <c r="G193" s="275"/>
      <c r="H193" s="275"/>
      <c r="I193" s="275"/>
      <c r="J193" s="275"/>
      <c r="K193" s="275"/>
      <c r="L193" s="275"/>
      <c r="M193" s="275"/>
      <c r="N193" s="275"/>
      <c r="O193" s="275"/>
      <c r="P193" s="275"/>
      <c r="Q193" s="275"/>
      <c r="R193" s="275"/>
      <c r="S193" s="275"/>
      <c r="T193" s="275"/>
      <c r="U193" s="275"/>
      <c r="V193" s="275"/>
      <c r="W193" s="271"/>
      <c r="X193" s="272"/>
    </row>
    <row r="194" spans="2:24" ht="27" customHeight="1" x14ac:dyDescent="0.45">
      <c r="B194" s="142" t="s">
        <v>310</v>
      </c>
      <c r="C194" s="275"/>
      <c r="D194" s="275"/>
      <c r="E194" s="275"/>
      <c r="F194" s="275"/>
      <c r="G194" s="275"/>
      <c r="H194" s="275"/>
      <c r="I194" s="275"/>
      <c r="J194" s="275"/>
      <c r="K194" s="275"/>
      <c r="L194" s="275"/>
      <c r="M194" s="275"/>
      <c r="N194" s="275"/>
      <c r="O194" s="275"/>
      <c r="P194" s="275"/>
      <c r="Q194" s="275"/>
      <c r="R194" s="275"/>
      <c r="S194" s="275"/>
      <c r="T194" s="275"/>
      <c r="U194" s="275"/>
      <c r="V194" s="275"/>
      <c r="W194" s="271"/>
      <c r="X194" s="272"/>
    </row>
    <row r="195" spans="2:24" ht="27" customHeight="1" x14ac:dyDescent="0.45">
      <c r="B195" s="142" t="s">
        <v>311</v>
      </c>
      <c r="C195" s="275"/>
      <c r="D195" s="275"/>
      <c r="E195" s="275"/>
      <c r="F195" s="275"/>
      <c r="G195" s="275"/>
      <c r="H195" s="275"/>
      <c r="I195" s="275"/>
      <c r="J195" s="275"/>
      <c r="K195" s="275"/>
      <c r="L195" s="275"/>
      <c r="M195" s="275"/>
      <c r="N195" s="275"/>
      <c r="O195" s="275"/>
      <c r="P195" s="275"/>
      <c r="Q195" s="275"/>
      <c r="R195" s="275"/>
      <c r="S195" s="275"/>
      <c r="T195" s="275"/>
      <c r="U195" s="275"/>
      <c r="V195" s="275"/>
      <c r="W195" s="271"/>
      <c r="X195" s="272"/>
    </row>
    <row r="196" spans="2:24" ht="27" customHeight="1" x14ac:dyDescent="0.45">
      <c r="B196" s="142" t="s">
        <v>312</v>
      </c>
      <c r="C196" s="275"/>
      <c r="D196" s="275"/>
      <c r="E196" s="275"/>
      <c r="F196" s="275"/>
      <c r="G196" s="275"/>
      <c r="H196" s="275"/>
      <c r="I196" s="275"/>
      <c r="J196" s="275"/>
      <c r="K196" s="275"/>
      <c r="L196" s="275"/>
      <c r="M196" s="275"/>
      <c r="N196" s="275"/>
      <c r="O196" s="275"/>
      <c r="P196" s="275"/>
      <c r="Q196" s="275"/>
      <c r="R196" s="275"/>
      <c r="S196" s="275"/>
      <c r="T196" s="275"/>
      <c r="U196" s="275"/>
      <c r="V196" s="275"/>
      <c r="W196" s="271"/>
      <c r="X196" s="272"/>
    </row>
    <row r="197" spans="2:24" ht="27" customHeight="1" x14ac:dyDescent="0.45">
      <c r="B197" s="142" t="s">
        <v>367</v>
      </c>
      <c r="C197" s="275"/>
      <c r="D197" s="275"/>
      <c r="E197" s="275"/>
      <c r="F197" s="275"/>
      <c r="G197" s="275"/>
      <c r="H197" s="275"/>
      <c r="I197" s="275"/>
      <c r="J197" s="275"/>
      <c r="K197" s="275"/>
      <c r="L197" s="275"/>
      <c r="M197" s="275"/>
      <c r="N197" s="275"/>
      <c r="O197" s="275"/>
      <c r="P197" s="275"/>
      <c r="Q197" s="275"/>
      <c r="R197" s="275"/>
      <c r="S197" s="275"/>
      <c r="T197" s="275"/>
      <c r="U197" s="275"/>
      <c r="V197" s="275"/>
      <c r="W197" s="271"/>
      <c r="X197" s="272"/>
    </row>
    <row r="198" spans="2:24" ht="27" customHeight="1" x14ac:dyDescent="0.45">
      <c r="B198" s="142" t="s">
        <v>368</v>
      </c>
      <c r="C198" s="275"/>
      <c r="D198" s="275"/>
      <c r="E198" s="275"/>
      <c r="F198" s="275"/>
      <c r="G198" s="275"/>
      <c r="H198" s="275"/>
      <c r="I198" s="275"/>
      <c r="J198" s="275"/>
      <c r="K198" s="275"/>
      <c r="L198" s="275"/>
      <c r="M198" s="275"/>
      <c r="N198" s="275"/>
      <c r="O198" s="275"/>
      <c r="P198" s="275"/>
      <c r="Q198" s="275"/>
      <c r="R198" s="275"/>
      <c r="S198" s="275"/>
      <c r="T198" s="275"/>
      <c r="U198" s="275"/>
      <c r="V198" s="275"/>
      <c r="W198" s="271"/>
      <c r="X198" s="272"/>
    </row>
    <row r="199" spans="2:24" ht="27" customHeight="1" x14ac:dyDescent="0.45">
      <c r="B199" s="142" t="s">
        <v>369</v>
      </c>
      <c r="C199" s="275"/>
      <c r="D199" s="275"/>
      <c r="E199" s="275"/>
      <c r="F199" s="275"/>
      <c r="G199" s="275"/>
      <c r="H199" s="275"/>
      <c r="I199" s="275"/>
      <c r="J199" s="275"/>
      <c r="K199" s="275"/>
      <c r="L199" s="275"/>
      <c r="M199" s="275"/>
      <c r="N199" s="275"/>
      <c r="O199" s="275"/>
      <c r="P199" s="275"/>
      <c r="Q199" s="275"/>
      <c r="R199" s="275"/>
      <c r="S199" s="275"/>
      <c r="T199" s="275"/>
      <c r="U199" s="275"/>
      <c r="V199" s="275"/>
      <c r="W199" s="271"/>
      <c r="X199" s="272"/>
    </row>
    <row r="200" spans="2:24" ht="27" customHeight="1" x14ac:dyDescent="0.45">
      <c r="B200" s="142" t="s">
        <v>370</v>
      </c>
      <c r="C200" s="275"/>
      <c r="D200" s="275"/>
      <c r="E200" s="275"/>
      <c r="F200" s="275"/>
      <c r="G200" s="275"/>
      <c r="H200" s="275"/>
      <c r="I200" s="275"/>
      <c r="J200" s="275"/>
      <c r="K200" s="275"/>
      <c r="L200" s="275"/>
      <c r="M200" s="275"/>
      <c r="N200" s="275"/>
      <c r="O200" s="275"/>
      <c r="P200" s="275"/>
      <c r="Q200" s="275"/>
      <c r="R200" s="275"/>
      <c r="S200" s="275"/>
      <c r="T200" s="275"/>
      <c r="U200" s="275"/>
      <c r="V200" s="275"/>
      <c r="W200" s="271"/>
      <c r="X200" s="272"/>
    </row>
    <row r="201" spans="2:24" ht="27" customHeight="1" x14ac:dyDescent="0.45">
      <c r="B201" s="142" t="s">
        <v>371</v>
      </c>
      <c r="C201" s="275"/>
      <c r="D201" s="275"/>
      <c r="E201" s="275"/>
      <c r="F201" s="275"/>
      <c r="G201" s="275"/>
      <c r="H201" s="275"/>
      <c r="I201" s="275"/>
      <c r="J201" s="275"/>
      <c r="K201" s="275"/>
      <c r="L201" s="275"/>
      <c r="M201" s="275"/>
      <c r="N201" s="275"/>
      <c r="O201" s="275"/>
      <c r="P201" s="275"/>
      <c r="Q201" s="275"/>
      <c r="R201" s="275"/>
      <c r="S201" s="275"/>
      <c r="T201" s="275"/>
      <c r="U201" s="275"/>
      <c r="V201" s="275"/>
      <c r="W201" s="271"/>
      <c r="X201" s="272"/>
    </row>
    <row r="202" spans="2:24" ht="27" customHeight="1" x14ac:dyDescent="0.45">
      <c r="B202" s="142" t="s">
        <v>372</v>
      </c>
      <c r="C202" s="275"/>
      <c r="D202" s="275"/>
      <c r="E202" s="275"/>
      <c r="F202" s="275"/>
      <c r="G202" s="275"/>
      <c r="H202" s="275"/>
      <c r="I202" s="275"/>
      <c r="J202" s="275"/>
      <c r="K202" s="275"/>
      <c r="L202" s="275"/>
      <c r="M202" s="275"/>
      <c r="N202" s="275"/>
      <c r="O202" s="275"/>
      <c r="P202" s="275"/>
      <c r="Q202" s="275"/>
      <c r="R202" s="275"/>
      <c r="S202" s="275"/>
      <c r="T202" s="275"/>
      <c r="U202" s="275"/>
      <c r="V202" s="275"/>
      <c r="W202" s="271"/>
      <c r="X202" s="272"/>
    </row>
    <row r="203" spans="2:24" ht="27" customHeight="1" x14ac:dyDescent="0.45">
      <c r="B203" s="142" t="s">
        <v>373</v>
      </c>
      <c r="C203" s="275"/>
      <c r="D203" s="275"/>
      <c r="E203" s="275"/>
      <c r="F203" s="275"/>
      <c r="G203" s="275"/>
      <c r="H203" s="275"/>
      <c r="I203" s="275"/>
      <c r="J203" s="275"/>
      <c r="K203" s="275"/>
      <c r="L203" s="275"/>
      <c r="M203" s="275"/>
      <c r="N203" s="275"/>
      <c r="O203" s="275"/>
      <c r="P203" s="275"/>
      <c r="Q203" s="275"/>
      <c r="R203" s="275"/>
      <c r="S203" s="275"/>
      <c r="T203" s="275"/>
      <c r="U203" s="275"/>
      <c r="V203" s="275"/>
      <c r="W203" s="271"/>
      <c r="X203" s="272"/>
    </row>
    <row r="204" spans="2:24" ht="27" customHeight="1" x14ac:dyDescent="0.45">
      <c r="B204" s="142" t="s">
        <v>374</v>
      </c>
      <c r="C204" s="275"/>
      <c r="D204" s="275"/>
      <c r="E204" s="275"/>
      <c r="F204" s="275"/>
      <c r="G204" s="275"/>
      <c r="H204" s="275"/>
      <c r="I204" s="275"/>
      <c r="J204" s="275"/>
      <c r="K204" s="275"/>
      <c r="L204" s="275"/>
      <c r="M204" s="275"/>
      <c r="N204" s="275"/>
      <c r="O204" s="275"/>
      <c r="P204" s="275"/>
      <c r="Q204" s="275"/>
      <c r="R204" s="275"/>
      <c r="S204" s="275"/>
      <c r="T204" s="275"/>
      <c r="U204" s="275"/>
      <c r="V204" s="275"/>
      <c r="W204" s="271"/>
      <c r="X204" s="272"/>
    </row>
    <row r="205" spans="2:24" ht="27" customHeight="1" x14ac:dyDescent="0.45">
      <c r="B205" s="142" t="s">
        <v>375</v>
      </c>
      <c r="C205" s="275"/>
      <c r="D205" s="275"/>
      <c r="E205" s="275"/>
      <c r="F205" s="275"/>
      <c r="G205" s="275"/>
      <c r="H205" s="275"/>
      <c r="I205" s="275"/>
      <c r="J205" s="275"/>
      <c r="K205" s="275"/>
      <c r="L205" s="275"/>
      <c r="M205" s="275"/>
      <c r="N205" s="275"/>
      <c r="O205" s="275"/>
      <c r="P205" s="275"/>
      <c r="Q205" s="275"/>
      <c r="R205" s="275"/>
      <c r="S205" s="275"/>
      <c r="T205" s="275"/>
      <c r="U205" s="275"/>
      <c r="V205" s="275"/>
      <c r="W205" s="271"/>
      <c r="X205" s="272"/>
    </row>
    <row r="206" spans="2:24" ht="27" customHeight="1" x14ac:dyDescent="0.45">
      <c r="B206" s="143" t="s">
        <v>376</v>
      </c>
      <c r="C206" s="276"/>
      <c r="D206" s="276"/>
      <c r="E206" s="276"/>
      <c r="F206" s="276"/>
      <c r="G206" s="276"/>
      <c r="H206" s="276"/>
      <c r="I206" s="276"/>
      <c r="J206" s="276"/>
      <c r="K206" s="276"/>
      <c r="L206" s="276"/>
      <c r="M206" s="276"/>
      <c r="N206" s="276"/>
      <c r="O206" s="276"/>
      <c r="P206" s="276"/>
      <c r="Q206" s="276"/>
      <c r="R206" s="276"/>
      <c r="S206" s="276"/>
      <c r="T206" s="276"/>
      <c r="U206" s="276"/>
      <c r="V206" s="276"/>
      <c r="W206" s="273"/>
      <c r="X206" s="274"/>
    </row>
    <row r="207" spans="2:24" x14ac:dyDescent="0.45">
      <c r="B207" s="36"/>
      <c r="C207" s="37"/>
    </row>
  </sheetData>
  <sheetProtection password="DFA8" sheet="1" objects="1" scenarios="1" selectLockedCells="1"/>
  <mergeCells count="423">
    <mergeCell ref="F27:G27"/>
    <mergeCell ref="G115:H115"/>
    <mergeCell ref="B133:B134"/>
    <mergeCell ref="B154:B155"/>
    <mergeCell ref="B152:C152"/>
    <mergeCell ref="B153:C153"/>
    <mergeCell ref="B131:C131"/>
    <mergeCell ref="B132:C132"/>
    <mergeCell ref="B147:B148"/>
    <mergeCell ref="B126:B127"/>
    <mergeCell ref="B128:B130"/>
    <mergeCell ref="C80:G80"/>
    <mergeCell ref="C81:G81"/>
    <mergeCell ref="C82:G82"/>
    <mergeCell ref="C83:G83"/>
    <mergeCell ref="C84:G84"/>
    <mergeCell ref="C85:G85"/>
    <mergeCell ref="C86:G86"/>
    <mergeCell ref="C87:G87"/>
    <mergeCell ref="C75:G75"/>
    <mergeCell ref="C76:G76"/>
    <mergeCell ref="B41:C41"/>
    <mergeCell ref="H73:N73"/>
    <mergeCell ref="H74:N74"/>
    <mergeCell ref="B42:C42"/>
    <mergeCell ref="B44:C44"/>
    <mergeCell ref="B46:C46"/>
    <mergeCell ref="B47:C47"/>
    <mergeCell ref="B48:C48"/>
    <mergeCell ref="B49:C49"/>
    <mergeCell ref="B30:C30"/>
    <mergeCell ref="B31:C31"/>
    <mergeCell ref="B33:C33"/>
    <mergeCell ref="B34:C34"/>
    <mergeCell ref="B35:C35"/>
    <mergeCell ref="B45:C45"/>
    <mergeCell ref="B32:C32"/>
    <mergeCell ref="B36:C36"/>
    <mergeCell ref="B37:C37"/>
    <mergeCell ref="B43:C43"/>
    <mergeCell ref="B52:C52"/>
    <mergeCell ref="B53:C53"/>
    <mergeCell ref="H84:N84"/>
    <mergeCell ref="H85:N85"/>
    <mergeCell ref="H86:N86"/>
    <mergeCell ref="H87:N87"/>
    <mergeCell ref="H88:N88"/>
    <mergeCell ref="H89:N89"/>
    <mergeCell ref="U70:V70"/>
    <mergeCell ref="O70:T70"/>
    <mergeCell ref="C70:G70"/>
    <mergeCell ref="H70:N70"/>
    <mergeCell ref="C71:G71"/>
    <mergeCell ref="C72:G72"/>
    <mergeCell ref="C73:G73"/>
    <mergeCell ref="C74:G74"/>
    <mergeCell ref="O71:T71"/>
    <mergeCell ref="O72:T72"/>
    <mergeCell ref="O73:T73"/>
    <mergeCell ref="O74:T74"/>
    <mergeCell ref="U71:V71"/>
    <mergeCell ref="U72:V72"/>
    <mergeCell ref="U73:V73"/>
    <mergeCell ref="U74:V74"/>
    <mergeCell ref="H71:N71"/>
    <mergeCell ref="H72:N72"/>
    <mergeCell ref="H78:N78"/>
    <mergeCell ref="H79:N79"/>
    <mergeCell ref="H90:N90"/>
    <mergeCell ref="C79:G79"/>
    <mergeCell ref="O75:T75"/>
    <mergeCell ref="O76:T76"/>
    <mergeCell ref="O77:T77"/>
    <mergeCell ref="O78:T78"/>
    <mergeCell ref="O79:T79"/>
    <mergeCell ref="O80:T80"/>
    <mergeCell ref="O81:T81"/>
    <mergeCell ref="O82:T82"/>
    <mergeCell ref="O83:T83"/>
    <mergeCell ref="O84:T84"/>
    <mergeCell ref="O85:T85"/>
    <mergeCell ref="O86:T86"/>
    <mergeCell ref="O87:T87"/>
    <mergeCell ref="O88:T88"/>
    <mergeCell ref="O89:T89"/>
    <mergeCell ref="O90:T90"/>
    <mergeCell ref="C77:G77"/>
    <mergeCell ref="H81:N81"/>
    <mergeCell ref="C78:G78"/>
    <mergeCell ref="C88:G88"/>
    <mergeCell ref="C89:G89"/>
    <mergeCell ref="C90:G90"/>
    <mergeCell ref="H80:N80"/>
    <mergeCell ref="U75:V75"/>
    <mergeCell ref="U76:V76"/>
    <mergeCell ref="U77:V77"/>
    <mergeCell ref="U78:V78"/>
    <mergeCell ref="U79:V79"/>
    <mergeCell ref="U80:V80"/>
    <mergeCell ref="U81:V81"/>
    <mergeCell ref="U82:V82"/>
    <mergeCell ref="U83:V83"/>
    <mergeCell ref="U84:V84"/>
    <mergeCell ref="U85:V85"/>
    <mergeCell ref="U86:V86"/>
    <mergeCell ref="U87:V87"/>
    <mergeCell ref="U88:V88"/>
    <mergeCell ref="U89:V89"/>
    <mergeCell ref="U90:V90"/>
    <mergeCell ref="H75:N75"/>
    <mergeCell ref="H76:N76"/>
    <mergeCell ref="H77:N77"/>
    <mergeCell ref="W92:X92"/>
    <mergeCell ref="W93:X93"/>
    <mergeCell ref="W94:X94"/>
    <mergeCell ref="W95:X95"/>
    <mergeCell ref="W96:X96"/>
    <mergeCell ref="W97:X97"/>
    <mergeCell ref="W98:X98"/>
    <mergeCell ref="U96:V96"/>
    <mergeCell ref="H82:N82"/>
    <mergeCell ref="H83:N83"/>
    <mergeCell ref="W99:X99"/>
    <mergeCell ref="W100:X100"/>
    <mergeCell ref="W101:X101"/>
    <mergeCell ref="W102:X102"/>
    <mergeCell ref="W103:X103"/>
    <mergeCell ref="W104:X104"/>
    <mergeCell ref="W105:X105"/>
    <mergeCell ref="W106:X106"/>
    <mergeCell ref="W107:X107"/>
    <mergeCell ref="W108:X108"/>
    <mergeCell ref="W109:X109"/>
    <mergeCell ref="W110:X110"/>
    <mergeCell ref="W111:X111"/>
    <mergeCell ref="W112:X112"/>
    <mergeCell ref="C92:G92"/>
    <mergeCell ref="H92:N92"/>
    <mergeCell ref="O92:T92"/>
    <mergeCell ref="U92:V92"/>
    <mergeCell ref="C93:G93"/>
    <mergeCell ref="H93:N93"/>
    <mergeCell ref="O93:T93"/>
    <mergeCell ref="U93:V93"/>
    <mergeCell ref="C94:G94"/>
    <mergeCell ref="H94:N94"/>
    <mergeCell ref="O94:T94"/>
    <mergeCell ref="U94:V94"/>
    <mergeCell ref="C95:G95"/>
    <mergeCell ref="H95:N95"/>
    <mergeCell ref="O95:T95"/>
    <mergeCell ref="U95:V95"/>
    <mergeCell ref="C96:G96"/>
    <mergeCell ref="H96:N96"/>
    <mergeCell ref="O96:T96"/>
    <mergeCell ref="C97:G97"/>
    <mergeCell ref="H97:N97"/>
    <mergeCell ref="O97:T97"/>
    <mergeCell ref="U97:V97"/>
    <mergeCell ref="C98:G98"/>
    <mergeCell ref="H98:N98"/>
    <mergeCell ref="O98:T98"/>
    <mergeCell ref="U98:V98"/>
    <mergeCell ref="O99:T99"/>
    <mergeCell ref="U99:V99"/>
    <mergeCell ref="C100:G100"/>
    <mergeCell ref="H100:N100"/>
    <mergeCell ref="O100:T100"/>
    <mergeCell ref="U100:V100"/>
    <mergeCell ref="C101:G101"/>
    <mergeCell ref="H101:N101"/>
    <mergeCell ref="O101:T101"/>
    <mergeCell ref="U101:V101"/>
    <mergeCell ref="C99:G99"/>
    <mergeCell ref="H99:N99"/>
    <mergeCell ref="O102:T102"/>
    <mergeCell ref="U102:V102"/>
    <mergeCell ref="C103:G103"/>
    <mergeCell ref="H103:N103"/>
    <mergeCell ref="O103:T103"/>
    <mergeCell ref="U103:V103"/>
    <mergeCell ref="C104:G104"/>
    <mergeCell ref="H104:N104"/>
    <mergeCell ref="O104:T104"/>
    <mergeCell ref="U104:V104"/>
    <mergeCell ref="C102:G102"/>
    <mergeCell ref="H102:N102"/>
    <mergeCell ref="C105:G105"/>
    <mergeCell ref="H105:N105"/>
    <mergeCell ref="O105:T105"/>
    <mergeCell ref="U105:V105"/>
    <mergeCell ref="C106:G106"/>
    <mergeCell ref="H106:N106"/>
    <mergeCell ref="O106:T106"/>
    <mergeCell ref="U106:V106"/>
    <mergeCell ref="C107:G107"/>
    <mergeCell ref="H107:N107"/>
    <mergeCell ref="O107:T107"/>
    <mergeCell ref="U107:V107"/>
    <mergeCell ref="C108:G108"/>
    <mergeCell ref="H108:N108"/>
    <mergeCell ref="O108:T108"/>
    <mergeCell ref="U108:V108"/>
    <mergeCell ref="C109:G109"/>
    <mergeCell ref="H109:N109"/>
    <mergeCell ref="O109:T109"/>
    <mergeCell ref="U109:V109"/>
    <mergeCell ref="C110:G110"/>
    <mergeCell ref="H110:N110"/>
    <mergeCell ref="O110:T110"/>
    <mergeCell ref="U110:V110"/>
    <mergeCell ref="C111:G111"/>
    <mergeCell ref="H111:N111"/>
    <mergeCell ref="O111:T111"/>
    <mergeCell ref="U111:V111"/>
    <mergeCell ref="C112:G112"/>
    <mergeCell ref="H112:N112"/>
    <mergeCell ref="O112:T112"/>
    <mergeCell ref="U112:V112"/>
    <mergeCell ref="C164:G164"/>
    <mergeCell ref="H164:N164"/>
    <mergeCell ref="O164:T164"/>
    <mergeCell ref="U164:V164"/>
    <mergeCell ref="B123:C123"/>
    <mergeCell ref="B143:C143"/>
    <mergeCell ref="B142:C142"/>
    <mergeCell ref="B121:C121"/>
    <mergeCell ref="B122:C122"/>
    <mergeCell ref="B124:C124"/>
    <mergeCell ref="B115:F115"/>
    <mergeCell ref="B125:C125"/>
    <mergeCell ref="B149:B151"/>
    <mergeCell ref="B144:C144"/>
    <mergeCell ref="B145:C145"/>
    <mergeCell ref="B146:C146"/>
    <mergeCell ref="F118:G118"/>
    <mergeCell ref="C165:G165"/>
    <mergeCell ref="H165:N165"/>
    <mergeCell ref="O165:T165"/>
    <mergeCell ref="U165:V165"/>
    <mergeCell ref="C166:G166"/>
    <mergeCell ref="H166:N166"/>
    <mergeCell ref="O166:T166"/>
    <mergeCell ref="U166:V166"/>
    <mergeCell ref="C167:G167"/>
    <mergeCell ref="H167:N167"/>
    <mergeCell ref="O167:T167"/>
    <mergeCell ref="U167:V167"/>
    <mergeCell ref="C168:G168"/>
    <mergeCell ref="H168:N168"/>
    <mergeCell ref="O168:T168"/>
    <mergeCell ref="U168:V168"/>
    <mergeCell ref="C169:G169"/>
    <mergeCell ref="H169:N169"/>
    <mergeCell ref="O169:T169"/>
    <mergeCell ref="U169:V169"/>
    <mergeCell ref="C170:G170"/>
    <mergeCell ref="H170:N170"/>
    <mergeCell ref="O170:T170"/>
    <mergeCell ref="U170:V170"/>
    <mergeCell ref="C171:G171"/>
    <mergeCell ref="H171:N171"/>
    <mergeCell ref="O171:T171"/>
    <mergeCell ref="U171:V171"/>
    <mergeCell ref="C172:G172"/>
    <mergeCell ref="H172:N172"/>
    <mergeCell ref="O172:T172"/>
    <mergeCell ref="U172:V172"/>
    <mergeCell ref="C173:G173"/>
    <mergeCell ref="H173:N173"/>
    <mergeCell ref="O173:T173"/>
    <mergeCell ref="U173:V173"/>
    <mergeCell ref="C174:G174"/>
    <mergeCell ref="H174:N174"/>
    <mergeCell ref="O174:T174"/>
    <mergeCell ref="U174:V174"/>
    <mergeCell ref="C175:G175"/>
    <mergeCell ref="H175:N175"/>
    <mergeCell ref="O175:T175"/>
    <mergeCell ref="U175:V175"/>
    <mergeCell ref="C176:G176"/>
    <mergeCell ref="H176:N176"/>
    <mergeCell ref="O176:T176"/>
    <mergeCell ref="U176:V176"/>
    <mergeCell ref="C177:G177"/>
    <mergeCell ref="H177:N177"/>
    <mergeCell ref="O177:T177"/>
    <mergeCell ref="U177:V177"/>
    <mergeCell ref="C178:G178"/>
    <mergeCell ref="H178:N178"/>
    <mergeCell ref="O178:T178"/>
    <mergeCell ref="U178:V178"/>
    <mergeCell ref="C179:G179"/>
    <mergeCell ref="H179:N179"/>
    <mergeCell ref="O179:T179"/>
    <mergeCell ref="U179:V179"/>
    <mergeCell ref="C180:G180"/>
    <mergeCell ref="H180:N180"/>
    <mergeCell ref="O180:T180"/>
    <mergeCell ref="U180:V180"/>
    <mergeCell ref="C181:G181"/>
    <mergeCell ref="H181:N181"/>
    <mergeCell ref="O181:T181"/>
    <mergeCell ref="U181:V181"/>
    <mergeCell ref="C182:G182"/>
    <mergeCell ref="H182:N182"/>
    <mergeCell ref="O182:T182"/>
    <mergeCell ref="U182:V182"/>
    <mergeCell ref="O183:T183"/>
    <mergeCell ref="U183:V183"/>
    <mergeCell ref="C184:G184"/>
    <mergeCell ref="H184:N184"/>
    <mergeCell ref="O184:T184"/>
    <mergeCell ref="U184:V184"/>
    <mergeCell ref="C186:G186"/>
    <mergeCell ref="H186:N186"/>
    <mergeCell ref="O186:T186"/>
    <mergeCell ref="U186:V186"/>
    <mergeCell ref="C183:G183"/>
    <mergeCell ref="H183:N183"/>
    <mergeCell ref="O187:T187"/>
    <mergeCell ref="U187:V187"/>
    <mergeCell ref="C188:G188"/>
    <mergeCell ref="H188:N188"/>
    <mergeCell ref="O188:T188"/>
    <mergeCell ref="U188:V188"/>
    <mergeCell ref="C189:G189"/>
    <mergeCell ref="H189:N189"/>
    <mergeCell ref="O189:T189"/>
    <mergeCell ref="U189:V189"/>
    <mergeCell ref="C187:G187"/>
    <mergeCell ref="H187:N187"/>
    <mergeCell ref="O190:T190"/>
    <mergeCell ref="U190:V190"/>
    <mergeCell ref="C191:G191"/>
    <mergeCell ref="H191:N191"/>
    <mergeCell ref="O191:T191"/>
    <mergeCell ref="U191:V191"/>
    <mergeCell ref="C192:G192"/>
    <mergeCell ref="H192:N192"/>
    <mergeCell ref="O192:T192"/>
    <mergeCell ref="U192:V192"/>
    <mergeCell ref="C190:G190"/>
    <mergeCell ref="H190:N190"/>
    <mergeCell ref="O193:T193"/>
    <mergeCell ref="U193:V193"/>
    <mergeCell ref="C194:G194"/>
    <mergeCell ref="H194:N194"/>
    <mergeCell ref="O194:T194"/>
    <mergeCell ref="U194:V194"/>
    <mergeCell ref="C195:G195"/>
    <mergeCell ref="H195:N195"/>
    <mergeCell ref="O195:T195"/>
    <mergeCell ref="U195:V195"/>
    <mergeCell ref="C193:G193"/>
    <mergeCell ref="H193:N193"/>
    <mergeCell ref="O196:T196"/>
    <mergeCell ref="U196:V196"/>
    <mergeCell ref="C197:G197"/>
    <mergeCell ref="H197:N197"/>
    <mergeCell ref="O197:T197"/>
    <mergeCell ref="U197:V197"/>
    <mergeCell ref="U203:V203"/>
    <mergeCell ref="C198:G198"/>
    <mergeCell ref="H198:N198"/>
    <mergeCell ref="O198:T198"/>
    <mergeCell ref="U198:V198"/>
    <mergeCell ref="C196:G196"/>
    <mergeCell ref="H196:N196"/>
    <mergeCell ref="O199:T199"/>
    <mergeCell ref="U199:V199"/>
    <mergeCell ref="C200:G200"/>
    <mergeCell ref="H200:N200"/>
    <mergeCell ref="O200:T200"/>
    <mergeCell ref="U200:V200"/>
    <mergeCell ref="U204:V204"/>
    <mergeCell ref="C202:G202"/>
    <mergeCell ref="H202:N202"/>
    <mergeCell ref="W195:X195"/>
    <mergeCell ref="W196:X196"/>
    <mergeCell ref="W197:X197"/>
    <mergeCell ref="W198:X198"/>
    <mergeCell ref="W199:X199"/>
    <mergeCell ref="W200:X200"/>
    <mergeCell ref="W201:X201"/>
    <mergeCell ref="W202:X202"/>
    <mergeCell ref="W203:X203"/>
    <mergeCell ref="W204:X204"/>
    <mergeCell ref="C201:G201"/>
    <mergeCell ref="H201:N201"/>
    <mergeCell ref="O201:T201"/>
    <mergeCell ref="U201:V201"/>
    <mergeCell ref="C199:G199"/>
    <mergeCell ref="H199:N199"/>
    <mergeCell ref="O202:T202"/>
    <mergeCell ref="U202:V202"/>
    <mergeCell ref="C203:G203"/>
    <mergeCell ref="H203:N203"/>
    <mergeCell ref="O203:T203"/>
    <mergeCell ref="H27:O27"/>
    <mergeCell ref="H118:O118"/>
    <mergeCell ref="W205:X205"/>
    <mergeCell ref="W206:X206"/>
    <mergeCell ref="O205:T205"/>
    <mergeCell ref="U205:V205"/>
    <mergeCell ref="C206:G206"/>
    <mergeCell ref="H206:N206"/>
    <mergeCell ref="O206:T206"/>
    <mergeCell ref="U206:V206"/>
    <mergeCell ref="C205:G205"/>
    <mergeCell ref="H205:N205"/>
    <mergeCell ref="W186:X186"/>
    <mergeCell ref="W187:X187"/>
    <mergeCell ref="W188:X188"/>
    <mergeCell ref="W189:X189"/>
    <mergeCell ref="W190:X190"/>
    <mergeCell ref="W191:X191"/>
    <mergeCell ref="W192:X192"/>
    <mergeCell ref="W193:X193"/>
    <mergeCell ref="W194:X194"/>
    <mergeCell ref="C204:G204"/>
    <mergeCell ref="H204:N204"/>
    <mergeCell ref="O204:T204"/>
  </mergeCells>
  <phoneticPr fontId="12"/>
  <conditionalFormatting sqref="D49:W49">
    <cfRule type="expression" dxfId="82" priority="22">
      <formula>D56=1</formula>
    </cfRule>
    <cfRule type="expression" dxfId="81" priority="37">
      <formula>D49="---"</formula>
    </cfRule>
    <cfRule type="expression" dxfId="80" priority="57">
      <formula>D49&gt;0.4</formula>
    </cfRule>
  </conditionalFormatting>
  <conditionalFormatting sqref="D50:W50">
    <cfRule type="expression" dxfId="79" priority="17">
      <formula>OR(D44="継続",D50="")</formula>
    </cfRule>
    <cfRule type="expression" dxfId="78" priority="33">
      <formula>AND(D50&lt;&gt;"継続",D50&lt;40)</formula>
    </cfRule>
  </conditionalFormatting>
  <conditionalFormatting sqref="D51:W51">
    <cfRule type="expression" dxfId="77" priority="18">
      <formula>OR(D44="継続",D51="")</formula>
    </cfRule>
    <cfRule type="expression" dxfId="76" priority="35">
      <formula>AND(D44&lt;&gt;"継続",D51&lt;40)</formula>
    </cfRule>
  </conditionalFormatting>
  <conditionalFormatting sqref="H27">
    <cfRule type="expression" dxfId="75" priority="4">
      <formula>$H$27="換気設備の導入は必須です。換気設備について入力してください。"</formula>
    </cfRule>
    <cfRule type="expression" dxfId="74" priority="5">
      <formula>H27="旧設備の入力をご確認ください。"</formula>
    </cfRule>
    <cfRule type="expression" dxfId="73" priority="58">
      <formula>H27="新設備の入力をご確認ください。"</formula>
    </cfRule>
  </conditionalFormatting>
  <conditionalFormatting sqref="D45:W45">
    <cfRule type="expression" dxfId="72" priority="21">
      <formula>D$59=1</formula>
    </cfRule>
  </conditionalFormatting>
  <conditionalFormatting sqref="D121:W121">
    <cfRule type="expression" dxfId="71" priority="26">
      <formula>OR(D138=1,D139=1)</formula>
    </cfRule>
  </conditionalFormatting>
  <conditionalFormatting sqref="D142:W142">
    <cfRule type="expression" dxfId="70" priority="30">
      <formula>OR(D159=1,D160=1)</formula>
    </cfRule>
  </conditionalFormatting>
  <conditionalFormatting sqref="D122:W122">
    <cfRule type="expression" dxfId="69" priority="27">
      <formula>D137=1</formula>
    </cfRule>
  </conditionalFormatting>
  <conditionalFormatting sqref="D124:W124">
    <cfRule type="expression" dxfId="68" priority="28">
      <formula>D137=1</formula>
    </cfRule>
  </conditionalFormatting>
  <conditionalFormatting sqref="D130:W130">
    <cfRule type="expression" dxfId="67" priority="29">
      <formula>D137=1</formula>
    </cfRule>
  </conditionalFormatting>
  <conditionalFormatting sqref="D143:W143">
    <cfRule type="expression" dxfId="66" priority="25">
      <formula>D158=1</formula>
    </cfRule>
  </conditionalFormatting>
  <conditionalFormatting sqref="D145:W145">
    <cfRule type="expression" dxfId="65" priority="24">
      <formula>D158=1</formula>
    </cfRule>
  </conditionalFormatting>
  <conditionalFormatting sqref="D151:W151">
    <cfRule type="expression" dxfId="64" priority="23">
      <formula>D158=1</formula>
    </cfRule>
  </conditionalFormatting>
  <conditionalFormatting sqref="H118">
    <cfRule type="expression" dxfId="63" priority="6">
      <formula>$H$118="新設備の入力をご確認ください。"</formula>
    </cfRule>
    <cfRule type="expression" dxfId="62" priority="8">
      <formula>$H$118="旧設備の入力をご確認ください。"</formula>
    </cfRule>
  </conditionalFormatting>
  <conditionalFormatting sqref="D30:W30">
    <cfRule type="expression" dxfId="61" priority="11">
      <formula>D38=1</formula>
    </cfRule>
  </conditionalFormatting>
  <conditionalFormatting sqref="D41:W41">
    <cfRule type="expression" dxfId="60" priority="15">
      <formula>D64=1</formula>
    </cfRule>
  </conditionalFormatting>
  <conditionalFormatting sqref="W93">
    <cfRule type="expression" dxfId="59" priority="77">
      <formula>$D$58=2</formula>
    </cfRule>
  </conditionalFormatting>
  <conditionalFormatting sqref="H27">
    <cfRule type="expression" dxfId="58" priority="74">
      <formula>$H$27="換気設備導入の要件を満たしていないため、申請できません。"</formula>
    </cfRule>
  </conditionalFormatting>
  <conditionalFormatting sqref="H118">
    <cfRule type="expression" dxfId="57" priority="7">
      <formula>$H$118="省エネ設備更新の要件を満たしていないため、申請できません。"</formula>
    </cfRule>
  </conditionalFormatting>
  <conditionalFormatting sqref="X153">
    <cfRule type="expression" dxfId="56" priority="19">
      <formula>AND($AE$160&lt;&gt;0,$X$132&lt;=$X$153)</formula>
    </cfRule>
  </conditionalFormatting>
  <conditionalFormatting sqref="D42:W45">
    <cfRule type="expression" dxfId="55" priority="32">
      <formula>D$43="給気"</formula>
    </cfRule>
    <cfRule type="expression" dxfId="54" priority="109">
      <formula>D$43="給気・排気"</formula>
    </cfRule>
    <cfRule type="expression" dxfId="53" priority="110">
      <formula>OR(D$43="補器（排気）",D$43="補器（給気）")</formula>
    </cfRule>
  </conditionalFormatting>
  <conditionalFormatting sqref="D31:W32">
    <cfRule type="expression" dxfId="52" priority="2">
      <formula>D$32="給気・排気"</formula>
    </cfRule>
    <cfRule type="expression" dxfId="51" priority="75">
      <formula>D$32="給気"</formula>
    </cfRule>
    <cfRule type="expression" dxfId="50" priority="76">
      <formula>OR(D$32="補器（排気）",D$32="補器（給気）")</formula>
    </cfRule>
  </conditionalFormatting>
  <conditionalFormatting sqref="W94">
    <cfRule type="expression" dxfId="49" priority="78">
      <formula>$E$58=2</formula>
    </cfRule>
  </conditionalFormatting>
  <conditionalFormatting sqref="W95">
    <cfRule type="expression" dxfId="48" priority="79">
      <formula>$F$58=2</formula>
    </cfRule>
  </conditionalFormatting>
  <conditionalFormatting sqref="W96">
    <cfRule type="expression" dxfId="47" priority="80">
      <formula>$G$58=2</formula>
    </cfRule>
  </conditionalFormatting>
  <conditionalFormatting sqref="W97">
    <cfRule type="expression" dxfId="46" priority="81">
      <formula>$H$58=2</formula>
    </cfRule>
  </conditionalFormatting>
  <conditionalFormatting sqref="W98">
    <cfRule type="expression" dxfId="45" priority="82">
      <formula>$I$58=2</formula>
    </cfRule>
  </conditionalFormatting>
  <conditionalFormatting sqref="W99">
    <cfRule type="expression" dxfId="44" priority="83">
      <formula>$J$58=2</formula>
    </cfRule>
  </conditionalFormatting>
  <conditionalFormatting sqref="W100">
    <cfRule type="expression" dxfId="43" priority="84">
      <formula>$K$58=2</formula>
    </cfRule>
  </conditionalFormatting>
  <conditionalFormatting sqref="W101">
    <cfRule type="expression" dxfId="42" priority="85">
      <formula>$L$58=2</formula>
    </cfRule>
  </conditionalFormatting>
  <conditionalFormatting sqref="W102">
    <cfRule type="expression" dxfId="41" priority="86">
      <formula>$M$58=2</formula>
    </cfRule>
  </conditionalFormatting>
  <conditionalFormatting sqref="W103">
    <cfRule type="expression" dxfId="40" priority="87">
      <formula>$N$58=2</formula>
    </cfRule>
  </conditionalFormatting>
  <conditionalFormatting sqref="W104">
    <cfRule type="expression" dxfId="39" priority="88">
      <formula>$O$58=2</formula>
    </cfRule>
  </conditionalFormatting>
  <conditionalFormatting sqref="W105">
    <cfRule type="expression" dxfId="38" priority="90">
      <formula>$P$58=2</formula>
    </cfRule>
  </conditionalFormatting>
  <conditionalFormatting sqref="W106">
    <cfRule type="expression" dxfId="37" priority="91">
      <formula>$Q$58=2</formula>
    </cfRule>
  </conditionalFormatting>
  <conditionalFormatting sqref="W107">
    <cfRule type="expression" dxfId="36" priority="93">
      <formula>$R$58=2</formula>
    </cfRule>
  </conditionalFormatting>
  <conditionalFormatting sqref="W108">
    <cfRule type="expression" dxfId="35" priority="94">
      <formula>$S$58=2</formula>
    </cfRule>
  </conditionalFormatting>
  <conditionalFormatting sqref="W109">
    <cfRule type="expression" dxfId="34" priority="100">
      <formula>$T$58=2</formula>
    </cfRule>
  </conditionalFormatting>
  <conditionalFormatting sqref="W110">
    <cfRule type="expression" dxfId="33" priority="101">
      <formula>$U$58=2</formula>
    </cfRule>
  </conditionalFormatting>
  <conditionalFormatting sqref="W111">
    <cfRule type="expression" dxfId="32" priority="102">
      <formula>$V$58=2</formula>
    </cfRule>
  </conditionalFormatting>
  <conditionalFormatting sqref="W112">
    <cfRule type="expression" dxfId="31" priority="103">
      <formula>$W$58=2</formula>
    </cfRule>
  </conditionalFormatting>
  <conditionalFormatting sqref="X47:Y47">
    <cfRule type="expression" dxfId="30" priority="16">
      <formula>AND($X$65="不適合",$AA$64&lt;&gt;20)</formula>
    </cfRule>
  </conditionalFormatting>
  <conditionalFormatting sqref="H27:O27">
    <cfRule type="expression" dxfId="29" priority="73">
      <formula>$H$27="新設備の導入がない計画は申請できません。"</formula>
    </cfRule>
  </conditionalFormatting>
  <conditionalFormatting sqref="C165:V184 C187:X206 D122:X134 D143:X155">
    <cfRule type="expression" dxfId="28" priority="3">
      <formula>$G$115&lt;&gt;"はい"</formula>
    </cfRule>
  </conditionalFormatting>
  <conditionalFormatting sqref="D42:W42 D44:W44">
    <cfRule type="expression" dxfId="27" priority="1">
      <formula>D$54=1</formula>
    </cfRule>
    <cfRule type="expression" dxfId="26" priority="31">
      <formula>D$59=1</formula>
    </cfRule>
  </conditionalFormatting>
  <dataValidations count="11">
    <dataValidation allowBlank="1" showErrorMessage="1" sqref="D133:W134 D154:W155"/>
    <dataValidation allowBlank="1" showErrorMessage="1" promptTitle="『機器仕様入力書』　記入時のご注意" prompt="本シートご利用の場合は、省エネ計算シートの設備欄には記入しないでください。" sqref="D152:W153 D52:W53 D131:W132 D36:W37 D49:W49"/>
    <dataValidation allowBlank="1" sqref="C21:C22"/>
    <dataValidation type="list" allowBlank="1" showInputMessage="1" showErrorMessage="1" sqref="G115">
      <formula1>"実施を選択,はい,いいえ"</formula1>
    </dataValidation>
    <dataValidation type="whole" operator="greaterThanOrEqual" allowBlank="1" showErrorMessage="1" error="＜１＞以上の整数を入力してください。" promptTitle="『機器仕様入力書』　記入時のご注意" prompt="本シートご利用の場合は、省エネ計算シートの設備欄には記入しないでください。" sqref="D33:W33 D46:W46">
      <formula1>1</formula1>
    </dataValidation>
    <dataValidation type="decimal" operator="greaterThan" allowBlank="1" showErrorMessage="1" error="＜0＞より大きい数値を入力してください。" promptTitle="『機器仕様入力書』　記入時のご注意" prompt="本シートご利用の場合は、省エネ計算シートの設備欄には記入しないでください。" sqref="D34:W35">
      <formula1>0</formula1>
    </dataValidation>
    <dataValidation type="decimal" operator="greaterThan" allowBlank="1" showErrorMessage="1" error="＜0＞より大きい数値を入力してください。" promptTitle="『機器仕様入力書』　記入時のご注意" prompt="本シートご利用の場合は、省エネ計算シートの設備欄には記入しないでください。" sqref="D47:W48 D50:W51">
      <formula1>0</formula1>
    </dataValidation>
    <dataValidation type="decimal" operator="greaterThan" allowBlank="1" showErrorMessage="1" error="＜0＞より大きい数値を入力してください。" promptTitle="『機器仕様入力書』　記入時のご注意" prompt="本シートご利用の場合は、省エネ計算シートの設備欄には記入しないでください。" sqref="D128:W129">
      <formula1>0</formula1>
    </dataValidation>
    <dataValidation type="whole" operator="greaterThan" allowBlank="1" showErrorMessage="1" error="＜１＞以上の整数を入力してください。" sqref="D123:W123 D144:W144">
      <formula1>0</formula1>
    </dataValidation>
    <dataValidation type="decimal" operator="greaterThan" allowBlank="1" showErrorMessage="1" error="＜0＞より大きい数値を入力してください。" sqref="D149:W150">
      <formula1>0</formula1>
    </dataValidation>
    <dataValidation type="decimal" operator="greaterThan" allowBlank="1" showErrorMessage="1" error="＜0＞より大きい数値を入力してください。" sqref="D126:W127 D147:W148">
      <formula1>0</formula1>
    </dataValidation>
  </dataValidations>
  <pageMargins left="0.6692913385826772" right="0.31496062992125984" top="0.46" bottom="0.22" header="0.22" footer="0.16"/>
  <pageSetup paperSize="9" scale="34" fitToHeight="0" orientation="portrait" r:id="rId1"/>
  <headerFooter>
    <oddHeader>&amp;C&amp;20換気量・省エネ計算シート</oddHeader>
  </headerFooter>
  <rowBreaks count="1" manualBreakCount="1">
    <brk id="113" max="24"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ErrorMessage="1" promptTitle="『機器仕様入力書』　記入時のご注意" prompt="本シートご利用の場合は、省エネ計算シートの設備欄には記入しないでください。">
          <x14:formula1>
            <xm:f>計算!$X$4:$X$6</xm:f>
          </x14:formula1>
          <xm:sqref>D151:W151 D130:W130</xm:sqref>
        </x14:dataValidation>
        <x14:dataValidation type="list" allowBlank="1" showInputMessage="1" showErrorMessage="1">
          <x14:formula1>
            <xm:f>計算!$T$4:$T$7</xm:f>
          </x14:formula1>
          <xm:sqref>D44:W44</xm:sqref>
        </x14:dataValidation>
        <x14:dataValidation type="list" allowBlank="1" showInputMessage="1" showErrorMessage="1">
          <x14:formula1>
            <xm:f>計算!$U$4:$U$6</xm:f>
          </x14:formula1>
          <xm:sqref>D143:W143 D122:W122</xm:sqref>
        </x14:dataValidation>
        <x14:dataValidation type="list" allowBlank="1" showErrorMessage="1">
          <x14:formula1>
            <xm:f>計算!$AA$4:$AA$6</xm:f>
          </x14:formula1>
          <xm:sqref>D124:W124 D145:W145</xm:sqref>
        </x14:dataValidation>
        <x14:dataValidation type="list" allowBlank="1" showInputMessage="1" showErrorMessage="1">
          <x14:formula1>
            <xm:f>計算!$V$4:$V$6</xm:f>
          </x14:formula1>
          <xm:sqref>W187:X206 Y165:Y184 W93:X112</xm:sqref>
        </x14:dataValidation>
        <x14:dataValidation type="list" allowBlank="1" showErrorMessage="1">
          <x14:formula1>
            <xm:f>計算!$Z$3:$Z$14</xm:f>
          </x14:formula1>
          <xm:sqref>D45:W45</xm:sqref>
        </x14:dataValidation>
        <x14:dataValidation type="list" allowBlank="1" showErrorMessage="1">
          <x14:formula1>
            <xm:f>計算!$Z$4:$Z$14</xm:f>
          </x14:formula1>
          <xm:sqref>D146:W146 D125:W125</xm:sqref>
        </x14:dataValidation>
        <x14:dataValidation type="list" allowBlank="1" showErrorMessage="1">
          <x14:formula1>
            <xm:f>計算!$T$20:$T$24</xm:f>
          </x14:formula1>
          <xm:sqref>D32:W32 D43:W43</xm:sqref>
        </x14:dataValidation>
        <x14:dataValidation type="list" allowBlank="1">
          <x14:formula1>
            <xm:f>計算!$R$4:$R$8</xm:f>
          </x14:formula1>
          <xm:sqref>D42:W42</xm:sqref>
        </x14:dataValidation>
        <x14:dataValidation type="list" allowBlank="1" showErrorMessage="1">
          <x14:formula1>
            <xm:f>計算!$S$4:$S$8</xm:f>
          </x14:formula1>
          <xm:sqref>D31:W31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2:T85"/>
  <sheetViews>
    <sheetView zoomScale="80" zoomScaleNormal="80" zoomScaleSheetLayoutView="90" workbookViewId="0">
      <selection activeCell="J21" sqref="J21:L21"/>
    </sheetView>
  </sheetViews>
  <sheetFormatPr defaultColWidth="8.796875" defaultRowHeight="18.75" x14ac:dyDescent="0.45"/>
  <cols>
    <col min="1" max="1" width="2.296875" style="64" customWidth="1"/>
    <col min="2" max="2" width="11.8984375" style="64" customWidth="1"/>
    <col min="3" max="16" width="10.59765625" style="64" customWidth="1"/>
    <col min="17" max="17" width="2.19921875" style="64" customWidth="1"/>
    <col min="18" max="21" width="5" style="64" customWidth="1"/>
    <col min="22" max="23" width="8.796875" style="64"/>
    <col min="24" max="24" width="9.59765625" style="64" bestFit="1" customWidth="1"/>
    <col min="25" max="25" width="8.5" style="64" customWidth="1"/>
    <col min="26" max="26" width="9.296875" style="64" customWidth="1"/>
    <col min="27" max="27" width="9.296875" style="64" bestFit="1" customWidth="1"/>
    <col min="28" max="16384" width="8.796875" style="64"/>
  </cols>
  <sheetData>
    <row r="2" spans="2:11" s="23" customFormat="1" ht="19.5" x14ac:dyDescent="0.45">
      <c r="B2" s="53" t="s">
        <v>166</v>
      </c>
    </row>
    <row r="3" spans="2:11" ht="19.5" x14ac:dyDescent="0.45">
      <c r="B3" s="160" t="s">
        <v>412</v>
      </c>
      <c r="K3" s="23"/>
    </row>
    <row r="4" spans="2:11" ht="19.5" x14ac:dyDescent="0.45">
      <c r="B4" s="160" t="s">
        <v>542</v>
      </c>
      <c r="K4" s="23"/>
    </row>
    <row r="5" spans="2:11" ht="19.5" x14ac:dyDescent="0.45">
      <c r="B5" s="160" t="s">
        <v>463</v>
      </c>
      <c r="K5" s="23"/>
    </row>
    <row r="6" spans="2:11" ht="19.5" x14ac:dyDescent="0.45">
      <c r="B6" s="160" t="s">
        <v>428</v>
      </c>
      <c r="K6" s="23"/>
    </row>
    <row r="7" spans="2:11" ht="19.5" x14ac:dyDescent="0.45">
      <c r="B7" s="160" t="s">
        <v>541</v>
      </c>
      <c r="K7" s="23"/>
    </row>
    <row r="8" spans="2:11" ht="19.5" x14ac:dyDescent="0.45">
      <c r="B8" s="160" t="s">
        <v>522</v>
      </c>
      <c r="K8" s="23"/>
    </row>
    <row r="9" spans="2:11" ht="19.5" x14ac:dyDescent="0.45">
      <c r="B9" s="160" t="s">
        <v>411</v>
      </c>
      <c r="K9" s="23"/>
    </row>
    <row r="10" spans="2:11" ht="19.5" x14ac:dyDescent="0.45">
      <c r="B10" s="160" t="s">
        <v>464</v>
      </c>
      <c r="K10" s="23"/>
    </row>
    <row r="11" spans="2:11" ht="19.5" x14ac:dyDescent="0.45">
      <c r="B11" s="63"/>
      <c r="K11" s="23"/>
    </row>
    <row r="12" spans="2:11" s="23" customFormat="1" ht="19.5" x14ac:dyDescent="0.45">
      <c r="B12" s="96" t="s">
        <v>167</v>
      </c>
      <c r="C12" s="25"/>
      <c r="D12" s="56" t="s">
        <v>545</v>
      </c>
      <c r="K12" s="191"/>
    </row>
    <row r="13" spans="2:11" s="23" customFormat="1" ht="19.5" x14ac:dyDescent="0.45">
      <c r="C13" s="26"/>
      <c r="D13" s="56" t="s">
        <v>547</v>
      </c>
      <c r="J13" s="43"/>
    </row>
    <row r="14" spans="2:11" s="23" customFormat="1" ht="19.5" x14ac:dyDescent="0.45">
      <c r="C14" s="27"/>
      <c r="D14" s="52" t="s">
        <v>544</v>
      </c>
    </row>
    <row r="15" spans="2:11" s="23" customFormat="1" ht="19.5" x14ac:dyDescent="0.45">
      <c r="B15" s="24"/>
      <c r="C15" s="24"/>
    </row>
    <row r="16" spans="2:11" s="23" customFormat="1" ht="19.5" x14ac:dyDescent="0.45">
      <c r="B16" s="24"/>
      <c r="C16" s="24"/>
    </row>
    <row r="17" spans="2:20" ht="18" customHeight="1" x14ac:dyDescent="0.45">
      <c r="B17" s="195" t="str">
        <f>'1.換気～比較表'!B19</f>
        <v>R4_Ver8.3</v>
      </c>
      <c r="J17" s="122"/>
      <c r="L17" s="23"/>
      <c r="M17" s="23"/>
      <c r="N17" s="23"/>
      <c r="O17" s="23"/>
      <c r="P17" s="23"/>
      <c r="Q17" s="23"/>
      <c r="R17" s="23"/>
    </row>
    <row r="18" spans="2:20" ht="18.75" customHeight="1" x14ac:dyDescent="0.45">
      <c r="B18" s="195"/>
      <c r="J18" s="122"/>
      <c r="L18" s="23"/>
      <c r="M18" s="23"/>
      <c r="N18" s="23"/>
      <c r="O18" s="23"/>
      <c r="P18" s="23"/>
      <c r="Q18" s="23"/>
      <c r="R18" s="23"/>
    </row>
    <row r="19" spans="2:20" ht="42.75" customHeight="1" x14ac:dyDescent="0.45">
      <c r="B19" s="65" t="s">
        <v>191</v>
      </c>
      <c r="E19" s="336" t="s">
        <v>257</v>
      </c>
      <c r="F19" s="336"/>
      <c r="G19" s="337" t="str">
        <f>IF(AND(P27=0,P39=0,P50=0,P61=0,P72=0,P83=0),"事業所のエネルギー使用について入力してください。",IF(OR(P29&lt;&gt;0,P41&lt;&gt;0,P52&lt;&gt;0,P63&lt;&gt;0,P74&lt;&gt;0,P85&lt;&gt;0),"未入力欄が有ります。確認してください。",IF(OR(P27=1,P39=1,P50=1,P61=1,P72=1,P83=1),"エネルギーの使用年度を選択してください。",IF(OR(P39=2,P39=3,P50=2,P61=2,P72=2,P83=2),"エネルギー種別・単位を選択してください。",IF(SUM(P24,P36,P47,P58,P69,P80)&lt;1500,"中小規模事業所に該当します。","中小規模事業所の要件を満たしていないため、申請できません。")))))</f>
        <v>事業所のエネルギー使用について入力してください。</v>
      </c>
      <c r="H19" s="338"/>
      <c r="I19" s="338"/>
      <c r="J19" s="338"/>
      <c r="K19" s="338"/>
      <c r="L19" s="338"/>
      <c r="M19" s="338"/>
      <c r="N19" s="339"/>
      <c r="O19" s="23"/>
      <c r="P19" s="23"/>
      <c r="Q19" s="23"/>
      <c r="R19" s="23"/>
    </row>
    <row r="20" spans="2:20" ht="19.5" customHeight="1" x14ac:dyDescent="0.45">
      <c r="B20" s="65"/>
      <c r="C20" s="65"/>
      <c r="D20" s="65"/>
      <c r="E20" s="65"/>
      <c r="F20" s="65"/>
      <c r="G20" s="65"/>
      <c r="H20" s="65"/>
      <c r="I20" s="65"/>
      <c r="J20" s="65"/>
      <c r="K20" s="65"/>
      <c r="L20" s="65"/>
      <c r="M20" s="65"/>
      <c r="N20" s="65"/>
      <c r="O20" s="23"/>
      <c r="P20" s="23"/>
      <c r="Q20" s="23"/>
      <c r="R20" s="23"/>
    </row>
    <row r="21" spans="2:20" ht="20.25" thickBot="1" x14ac:dyDescent="0.5">
      <c r="B21" s="64" t="s">
        <v>36</v>
      </c>
      <c r="H21" s="323" t="s">
        <v>523</v>
      </c>
      <c r="I21" s="323"/>
      <c r="J21" s="324"/>
      <c r="K21" s="324"/>
      <c r="L21" s="324"/>
      <c r="M21" s="23"/>
      <c r="N21" s="23"/>
      <c r="O21" s="23"/>
      <c r="P21" s="23"/>
      <c r="Q21" s="23"/>
      <c r="R21" s="23"/>
    </row>
    <row r="22" spans="2:20" ht="18.75" customHeight="1" x14ac:dyDescent="0.45">
      <c r="B22" s="4" t="s">
        <v>534</v>
      </c>
      <c r="C22" s="68" t="s">
        <v>32</v>
      </c>
      <c r="D22" s="69" t="s">
        <v>31</v>
      </c>
      <c r="E22" s="69" t="s">
        <v>30</v>
      </c>
      <c r="F22" s="69" t="s">
        <v>29</v>
      </c>
      <c r="G22" s="69" t="s">
        <v>28</v>
      </c>
      <c r="H22" s="69" t="s">
        <v>27</v>
      </c>
      <c r="I22" s="69" t="s">
        <v>26</v>
      </c>
      <c r="J22" s="69" t="s">
        <v>25</v>
      </c>
      <c r="K22" s="69" t="s">
        <v>24</v>
      </c>
      <c r="L22" s="68" t="s">
        <v>23</v>
      </c>
      <c r="M22" s="69" t="s">
        <v>22</v>
      </c>
      <c r="N22" s="73" t="s">
        <v>21</v>
      </c>
      <c r="O22" s="163"/>
      <c r="P22" s="74"/>
      <c r="Q22" s="23"/>
      <c r="R22" s="23"/>
    </row>
    <row r="23" spans="2:20" ht="38.25" customHeight="1" x14ac:dyDescent="0.45">
      <c r="B23" s="71" t="s">
        <v>414</v>
      </c>
      <c r="C23" s="89"/>
      <c r="D23" s="89"/>
      <c r="E23" s="89"/>
      <c r="F23" s="89"/>
      <c r="G23" s="89"/>
      <c r="H23" s="89"/>
      <c r="I23" s="89"/>
      <c r="J23" s="89"/>
      <c r="K23" s="89"/>
      <c r="L23" s="89"/>
      <c r="M23" s="89"/>
      <c r="N23" s="89"/>
      <c r="O23" s="157" t="s">
        <v>416</v>
      </c>
      <c r="P23" s="162" t="s">
        <v>415</v>
      </c>
    </row>
    <row r="24" spans="2:20" ht="18.75" customHeight="1" x14ac:dyDescent="0.45">
      <c r="B24" s="70" t="s">
        <v>35</v>
      </c>
      <c r="C24" s="328"/>
      <c r="D24" s="328"/>
      <c r="E24" s="328"/>
      <c r="F24" s="328"/>
      <c r="G24" s="328"/>
      <c r="H24" s="328"/>
      <c r="I24" s="328"/>
      <c r="J24" s="328"/>
      <c r="K24" s="328"/>
      <c r="L24" s="328"/>
      <c r="M24" s="328"/>
      <c r="N24" s="328"/>
      <c r="O24" s="330" t="str">
        <f>IF(ISERROR(12*SUM(C24:N25)/COUNT(C24:N25)),"",12*SUM(C24:N25)/COUNT(C24:N25))</f>
        <v/>
      </c>
      <c r="P24" s="335" t="str">
        <f>IF(P27=0,"",IF(P29=1,"未入力欄を確認",IF(P27=1,"年度を選択",IF(AND(O24&gt;0,O26&gt;0,Q27=Q28,P27=4),計算!$J$3,"入力不足"))))</f>
        <v/>
      </c>
    </row>
    <row r="25" spans="2:20" ht="18.75" customHeight="1" thickBot="1" x14ac:dyDescent="0.5">
      <c r="B25" s="71" t="s">
        <v>34</v>
      </c>
      <c r="C25" s="332"/>
      <c r="D25" s="332"/>
      <c r="E25" s="332"/>
      <c r="F25" s="332"/>
      <c r="G25" s="332"/>
      <c r="H25" s="332"/>
      <c r="I25" s="332"/>
      <c r="J25" s="332"/>
      <c r="K25" s="332"/>
      <c r="L25" s="332"/>
      <c r="M25" s="332"/>
      <c r="N25" s="332"/>
      <c r="O25" s="331"/>
      <c r="P25" s="326"/>
    </row>
    <row r="26" spans="2:20" ht="38.25" customHeight="1" thickTop="1" thickBot="1" x14ac:dyDescent="0.5">
      <c r="B26" s="72" t="s">
        <v>413</v>
      </c>
      <c r="C26" s="164"/>
      <c r="D26" s="164"/>
      <c r="E26" s="164"/>
      <c r="F26" s="164"/>
      <c r="G26" s="164"/>
      <c r="H26" s="164"/>
      <c r="I26" s="164"/>
      <c r="J26" s="164"/>
      <c r="K26" s="164"/>
      <c r="L26" s="164"/>
      <c r="M26" s="164"/>
      <c r="N26" s="164"/>
      <c r="O26" s="75" t="str">
        <f>IF(ISERROR(12*SUM(C26:N26)/COUNT(C26:N26)),"",12*SUM(C26:N26)/COUNT(C26:N26))</f>
        <v/>
      </c>
      <c r="P26" s="168">
        <f>IF(AND(O24="",O26="",P29=0),0,IF(OR(B22="",B22="年度を選択"),1,4))</f>
        <v>0</v>
      </c>
      <c r="Q26" s="187"/>
    </row>
    <row r="27" spans="2:20" ht="18.75" hidden="1" customHeight="1" x14ac:dyDescent="0.45">
      <c r="B27" s="189" t="s">
        <v>443</v>
      </c>
      <c r="C27" s="188">
        <f>IF(C23="",2,IF(C23&lt;&gt;"",0,1))</f>
        <v>2</v>
      </c>
      <c r="D27" s="188">
        <f t="shared" ref="D27:N27" si="0">IF(D23="",2,IF(D23&lt;&gt;"",0,1))</f>
        <v>2</v>
      </c>
      <c r="E27" s="188">
        <f t="shared" si="0"/>
        <v>2</v>
      </c>
      <c r="F27" s="188">
        <f t="shared" si="0"/>
        <v>2</v>
      </c>
      <c r="G27" s="188">
        <f t="shared" si="0"/>
        <v>2</v>
      </c>
      <c r="H27" s="188">
        <f t="shared" si="0"/>
        <v>2</v>
      </c>
      <c r="I27" s="188">
        <f t="shared" si="0"/>
        <v>2</v>
      </c>
      <c r="J27" s="188">
        <f t="shared" si="0"/>
        <v>2</v>
      </c>
      <c r="K27" s="188">
        <f t="shared" si="0"/>
        <v>2</v>
      </c>
      <c r="L27" s="188">
        <f t="shared" si="0"/>
        <v>2</v>
      </c>
      <c r="M27" s="188">
        <f>IF(M23="",2,IF(M23&lt;&gt;"",0,1))</f>
        <v>2</v>
      </c>
      <c r="N27" s="188">
        <f t="shared" si="0"/>
        <v>2</v>
      </c>
      <c r="O27" s="188" t="str">
        <f>IF(R27&gt;1,"入力確認",IF(Q27=Q28,"入力済","未入力"))</f>
        <v>入力済</v>
      </c>
      <c r="P27" s="190">
        <f>P26</f>
        <v>0</v>
      </c>
      <c r="Q27" s="187">
        <f>COUNTIF($C27:$N27,0)</f>
        <v>0</v>
      </c>
      <c r="R27" s="187">
        <f>COUNTIF($C27:$N27,1)</f>
        <v>0</v>
      </c>
      <c r="S27" s="187">
        <f>COUNTIF($C27:$N27,2)</f>
        <v>12</v>
      </c>
      <c r="T27" s="187"/>
    </row>
    <row r="28" spans="2:20" ht="18.75" hidden="1" customHeight="1" x14ac:dyDescent="0.45">
      <c r="B28" s="189" t="s">
        <v>444</v>
      </c>
      <c r="C28" s="188">
        <f>IF(AND(C24="",C26=""),2,IF(AND(C24&lt;&gt;"",C26&lt;&gt;""),0,1))</f>
        <v>2</v>
      </c>
      <c r="D28" s="188">
        <f t="shared" ref="D28:N28" si="1">IF(AND(D24="",D26=""),2,IF(AND(D24&lt;&gt;"",D26&lt;&gt;""),0,1))</f>
        <v>2</v>
      </c>
      <c r="E28" s="188">
        <f t="shared" si="1"/>
        <v>2</v>
      </c>
      <c r="F28" s="188">
        <f t="shared" si="1"/>
        <v>2</v>
      </c>
      <c r="G28" s="188">
        <f t="shared" si="1"/>
        <v>2</v>
      </c>
      <c r="H28" s="188">
        <f t="shared" si="1"/>
        <v>2</v>
      </c>
      <c r="I28" s="188">
        <f t="shared" si="1"/>
        <v>2</v>
      </c>
      <c r="J28" s="188">
        <f t="shared" si="1"/>
        <v>2</v>
      </c>
      <c r="K28" s="188">
        <f t="shared" si="1"/>
        <v>2</v>
      </c>
      <c r="L28" s="188">
        <f t="shared" si="1"/>
        <v>2</v>
      </c>
      <c r="M28" s="188">
        <f t="shared" si="1"/>
        <v>2</v>
      </c>
      <c r="N28" s="188">
        <f t="shared" si="1"/>
        <v>2</v>
      </c>
      <c r="O28" s="188" t="str">
        <f>IF(R28&gt;1,"入力確認",IF(Q28+S28=12,"入力済","未入力"))</f>
        <v>入力済</v>
      </c>
      <c r="P28" s="190"/>
      <c r="Q28" s="187">
        <f>COUNTIF($C28:$N28,0)</f>
        <v>0</v>
      </c>
      <c r="R28" s="187">
        <f>COUNTIF($C28:$N28,1)</f>
        <v>0</v>
      </c>
      <c r="S28" s="187">
        <f>COUNTIF($C28:$N28,2)</f>
        <v>12</v>
      </c>
    </row>
    <row r="29" spans="2:20" ht="18.75" hidden="1" customHeight="1" x14ac:dyDescent="0.45">
      <c r="B29" s="189" t="s">
        <v>445</v>
      </c>
      <c r="C29" s="188">
        <f>IF(AND(C27=2,C28=2),2,IF(C27&lt;&gt;C28,1,IF(AND(C27=0,C28=0),0,4)))</f>
        <v>2</v>
      </c>
      <c r="D29" s="188">
        <f t="shared" ref="D29:N29" si="2">IF(AND(D27=2,D28=2),2,IF(D27&lt;&gt;D28,1,IF(AND(D27=0,D28=0),0,4)))</f>
        <v>2</v>
      </c>
      <c r="E29" s="188">
        <f t="shared" si="2"/>
        <v>2</v>
      </c>
      <c r="F29" s="188">
        <f t="shared" si="2"/>
        <v>2</v>
      </c>
      <c r="G29" s="188">
        <f t="shared" si="2"/>
        <v>2</v>
      </c>
      <c r="H29" s="188">
        <f t="shared" si="2"/>
        <v>2</v>
      </c>
      <c r="I29" s="188">
        <f t="shared" si="2"/>
        <v>2</v>
      </c>
      <c r="J29" s="188">
        <f t="shared" si="2"/>
        <v>2</v>
      </c>
      <c r="K29" s="188">
        <f t="shared" si="2"/>
        <v>2</v>
      </c>
      <c r="L29" s="188">
        <f t="shared" si="2"/>
        <v>2</v>
      </c>
      <c r="M29" s="188">
        <f t="shared" si="2"/>
        <v>2</v>
      </c>
      <c r="N29" s="188">
        <f t="shared" si="2"/>
        <v>2</v>
      </c>
      <c r="O29" s="188" t="str">
        <f>IF(R29&gt;1,"入力確認",IF(Q29+S29=12,"入力済","未入力"))</f>
        <v>入力済</v>
      </c>
      <c r="P29" s="190">
        <f>IF(O29="未入力",1,IF(O29="入力済",0,2))</f>
        <v>0</v>
      </c>
      <c r="Q29" s="187">
        <f>COUNTIF($C29:$N29,0)</f>
        <v>0</v>
      </c>
      <c r="R29" s="187">
        <f>COUNTIF($C29:$N29,1)</f>
        <v>0</v>
      </c>
      <c r="S29" s="187">
        <f>COUNTIF($C29:$N29,2)</f>
        <v>12</v>
      </c>
    </row>
    <row r="30" spans="2:20" x14ac:dyDescent="0.45">
      <c r="B30" s="66" t="s">
        <v>515</v>
      </c>
      <c r="E30" s="76"/>
      <c r="F30" s="76"/>
      <c r="G30" s="76"/>
      <c r="H30" s="76"/>
      <c r="O30" s="77"/>
    </row>
    <row r="33" spans="2:20" ht="19.5" thickBot="1" x14ac:dyDescent="0.5">
      <c r="B33" s="64" t="s">
        <v>520</v>
      </c>
      <c r="E33" s="78" t="s">
        <v>461</v>
      </c>
      <c r="F33" s="78" t="s">
        <v>177</v>
      </c>
      <c r="G33" s="67"/>
      <c r="H33" s="323" t="s">
        <v>523</v>
      </c>
      <c r="I33" s="323"/>
      <c r="J33" s="324"/>
      <c r="K33" s="324"/>
      <c r="L33" s="324"/>
    </row>
    <row r="34" spans="2:20" ht="19.5" customHeight="1" x14ac:dyDescent="0.45">
      <c r="B34" s="4" t="s">
        <v>534</v>
      </c>
      <c r="C34" s="68" t="s">
        <v>32</v>
      </c>
      <c r="D34" s="69" t="s">
        <v>31</v>
      </c>
      <c r="E34" s="69" t="s">
        <v>30</v>
      </c>
      <c r="F34" s="69" t="s">
        <v>29</v>
      </c>
      <c r="G34" s="69" t="s">
        <v>28</v>
      </c>
      <c r="H34" s="69" t="s">
        <v>27</v>
      </c>
      <c r="I34" s="69" t="s">
        <v>26</v>
      </c>
      <c r="J34" s="69" t="s">
        <v>25</v>
      </c>
      <c r="K34" s="69" t="s">
        <v>24</v>
      </c>
      <c r="L34" s="68" t="s">
        <v>23</v>
      </c>
      <c r="M34" s="69" t="s">
        <v>22</v>
      </c>
      <c r="N34" s="73" t="s">
        <v>21</v>
      </c>
      <c r="O34" s="163"/>
      <c r="P34" s="74"/>
    </row>
    <row r="35" spans="2:20" ht="38.25" customHeight="1" x14ac:dyDescent="0.45">
      <c r="B35" s="71" t="s">
        <v>414</v>
      </c>
      <c r="C35" s="89"/>
      <c r="D35" s="89"/>
      <c r="E35" s="89"/>
      <c r="F35" s="89"/>
      <c r="G35" s="89"/>
      <c r="H35" s="89"/>
      <c r="I35" s="89"/>
      <c r="J35" s="89"/>
      <c r="K35" s="89"/>
      <c r="L35" s="89"/>
      <c r="M35" s="89"/>
      <c r="N35" s="90"/>
      <c r="O35" s="157" t="s">
        <v>416</v>
      </c>
      <c r="P35" s="162" t="s">
        <v>415</v>
      </c>
    </row>
    <row r="36" spans="2:20" ht="19.5" customHeight="1" x14ac:dyDescent="0.45">
      <c r="B36" s="70" t="s">
        <v>33</v>
      </c>
      <c r="C36" s="328"/>
      <c r="D36" s="328"/>
      <c r="E36" s="328"/>
      <c r="F36" s="328"/>
      <c r="G36" s="328"/>
      <c r="H36" s="328"/>
      <c r="I36" s="328"/>
      <c r="J36" s="328"/>
      <c r="K36" s="328"/>
      <c r="L36" s="328"/>
      <c r="M36" s="328"/>
      <c r="N36" s="328"/>
      <c r="O36" s="330" t="str">
        <f>IF(ISERROR(12*SUM(C36:N37)/COUNT(C36:N37)),"",12*SUM(C36:N37)/COUNT(C36:N37))</f>
        <v/>
      </c>
      <c r="P36" s="333" t="str">
        <f>IF(P39=0,"",IF(P41=1,"未入力欄を確認",IF(P39=1,"年度を選択",IF(P39=2,"種別を選択",IF(P39=3,"単位を選択",IF(AND($E$33="都市ガス",$F$33="［m3］"),計算!$J$6,IF(AND($E$33="LPG",$F$33="［m3］"),計算!$J$7,IF(AND($E$33="LPG",$F$33="［kg］"),計算!$L$7,IF($E$33="LNG",計算!$J$8,IF($E$33="水素ガス",計算!$J$9,IF($E$33="天然ガス",計算!$J$10,"")))))))))))</f>
        <v/>
      </c>
    </row>
    <row r="37" spans="2:20" ht="19.5" customHeight="1" thickBot="1" x14ac:dyDescent="0.5">
      <c r="B37" s="71" t="str">
        <f>IF(F33="","",F33)</f>
        <v>単位を選択</v>
      </c>
      <c r="C37" s="332"/>
      <c r="D37" s="332"/>
      <c r="E37" s="332"/>
      <c r="F37" s="332"/>
      <c r="G37" s="332"/>
      <c r="H37" s="332"/>
      <c r="I37" s="332"/>
      <c r="J37" s="329"/>
      <c r="K37" s="329"/>
      <c r="L37" s="329"/>
      <c r="M37" s="329"/>
      <c r="N37" s="329"/>
      <c r="O37" s="331"/>
      <c r="P37" s="334"/>
    </row>
    <row r="38" spans="2:20" ht="38.25" customHeight="1" thickTop="1" thickBot="1" x14ac:dyDescent="0.5">
      <c r="B38" s="72" t="s">
        <v>413</v>
      </c>
      <c r="C38" s="164"/>
      <c r="D38" s="164"/>
      <c r="E38" s="164"/>
      <c r="F38" s="164"/>
      <c r="G38" s="164"/>
      <c r="H38" s="164"/>
      <c r="I38" s="164"/>
      <c r="J38" s="165"/>
      <c r="K38" s="165"/>
      <c r="L38" s="165"/>
      <c r="M38" s="165"/>
      <c r="N38" s="165"/>
      <c r="O38" s="167" t="str">
        <f>IF(ISERROR(12*SUM(C38:N38)/COUNT(C38:N38)),"",12*SUM(C38:N38)/COUNT(C38:N38))</f>
        <v/>
      </c>
      <c r="P38" s="168">
        <f>IF(AND(O36="",O38="",P41=0),0,IF(OR(B34="",B34="年度を選択"),1,IF(OR(E33="",E33="種別を選択"),2,IF(OR(F33="",F33="単位を選択"),3,4))))</f>
        <v>0</v>
      </c>
      <c r="Q38" s="187"/>
      <c r="R38" s="187"/>
    </row>
    <row r="39" spans="2:20" ht="18.75" hidden="1" customHeight="1" x14ac:dyDescent="0.45">
      <c r="B39" s="189" t="s">
        <v>443</v>
      </c>
      <c r="C39" s="188">
        <f>IF(C35="",2,IF(C35&lt;&gt;"",0,1))</f>
        <v>2</v>
      </c>
      <c r="D39" s="188">
        <f t="shared" ref="D39:L39" si="3">IF(D35="",2,IF(D35&lt;&gt;"",0,1))</f>
        <v>2</v>
      </c>
      <c r="E39" s="188">
        <f t="shared" si="3"/>
        <v>2</v>
      </c>
      <c r="F39" s="188">
        <f t="shared" si="3"/>
        <v>2</v>
      </c>
      <c r="G39" s="188">
        <f t="shared" si="3"/>
        <v>2</v>
      </c>
      <c r="H39" s="188">
        <f t="shared" si="3"/>
        <v>2</v>
      </c>
      <c r="I39" s="188">
        <f t="shared" si="3"/>
        <v>2</v>
      </c>
      <c r="J39" s="188">
        <f t="shared" si="3"/>
        <v>2</v>
      </c>
      <c r="K39" s="188">
        <f t="shared" si="3"/>
        <v>2</v>
      </c>
      <c r="L39" s="188">
        <f t="shared" si="3"/>
        <v>2</v>
      </c>
      <c r="M39" s="188">
        <f>IF(M35="",2,IF(M35&lt;&gt;"",0,1))</f>
        <v>2</v>
      </c>
      <c r="N39" s="188">
        <f t="shared" ref="N39" si="4">IF(N35="",2,IF(N35&lt;&gt;"",0,1))</f>
        <v>2</v>
      </c>
      <c r="O39" s="188" t="str">
        <f>IF(R39&gt;1,"入力確認",IF(Q39=Q40,"入力済","未入力"))</f>
        <v>入力済</v>
      </c>
      <c r="P39" s="190">
        <f>P38</f>
        <v>0</v>
      </c>
      <c r="Q39" s="187">
        <f>COUNTIF($C39:$N39,0)</f>
        <v>0</v>
      </c>
      <c r="R39" s="187">
        <f>COUNTIF($C39:$N39,1)</f>
        <v>0</v>
      </c>
      <c r="S39" s="187">
        <f>COUNTIF($C39:$N39,2)</f>
        <v>12</v>
      </c>
      <c r="T39" s="187"/>
    </row>
    <row r="40" spans="2:20" ht="18.75" hidden="1" customHeight="1" x14ac:dyDescent="0.45">
      <c r="B40" s="189" t="s">
        <v>444</v>
      </c>
      <c r="C40" s="188">
        <f>IF(AND(C36="",C38=""),2,IF(AND(C36&lt;&gt;"",C38&lt;&gt;""),0,1))</f>
        <v>2</v>
      </c>
      <c r="D40" s="188">
        <f t="shared" ref="D40:N40" si="5">IF(AND(D36="",D38=""),2,IF(AND(D36&lt;&gt;"",D38&lt;&gt;""),0,1))</f>
        <v>2</v>
      </c>
      <c r="E40" s="188">
        <f t="shared" si="5"/>
        <v>2</v>
      </c>
      <c r="F40" s="188">
        <f t="shared" si="5"/>
        <v>2</v>
      </c>
      <c r="G40" s="188">
        <f t="shared" si="5"/>
        <v>2</v>
      </c>
      <c r="H40" s="188">
        <f t="shared" si="5"/>
        <v>2</v>
      </c>
      <c r="I40" s="188">
        <f t="shared" si="5"/>
        <v>2</v>
      </c>
      <c r="J40" s="188">
        <f t="shared" si="5"/>
        <v>2</v>
      </c>
      <c r="K40" s="188">
        <f t="shared" si="5"/>
        <v>2</v>
      </c>
      <c r="L40" s="188">
        <f t="shared" si="5"/>
        <v>2</v>
      </c>
      <c r="M40" s="188">
        <f t="shared" si="5"/>
        <v>2</v>
      </c>
      <c r="N40" s="188">
        <f t="shared" si="5"/>
        <v>2</v>
      </c>
      <c r="O40" s="188" t="str">
        <f>IF(R40&gt;1,"入力確認",IF(Q40+S40=12,"入力済","未入力"))</f>
        <v>入力済</v>
      </c>
      <c r="P40" s="190"/>
      <c r="Q40" s="187">
        <f>COUNTIF($C40:$N40,0)</f>
        <v>0</v>
      </c>
      <c r="R40" s="187">
        <f>COUNTIF($C40:$N40,1)</f>
        <v>0</v>
      </c>
      <c r="S40" s="187">
        <f>COUNTIF($C40:$N40,2)</f>
        <v>12</v>
      </c>
    </row>
    <row r="41" spans="2:20" ht="18.75" hidden="1" customHeight="1" x14ac:dyDescent="0.45">
      <c r="B41" s="189" t="s">
        <v>445</v>
      </c>
      <c r="C41" s="188">
        <f>IF(AND(C39=2,C40=2),2,IF(C39&lt;&gt;C40,1,IF(AND(C39=0,C40=0),0,4)))</f>
        <v>2</v>
      </c>
      <c r="D41" s="188">
        <f t="shared" ref="D41" si="6">IF(AND(D39=2,D40=2),2,IF(D39&lt;&gt;D40,1,IF(AND(D39=0,D40=0),0,4)))</f>
        <v>2</v>
      </c>
      <c r="E41" s="188">
        <f t="shared" ref="E41" si="7">IF(AND(E39=2,E40=2),2,IF(E39&lt;&gt;E40,1,IF(AND(E39=0,E40=0),0,4)))</f>
        <v>2</v>
      </c>
      <c r="F41" s="188">
        <f t="shared" ref="F41" si="8">IF(AND(F39=2,F40=2),2,IF(F39&lt;&gt;F40,1,IF(AND(F39=0,F40=0),0,4)))</f>
        <v>2</v>
      </c>
      <c r="G41" s="188">
        <f t="shared" ref="G41" si="9">IF(AND(G39=2,G40=2),2,IF(G39&lt;&gt;G40,1,IF(AND(G39=0,G40=0),0,4)))</f>
        <v>2</v>
      </c>
      <c r="H41" s="188">
        <f t="shared" ref="H41" si="10">IF(AND(H39=2,H40=2),2,IF(H39&lt;&gt;H40,1,IF(AND(H39=0,H40=0),0,4)))</f>
        <v>2</v>
      </c>
      <c r="I41" s="188">
        <f t="shared" ref="I41" si="11">IF(AND(I39=2,I40=2),2,IF(I39&lt;&gt;I40,1,IF(AND(I39=0,I40=0),0,4)))</f>
        <v>2</v>
      </c>
      <c r="J41" s="188">
        <f t="shared" ref="J41" si="12">IF(AND(J39=2,J40=2),2,IF(J39&lt;&gt;J40,1,IF(AND(J39=0,J40=0),0,4)))</f>
        <v>2</v>
      </c>
      <c r="K41" s="188">
        <f t="shared" ref="K41" si="13">IF(AND(K39=2,K40=2),2,IF(K39&lt;&gt;K40,1,IF(AND(K39=0,K40=0),0,4)))</f>
        <v>2</v>
      </c>
      <c r="L41" s="188">
        <f t="shared" ref="L41" si="14">IF(AND(L39=2,L40=2),2,IF(L39&lt;&gt;L40,1,IF(AND(L39=0,L40=0),0,4)))</f>
        <v>2</v>
      </c>
      <c r="M41" s="188">
        <f t="shared" ref="M41" si="15">IF(AND(M39=2,M40=2),2,IF(M39&lt;&gt;M40,1,IF(AND(M39=0,M40=0),0,4)))</f>
        <v>2</v>
      </c>
      <c r="N41" s="188">
        <f t="shared" ref="N41" si="16">IF(AND(N39=2,N40=2),2,IF(N39&lt;&gt;N40,1,IF(AND(N39=0,N40=0),0,4)))</f>
        <v>2</v>
      </c>
      <c r="O41" s="188" t="str">
        <f>IF(R41&gt;1,"入力確認",IF(Q41+S41=12,"入力済","未入力"))</f>
        <v>入力済</v>
      </c>
      <c r="P41" s="190">
        <f>IF(O41="未入力",1,IF(O41="入力済",0,2))</f>
        <v>0</v>
      </c>
      <c r="Q41" s="187">
        <f>COUNTIF($C41:$N41,0)</f>
        <v>0</v>
      </c>
      <c r="R41" s="187">
        <f>COUNTIF($C41:$N41,1)</f>
        <v>0</v>
      </c>
      <c r="S41" s="187">
        <f>COUNTIF($C41:$N41,2)</f>
        <v>12</v>
      </c>
    </row>
    <row r="42" spans="2:20" x14ac:dyDescent="0.45">
      <c r="B42" s="66" t="s">
        <v>521</v>
      </c>
      <c r="E42" s="76"/>
      <c r="F42" s="76"/>
      <c r="G42" s="76"/>
      <c r="H42" s="76"/>
      <c r="O42" s="77"/>
    </row>
    <row r="43" spans="2:20" x14ac:dyDescent="0.45">
      <c r="E43" s="76"/>
      <c r="F43" s="76"/>
      <c r="G43" s="76"/>
      <c r="H43" s="76"/>
      <c r="O43" s="77"/>
    </row>
    <row r="44" spans="2:20" ht="20.25" customHeight="1" thickBot="1" x14ac:dyDescent="0.5">
      <c r="B44" s="64" t="s">
        <v>516</v>
      </c>
      <c r="E44" s="327" t="s">
        <v>258</v>
      </c>
      <c r="F44" s="327"/>
      <c r="G44" s="67"/>
      <c r="H44" s="323" t="s">
        <v>523</v>
      </c>
      <c r="I44" s="323"/>
      <c r="J44" s="324"/>
      <c r="K44" s="324"/>
      <c r="L44" s="324"/>
    </row>
    <row r="45" spans="2:20" ht="19.5" customHeight="1" x14ac:dyDescent="0.45">
      <c r="B45" s="4" t="s">
        <v>534</v>
      </c>
      <c r="C45" s="68" t="s">
        <v>32</v>
      </c>
      <c r="D45" s="69" t="s">
        <v>31</v>
      </c>
      <c r="E45" s="69" t="s">
        <v>30</v>
      </c>
      <c r="F45" s="69" t="s">
        <v>29</v>
      </c>
      <c r="G45" s="69" t="s">
        <v>28</v>
      </c>
      <c r="H45" s="69" t="s">
        <v>27</v>
      </c>
      <c r="I45" s="69" t="s">
        <v>26</v>
      </c>
      <c r="J45" s="69" t="s">
        <v>25</v>
      </c>
      <c r="K45" s="69" t="s">
        <v>24</v>
      </c>
      <c r="L45" s="68" t="s">
        <v>23</v>
      </c>
      <c r="M45" s="69" t="s">
        <v>22</v>
      </c>
      <c r="N45" s="73" t="s">
        <v>21</v>
      </c>
      <c r="O45" s="163"/>
      <c r="P45" s="74"/>
    </row>
    <row r="46" spans="2:20" ht="38.25" customHeight="1" x14ac:dyDescent="0.45">
      <c r="B46" s="71" t="s">
        <v>414</v>
      </c>
      <c r="C46" s="89"/>
      <c r="D46" s="89"/>
      <c r="E46" s="89"/>
      <c r="F46" s="89"/>
      <c r="G46" s="89"/>
      <c r="H46" s="89"/>
      <c r="I46" s="89"/>
      <c r="J46" s="89"/>
      <c r="K46" s="89"/>
      <c r="L46" s="89"/>
      <c r="M46" s="89"/>
      <c r="N46" s="90"/>
      <c r="O46" s="157" t="s">
        <v>416</v>
      </c>
      <c r="P46" s="162" t="s">
        <v>415</v>
      </c>
    </row>
    <row r="47" spans="2:20" ht="19.5" customHeight="1" x14ac:dyDescent="0.45">
      <c r="B47" s="70" t="s">
        <v>18</v>
      </c>
      <c r="C47" s="328"/>
      <c r="D47" s="328"/>
      <c r="E47" s="328"/>
      <c r="F47" s="328"/>
      <c r="G47" s="328"/>
      <c r="H47" s="328"/>
      <c r="I47" s="328"/>
      <c r="J47" s="328"/>
      <c r="K47" s="328"/>
      <c r="L47" s="328"/>
      <c r="M47" s="328"/>
      <c r="N47" s="328"/>
      <c r="O47" s="330" t="str">
        <f>IF(ISERROR(12*SUM(C47:N48)/COUNT(C47:N48)),"",12*SUM(C47:N48)/COUNT(C47:N48))</f>
        <v/>
      </c>
      <c r="P47" s="325" t="str">
        <f>IF(P50=0,"",IF(P52=1,"未入力欄を確認",IF(P50=1,"年度を選択",IF(P50=2,"エネルギー種別を選択",IF($E44="電気",計算!$J$17,IF($E44="都市ガス",計算!$J$18,IF($E44="温水・冷水",計算!$J$19,IF($E44="産業用蒸気",計算!$J$20,IF($E44="産業用以外の蒸気",計算!$J$21,IF($E44="灯油",計算!$J$22,IF($E44="軽油",計算!$J$23,IF($E44="A重油",計算!$J$24,IF($E44="B・Ｃ重油",計算!$J$25,"")))))))))))))</f>
        <v/>
      </c>
    </row>
    <row r="48" spans="2:20" ht="19.5" customHeight="1" thickBot="1" x14ac:dyDescent="0.5">
      <c r="B48" s="71" t="str">
        <f>IF(E44="電気","［kWh］",IF(E44="都市ガス","［m3］",IF(OR(E44="温水・冷水",E44="産業用蒸気",E44="産業用以外の蒸気"),"［MJ］","［L］")))</f>
        <v>［L］</v>
      </c>
      <c r="C48" s="332"/>
      <c r="D48" s="332"/>
      <c r="E48" s="332"/>
      <c r="F48" s="332"/>
      <c r="G48" s="332"/>
      <c r="H48" s="332"/>
      <c r="I48" s="332"/>
      <c r="J48" s="329"/>
      <c r="K48" s="329"/>
      <c r="L48" s="329"/>
      <c r="M48" s="329"/>
      <c r="N48" s="329"/>
      <c r="O48" s="331"/>
      <c r="P48" s="326"/>
    </row>
    <row r="49" spans="2:20" ht="38.25" customHeight="1" thickTop="1" thickBot="1" x14ac:dyDescent="0.5">
      <c r="B49" s="72" t="s">
        <v>413</v>
      </c>
      <c r="C49" s="164"/>
      <c r="D49" s="164"/>
      <c r="E49" s="164"/>
      <c r="F49" s="164"/>
      <c r="G49" s="164"/>
      <c r="H49" s="164"/>
      <c r="I49" s="164"/>
      <c r="J49" s="165"/>
      <c r="K49" s="165"/>
      <c r="L49" s="165"/>
      <c r="M49" s="165"/>
      <c r="N49" s="165"/>
      <c r="O49" s="75" t="str">
        <f>IF(ISERROR(12*SUM(C49:N49)/COUNT(C49:N49)),"",12*SUM(C49:N49)/COUNT(C49:N49))</f>
        <v/>
      </c>
      <c r="P49" s="168">
        <f>IF(AND(O47="",O49="",P52=0),0,IF(OR(B45="",B45="年度を選択"),1,IF(OR(E44="",E44="エネルギー種別を選択"),2,4)))</f>
        <v>0</v>
      </c>
      <c r="Q49" s="187"/>
    </row>
    <row r="50" spans="2:20" ht="18.75" hidden="1" customHeight="1" x14ac:dyDescent="0.45">
      <c r="B50" s="189" t="s">
        <v>443</v>
      </c>
      <c r="C50" s="188">
        <f>IF(C46="",2,IF(C46&lt;&gt;"",0,1))</f>
        <v>2</v>
      </c>
      <c r="D50" s="188">
        <f t="shared" ref="D50:L50" si="17">IF(D46="",2,IF(D46&lt;&gt;"",0,1))</f>
        <v>2</v>
      </c>
      <c r="E50" s="188">
        <f t="shared" si="17"/>
        <v>2</v>
      </c>
      <c r="F50" s="188">
        <f t="shared" si="17"/>
        <v>2</v>
      </c>
      <c r="G50" s="188">
        <f t="shared" si="17"/>
        <v>2</v>
      </c>
      <c r="H50" s="188">
        <f t="shared" si="17"/>
        <v>2</v>
      </c>
      <c r="I50" s="188">
        <f t="shared" si="17"/>
        <v>2</v>
      </c>
      <c r="J50" s="188">
        <f t="shared" si="17"/>
        <v>2</v>
      </c>
      <c r="K50" s="188">
        <f t="shared" si="17"/>
        <v>2</v>
      </c>
      <c r="L50" s="188">
        <f t="shared" si="17"/>
        <v>2</v>
      </c>
      <c r="M50" s="188">
        <f>IF(M46="",2,IF(M46&lt;&gt;"",0,1))</f>
        <v>2</v>
      </c>
      <c r="N50" s="188">
        <f t="shared" ref="N50" si="18">IF(N46="",2,IF(N46&lt;&gt;"",0,1))</f>
        <v>2</v>
      </c>
      <c r="O50" s="188" t="str">
        <f>IF(R50&gt;1,"入力確認",IF(Q50=Q51,"入力済","未入力"))</f>
        <v>入力済</v>
      </c>
      <c r="P50" s="190">
        <f>P49</f>
        <v>0</v>
      </c>
      <c r="Q50" s="187">
        <f>COUNTIF($C50:$N50,0)</f>
        <v>0</v>
      </c>
      <c r="R50" s="187">
        <f>COUNTIF($C50:$N50,1)</f>
        <v>0</v>
      </c>
      <c r="S50" s="187">
        <f>COUNTIF($C50:$N50,2)</f>
        <v>12</v>
      </c>
      <c r="T50" s="187"/>
    </row>
    <row r="51" spans="2:20" ht="18.75" hidden="1" customHeight="1" x14ac:dyDescent="0.45">
      <c r="B51" s="189" t="s">
        <v>444</v>
      </c>
      <c r="C51" s="188">
        <f>IF(AND(C47="",C49=""),2,IF(AND(C47&lt;&gt;"",C49&lt;&gt;""),0,1))</f>
        <v>2</v>
      </c>
      <c r="D51" s="188">
        <f t="shared" ref="D51:N51" si="19">IF(AND(D47="",D49=""),2,IF(AND(D47&lt;&gt;"",D49&lt;&gt;""),0,1))</f>
        <v>2</v>
      </c>
      <c r="E51" s="188">
        <f t="shared" si="19"/>
        <v>2</v>
      </c>
      <c r="F51" s="188">
        <f t="shared" si="19"/>
        <v>2</v>
      </c>
      <c r="G51" s="188">
        <f t="shared" si="19"/>
        <v>2</v>
      </c>
      <c r="H51" s="188">
        <f t="shared" si="19"/>
        <v>2</v>
      </c>
      <c r="I51" s="188">
        <f t="shared" si="19"/>
        <v>2</v>
      </c>
      <c r="J51" s="188">
        <f t="shared" si="19"/>
        <v>2</v>
      </c>
      <c r="K51" s="188">
        <f t="shared" si="19"/>
        <v>2</v>
      </c>
      <c r="L51" s="188">
        <f t="shared" si="19"/>
        <v>2</v>
      </c>
      <c r="M51" s="188">
        <f t="shared" si="19"/>
        <v>2</v>
      </c>
      <c r="N51" s="188">
        <f t="shared" si="19"/>
        <v>2</v>
      </c>
      <c r="O51" s="188" t="str">
        <f>IF(R51&gt;1,"入力確認",IF(Q51+S51=12,"入力済","未入力"))</f>
        <v>入力済</v>
      </c>
      <c r="P51" s="190"/>
      <c r="Q51" s="187">
        <f>COUNTIF($C51:$N51,0)</f>
        <v>0</v>
      </c>
      <c r="R51" s="187">
        <f>COUNTIF($C51:$N51,1)</f>
        <v>0</v>
      </c>
      <c r="S51" s="187">
        <f>COUNTIF($C51:$N51,2)</f>
        <v>12</v>
      </c>
    </row>
    <row r="52" spans="2:20" ht="18.75" hidden="1" customHeight="1" x14ac:dyDescent="0.45">
      <c r="B52" s="189" t="s">
        <v>445</v>
      </c>
      <c r="C52" s="188">
        <f>IF(AND(C50=2,C51=2),2,IF(C50&lt;&gt;C51,1,IF(AND(C50=0,C51=0),0,4)))</f>
        <v>2</v>
      </c>
      <c r="D52" s="188">
        <f t="shared" ref="D52" si="20">IF(AND(D50=2,D51=2),2,IF(D50&lt;&gt;D51,1,IF(AND(D50=0,D51=0),0,4)))</f>
        <v>2</v>
      </c>
      <c r="E52" s="188">
        <f t="shared" ref="E52" si="21">IF(AND(E50=2,E51=2),2,IF(E50&lt;&gt;E51,1,IF(AND(E50=0,E51=0),0,4)))</f>
        <v>2</v>
      </c>
      <c r="F52" s="188">
        <f t="shared" ref="F52" si="22">IF(AND(F50=2,F51=2),2,IF(F50&lt;&gt;F51,1,IF(AND(F50=0,F51=0),0,4)))</f>
        <v>2</v>
      </c>
      <c r="G52" s="188">
        <f t="shared" ref="G52" si="23">IF(AND(G50=2,G51=2),2,IF(G50&lt;&gt;G51,1,IF(AND(G50=0,G51=0),0,4)))</f>
        <v>2</v>
      </c>
      <c r="H52" s="188">
        <f t="shared" ref="H52" si="24">IF(AND(H50=2,H51=2),2,IF(H50&lt;&gt;H51,1,IF(AND(H50=0,H51=0),0,4)))</f>
        <v>2</v>
      </c>
      <c r="I52" s="188">
        <f t="shared" ref="I52" si="25">IF(AND(I50=2,I51=2),2,IF(I50&lt;&gt;I51,1,IF(AND(I50=0,I51=0),0,4)))</f>
        <v>2</v>
      </c>
      <c r="J52" s="188">
        <f t="shared" ref="J52" si="26">IF(AND(J50=2,J51=2),2,IF(J50&lt;&gt;J51,1,IF(AND(J50=0,J51=0),0,4)))</f>
        <v>2</v>
      </c>
      <c r="K52" s="188">
        <f t="shared" ref="K52" si="27">IF(AND(K50=2,K51=2),2,IF(K50&lt;&gt;K51,1,IF(AND(K50=0,K51=0),0,4)))</f>
        <v>2</v>
      </c>
      <c r="L52" s="188">
        <f t="shared" ref="L52" si="28">IF(AND(L50=2,L51=2),2,IF(L50&lt;&gt;L51,1,IF(AND(L50=0,L51=0),0,4)))</f>
        <v>2</v>
      </c>
      <c r="M52" s="188">
        <f t="shared" ref="M52" si="29">IF(AND(M50=2,M51=2),2,IF(M50&lt;&gt;M51,1,IF(AND(M50=0,M51=0),0,4)))</f>
        <v>2</v>
      </c>
      <c r="N52" s="188">
        <f t="shared" ref="N52" si="30">IF(AND(N50=2,N51=2),2,IF(N50&lt;&gt;N51,1,IF(AND(N50=0,N51=0),0,4)))</f>
        <v>2</v>
      </c>
      <c r="O52" s="188" t="str">
        <f>IF(R52&gt;1,"入力確認",IF(Q52+S52=12,"入力済","未入力"))</f>
        <v>入力済</v>
      </c>
      <c r="P52" s="190">
        <f>IF(O52="未入力",1,IF(O52="入力済",0,2))</f>
        <v>0</v>
      </c>
      <c r="Q52" s="187">
        <f>COUNTIF($C52:$N52,0)</f>
        <v>0</v>
      </c>
      <c r="R52" s="187">
        <f>COUNTIF($C52:$N52,1)</f>
        <v>0</v>
      </c>
      <c r="S52" s="187">
        <f>COUNTIF($C52:$N52,2)</f>
        <v>12</v>
      </c>
    </row>
    <row r="53" spans="2:20" x14ac:dyDescent="0.45">
      <c r="E53" s="76"/>
      <c r="F53" s="76"/>
      <c r="G53" s="76"/>
      <c r="H53" s="76"/>
      <c r="O53" s="77"/>
    </row>
    <row r="54" spans="2:20" x14ac:dyDescent="0.45">
      <c r="E54" s="76"/>
      <c r="F54" s="76"/>
      <c r="G54" s="76"/>
      <c r="H54" s="76"/>
      <c r="O54" s="77"/>
    </row>
    <row r="55" spans="2:20" ht="20.25" customHeight="1" thickBot="1" x14ac:dyDescent="0.5">
      <c r="B55" s="64" t="s">
        <v>517</v>
      </c>
      <c r="E55" s="327" t="s">
        <v>258</v>
      </c>
      <c r="F55" s="327"/>
      <c r="G55" s="67"/>
      <c r="H55" s="323" t="s">
        <v>523</v>
      </c>
      <c r="I55" s="323"/>
      <c r="J55" s="324"/>
      <c r="K55" s="324"/>
      <c r="L55" s="324"/>
    </row>
    <row r="56" spans="2:20" ht="19.5" customHeight="1" x14ac:dyDescent="0.45">
      <c r="B56" s="4" t="s">
        <v>534</v>
      </c>
      <c r="C56" s="68" t="s">
        <v>32</v>
      </c>
      <c r="D56" s="69" t="s">
        <v>31</v>
      </c>
      <c r="E56" s="69" t="s">
        <v>30</v>
      </c>
      <c r="F56" s="69" t="s">
        <v>29</v>
      </c>
      <c r="G56" s="69" t="s">
        <v>28</v>
      </c>
      <c r="H56" s="69" t="s">
        <v>27</v>
      </c>
      <c r="I56" s="69" t="s">
        <v>26</v>
      </c>
      <c r="J56" s="69" t="s">
        <v>25</v>
      </c>
      <c r="K56" s="69" t="s">
        <v>24</v>
      </c>
      <c r="L56" s="68" t="s">
        <v>23</v>
      </c>
      <c r="M56" s="69" t="s">
        <v>22</v>
      </c>
      <c r="N56" s="73" t="s">
        <v>21</v>
      </c>
      <c r="O56" s="163"/>
      <c r="P56" s="74"/>
    </row>
    <row r="57" spans="2:20" ht="38.25" customHeight="1" x14ac:dyDescent="0.45">
      <c r="B57" s="71" t="s">
        <v>414</v>
      </c>
      <c r="C57" s="89"/>
      <c r="D57" s="89"/>
      <c r="E57" s="89"/>
      <c r="F57" s="89"/>
      <c r="G57" s="89"/>
      <c r="H57" s="89"/>
      <c r="I57" s="89"/>
      <c r="J57" s="89"/>
      <c r="K57" s="89"/>
      <c r="L57" s="89"/>
      <c r="M57" s="89"/>
      <c r="N57" s="90"/>
      <c r="O57" s="157" t="s">
        <v>416</v>
      </c>
      <c r="P57" s="162" t="s">
        <v>415</v>
      </c>
    </row>
    <row r="58" spans="2:20" ht="19.5" customHeight="1" x14ac:dyDescent="0.45">
      <c r="B58" s="70" t="s">
        <v>18</v>
      </c>
      <c r="C58" s="328"/>
      <c r="D58" s="328"/>
      <c r="E58" s="328"/>
      <c r="F58" s="328"/>
      <c r="G58" s="328"/>
      <c r="H58" s="328"/>
      <c r="I58" s="328"/>
      <c r="J58" s="328"/>
      <c r="K58" s="328"/>
      <c r="L58" s="328"/>
      <c r="M58" s="328"/>
      <c r="N58" s="321"/>
      <c r="O58" s="330" t="str">
        <f>IF(ISERROR(12*SUM(C58:N59)/COUNT(C58:N59)),"",12*SUM(C58:N59)/COUNT(C58:N59))</f>
        <v/>
      </c>
      <c r="P58" s="325" t="str">
        <f>IF(P61=0,"",IF(P63=1,"未入力欄を確認",IF(P61=1,"年度を選択",IF(P61=2,"エネルギー種別を選択",IF($E55="電気",計算!$J$28,IF($E55="都市ガス",計算!$J$29,IF($E55="温水・冷水",計算!$J$30,IF($E55="産業用蒸気",計算!$J$31,IF($E55="産業用以外の蒸気",計算!$J$32,IF($E55="灯油",計算!$J$33,IF($E55="軽油",計算!$J$34,IF($E55="A重油",計算!$J$35,IF($E55="B・Ｃ重油",計算!$J$36,"")))))))))))))</f>
        <v/>
      </c>
    </row>
    <row r="59" spans="2:20" ht="19.5" customHeight="1" thickBot="1" x14ac:dyDescent="0.5">
      <c r="B59" s="71" t="str">
        <f>IF(E55="電気","［kWh］",IF(E55="都市ガス","［m3］",IF(OR(E55="温水・冷水",E55="産業用蒸気",E55="産業用以外の蒸気"),"［MJ］","［L］")))</f>
        <v>［L］</v>
      </c>
      <c r="C59" s="332"/>
      <c r="D59" s="332"/>
      <c r="E59" s="332"/>
      <c r="F59" s="332"/>
      <c r="G59" s="332"/>
      <c r="H59" s="332"/>
      <c r="I59" s="332"/>
      <c r="J59" s="329"/>
      <c r="K59" s="329"/>
      <c r="L59" s="329"/>
      <c r="M59" s="329"/>
      <c r="N59" s="322"/>
      <c r="O59" s="331"/>
      <c r="P59" s="326"/>
    </row>
    <row r="60" spans="2:20" ht="38.25" customHeight="1" thickTop="1" thickBot="1" x14ac:dyDescent="0.5">
      <c r="B60" s="72" t="s">
        <v>413</v>
      </c>
      <c r="C60" s="164"/>
      <c r="D60" s="164"/>
      <c r="E60" s="164"/>
      <c r="F60" s="164"/>
      <c r="G60" s="164"/>
      <c r="H60" s="164"/>
      <c r="I60" s="164"/>
      <c r="J60" s="165"/>
      <c r="K60" s="165"/>
      <c r="L60" s="165"/>
      <c r="M60" s="165"/>
      <c r="N60" s="166"/>
      <c r="O60" s="75" t="str">
        <f>IF(ISERROR(12*SUM(C60:N60)/COUNT(C60:N60)),"",12*SUM(C60:N60)/COUNT(C60:N60))</f>
        <v/>
      </c>
      <c r="P60" s="113">
        <f>IF(AND(O58="",O60="",P63=0),0,IF(OR(B56="",B56="年度を選択"),1,IF(OR(E55="",E55="エネルギー種別を選択"),2,4)))</f>
        <v>0</v>
      </c>
      <c r="Q60" s="187"/>
    </row>
    <row r="61" spans="2:20" ht="18.75" hidden="1" customHeight="1" x14ac:dyDescent="0.45">
      <c r="B61" s="189" t="s">
        <v>443</v>
      </c>
      <c r="C61" s="188">
        <f>IF(C57="",2,IF(C57&lt;&gt;"",0,1))</f>
        <v>2</v>
      </c>
      <c r="D61" s="188">
        <f t="shared" ref="D61:L61" si="31">IF(D57="",2,IF(D57&lt;&gt;"",0,1))</f>
        <v>2</v>
      </c>
      <c r="E61" s="188">
        <f t="shared" si="31"/>
        <v>2</v>
      </c>
      <c r="F61" s="188">
        <f t="shared" si="31"/>
        <v>2</v>
      </c>
      <c r="G61" s="188">
        <f t="shared" si="31"/>
        <v>2</v>
      </c>
      <c r="H61" s="188">
        <f t="shared" si="31"/>
        <v>2</v>
      </c>
      <c r="I61" s="188">
        <f t="shared" si="31"/>
        <v>2</v>
      </c>
      <c r="J61" s="188">
        <f t="shared" si="31"/>
        <v>2</v>
      </c>
      <c r="K61" s="188">
        <f t="shared" si="31"/>
        <v>2</v>
      </c>
      <c r="L61" s="188">
        <f t="shared" si="31"/>
        <v>2</v>
      </c>
      <c r="M61" s="188">
        <f>IF(M57="",2,IF(M57&lt;&gt;"",0,1))</f>
        <v>2</v>
      </c>
      <c r="N61" s="188">
        <f t="shared" ref="N61" si="32">IF(N57="",2,IF(N57&lt;&gt;"",0,1))</f>
        <v>2</v>
      </c>
      <c r="O61" s="188" t="str">
        <f>IF(R61&gt;1,"入力確認",IF(Q61=Q62,"入力済","未入力"))</f>
        <v>入力済</v>
      </c>
      <c r="P61" s="190">
        <f>P60</f>
        <v>0</v>
      </c>
      <c r="Q61" s="187">
        <f>COUNTIF($C61:$N61,0)</f>
        <v>0</v>
      </c>
      <c r="R61" s="187">
        <f>COUNTIF($C61:$N61,1)</f>
        <v>0</v>
      </c>
      <c r="S61" s="187">
        <f>COUNTIF($C61:$N61,2)</f>
        <v>12</v>
      </c>
      <c r="T61" s="187"/>
    </row>
    <row r="62" spans="2:20" ht="18.75" hidden="1" customHeight="1" x14ac:dyDescent="0.45">
      <c r="B62" s="189" t="s">
        <v>444</v>
      </c>
      <c r="C62" s="188">
        <f>IF(AND(C58="",C60=""),2,IF(AND(C58&lt;&gt;"",C60&lt;&gt;""),0,1))</f>
        <v>2</v>
      </c>
      <c r="D62" s="188">
        <f t="shared" ref="D62:N62" si="33">IF(AND(D58="",D60=""),2,IF(AND(D58&lt;&gt;"",D60&lt;&gt;""),0,1))</f>
        <v>2</v>
      </c>
      <c r="E62" s="188">
        <f t="shared" si="33"/>
        <v>2</v>
      </c>
      <c r="F62" s="188">
        <f t="shared" si="33"/>
        <v>2</v>
      </c>
      <c r="G62" s="188">
        <f t="shared" si="33"/>
        <v>2</v>
      </c>
      <c r="H62" s="188">
        <f t="shared" si="33"/>
        <v>2</v>
      </c>
      <c r="I62" s="188">
        <f t="shared" si="33"/>
        <v>2</v>
      </c>
      <c r="J62" s="188">
        <f t="shared" si="33"/>
        <v>2</v>
      </c>
      <c r="K62" s="188">
        <f t="shared" si="33"/>
        <v>2</v>
      </c>
      <c r="L62" s="188">
        <f t="shared" si="33"/>
        <v>2</v>
      </c>
      <c r="M62" s="188">
        <f t="shared" si="33"/>
        <v>2</v>
      </c>
      <c r="N62" s="188">
        <f t="shared" si="33"/>
        <v>2</v>
      </c>
      <c r="O62" s="188" t="str">
        <f>IF(R62&gt;1,"入力確認",IF(Q62+S62=12,"入力済","未入力"))</f>
        <v>入力済</v>
      </c>
      <c r="P62" s="190"/>
      <c r="Q62" s="187">
        <f>COUNTIF($C62:$N62,0)</f>
        <v>0</v>
      </c>
      <c r="R62" s="187">
        <f>COUNTIF($C62:$N62,1)</f>
        <v>0</v>
      </c>
      <c r="S62" s="187">
        <f>COUNTIF($C62:$N62,2)</f>
        <v>12</v>
      </c>
    </row>
    <row r="63" spans="2:20" ht="18.75" hidden="1" customHeight="1" x14ac:dyDescent="0.45">
      <c r="B63" s="189" t="s">
        <v>445</v>
      </c>
      <c r="C63" s="188">
        <f>IF(AND(C61=2,C62=2),2,IF(C61&lt;&gt;C62,1,IF(AND(C61=0,C62=0),0,4)))</f>
        <v>2</v>
      </c>
      <c r="D63" s="188">
        <f t="shared" ref="D63" si="34">IF(AND(D61=2,D62=2),2,IF(D61&lt;&gt;D62,1,IF(AND(D61=0,D62=0),0,4)))</f>
        <v>2</v>
      </c>
      <c r="E63" s="188">
        <f t="shared" ref="E63" si="35">IF(AND(E61=2,E62=2),2,IF(E61&lt;&gt;E62,1,IF(AND(E61=0,E62=0),0,4)))</f>
        <v>2</v>
      </c>
      <c r="F63" s="188">
        <f t="shared" ref="F63" si="36">IF(AND(F61=2,F62=2),2,IF(F61&lt;&gt;F62,1,IF(AND(F61=0,F62=0),0,4)))</f>
        <v>2</v>
      </c>
      <c r="G63" s="188">
        <f t="shared" ref="G63" si="37">IF(AND(G61=2,G62=2),2,IF(G61&lt;&gt;G62,1,IF(AND(G61=0,G62=0),0,4)))</f>
        <v>2</v>
      </c>
      <c r="H63" s="188">
        <f t="shared" ref="H63" si="38">IF(AND(H61=2,H62=2),2,IF(H61&lt;&gt;H62,1,IF(AND(H61=0,H62=0),0,4)))</f>
        <v>2</v>
      </c>
      <c r="I63" s="188">
        <f t="shared" ref="I63" si="39">IF(AND(I61=2,I62=2),2,IF(I61&lt;&gt;I62,1,IF(AND(I61=0,I62=0),0,4)))</f>
        <v>2</v>
      </c>
      <c r="J63" s="188">
        <f t="shared" ref="J63" si="40">IF(AND(J61=2,J62=2),2,IF(J61&lt;&gt;J62,1,IF(AND(J61=0,J62=0),0,4)))</f>
        <v>2</v>
      </c>
      <c r="K63" s="188">
        <f t="shared" ref="K63" si="41">IF(AND(K61=2,K62=2),2,IF(K61&lt;&gt;K62,1,IF(AND(K61=0,K62=0),0,4)))</f>
        <v>2</v>
      </c>
      <c r="L63" s="188">
        <f t="shared" ref="L63" si="42">IF(AND(L61=2,L62=2),2,IF(L61&lt;&gt;L62,1,IF(AND(L61=0,L62=0),0,4)))</f>
        <v>2</v>
      </c>
      <c r="M63" s="188">
        <f t="shared" ref="M63" si="43">IF(AND(M61=2,M62=2),2,IF(M61&lt;&gt;M62,1,IF(AND(M61=0,M62=0),0,4)))</f>
        <v>2</v>
      </c>
      <c r="N63" s="188">
        <f t="shared" ref="N63" si="44">IF(AND(N61=2,N62=2),2,IF(N61&lt;&gt;N62,1,IF(AND(N61=0,N62=0),0,4)))</f>
        <v>2</v>
      </c>
      <c r="O63" s="188" t="str">
        <f>IF(R63&gt;1,"入力確認",IF(Q63+S63=12,"入力済","未入力"))</f>
        <v>入力済</v>
      </c>
      <c r="P63" s="190">
        <f>IF(O63="未入力",1,IF(O63="入力済",0,2))</f>
        <v>0</v>
      </c>
      <c r="Q63" s="187">
        <f>COUNTIF($C63:$N63,0)</f>
        <v>0</v>
      </c>
      <c r="R63" s="187">
        <f>COUNTIF($C63:$N63,1)</f>
        <v>0</v>
      </c>
      <c r="S63" s="187">
        <f>COUNTIF($C63:$N63,2)</f>
        <v>12</v>
      </c>
    </row>
    <row r="64" spans="2:20" x14ac:dyDescent="0.45">
      <c r="E64" s="76"/>
      <c r="F64" s="76"/>
      <c r="G64" s="76"/>
      <c r="H64" s="76"/>
      <c r="O64" s="77"/>
    </row>
    <row r="65" spans="2:20" x14ac:dyDescent="0.45">
      <c r="E65" s="76"/>
      <c r="F65" s="76"/>
      <c r="G65" s="76"/>
      <c r="H65" s="76"/>
      <c r="O65" s="77"/>
    </row>
    <row r="66" spans="2:20" ht="20.25" customHeight="1" thickBot="1" x14ac:dyDescent="0.5">
      <c r="B66" s="64" t="s">
        <v>518</v>
      </c>
      <c r="E66" s="327" t="s">
        <v>258</v>
      </c>
      <c r="F66" s="327"/>
      <c r="G66" s="67"/>
      <c r="H66" s="323" t="s">
        <v>523</v>
      </c>
      <c r="I66" s="323"/>
      <c r="J66" s="324"/>
      <c r="K66" s="324"/>
      <c r="L66" s="324"/>
    </row>
    <row r="67" spans="2:20" ht="19.5" customHeight="1" x14ac:dyDescent="0.45">
      <c r="B67" s="4" t="s">
        <v>534</v>
      </c>
      <c r="C67" s="68" t="s">
        <v>32</v>
      </c>
      <c r="D67" s="69" t="s">
        <v>31</v>
      </c>
      <c r="E67" s="69" t="s">
        <v>30</v>
      </c>
      <c r="F67" s="69" t="s">
        <v>29</v>
      </c>
      <c r="G67" s="69" t="s">
        <v>28</v>
      </c>
      <c r="H67" s="69" t="s">
        <v>27</v>
      </c>
      <c r="I67" s="69" t="s">
        <v>26</v>
      </c>
      <c r="J67" s="69" t="s">
        <v>25</v>
      </c>
      <c r="K67" s="69" t="s">
        <v>24</v>
      </c>
      <c r="L67" s="68" t="s">
        <v>23</v>
      </c>
      <c r="M67" s="69" t="s">
        <v>22</v>
      </c>
      <c r="N67" s="73" t="s">
        <v>21</v>
      </c>
      <c r="O67" s="163"/>
      <c r="P67" s="74"/>
    </row>
    <row r="68" spans="2:20" ht="38.25" customHeight="1" x14ac:dyDescent="0.45">
      <c r="B68" s="71" t="s">
        <v>414</v>
      </c>
      <c r="C68" s="89"/>
      <c r="D68" s="89"/>
      <c r="E68" s="89"/>
      <c r="F68" s="89"/>
      <c r="G68" s="89"/>
      <c r="H68" s="89"/>
      <c r="I68" s="89"/>
      <c r="J68" s="89"/>
      <c r="K68" s="89"/>
      <c r="L68" s="89"/>
      <c r="M68" s="89"/>
      <c r="N68" s="90"/>
      <c r="O68" s="157" t="s">
        <v>416</v>
      </c>
      <c r="P68" s="162" t="s">
        <v>415</v>
      </c>
    </row>
    <row r="69" spans="2:20" ht="19.5" customHeight="1" x14ac:dyDescent="0.45">
      <c r="B69" s="70" t="s">
        <v>18</v>
      </c>
      <c r="C69" s="328"/>
      <c r="D69" s="328"/>
      <c r="E69" s="328"/>
      <c r="F69" s="328"/>
      <c r="G69" s="328"/>
      <c r="H69" s="328"/>
      <c r="I69" s="328"/>
      <c r="J69" s="328"/>
      <c r="K69" s="328"/>
      <c r="L69" s="328"/>
      <c r="M69" s="328"/>
      <c r="N69" s="328"/>
      <c r="O69" s="330" t="str">
        <f>IF(ISERROR(12*SUM(C69:N70)/COUNT(C69:N70)),"",12*SUM(C69:N70)/COUNT(C69:N70))</f>
        <v/>
      </c>
      <c r="P69" s="325" t="str">
        <f>IF(P72=0,"",IF(P74=1,"未入力欄を確認",IF(P72=1,"年度を選択",IF(P72=2,"エネルギー種別を選択",IF($E66="電気",計算!$J$39,IF($E66="都市ガス",計算!$J$40,IF($E66="温水・冷水",計算!$J$41,IF($E66="産業用蒸気",計算!$J$42,IF($E66="産業用以外の蒸気",計算!$J$43,IF($E66="灯油",計算!$J$44,IF($E66="軽油",計算!$J$45,IF($E66="A重油",計算!$J$46,IF($E66="B・Ｃ重油",計算!$J$47,"")))))))))))))</f>
        <v/>
      </c>
    </row>
    <row r="70" spans="2:20" ht="19.5" customHeight="1" thickBot="1" x14ac:dyDescent="0.5">
      <c r="B70" s="71" t="str">
        <f>IF(E66="電気","［kWh］",IF(E66="都市ガス","［m3］",IF(OR(E66="温水・冷水",E66="産業用蒸気",E66="産業用以外の蒸気"),"［MJ］","［L］")))</f>
        <v>［L］</v>
      </c>
      <c r="C70" s="332"/>
      <c r="D70" s="332"/>
      <c r="E70" s="332"/>
      <c r="F70" s="332"/>
      <c r="G70" s="332"/>
      <c r="H70" s="332"/>
      <c r="I70" s="332"/>
      <c r="J70" s="329"/>
      <c r="K70" s="329"/>
      <c r="L70" s="329"/>
      <c r="M70" s="329"/>
      <c r="N70" s="329"/>
      <c r="O70" s="331"/>
      <c r="P70" s="326"/>
    </row>
    <row r="71" spans="2:20" ht="38.25" customHeight="1" thickTop="1" thickBot="1" x14ac:dyDescent="0.5">
      <c r="B71" s="72" t="s">
        <v>413</v>
      </c>
      <c r="C71" s="164"/>
      <c r="D71" s="164"/>
      <c r="E71" s="164"/>
      <c r="F71" s="164"/>
      <c r="G71" s="164"/>
      <c r="H71" s="164"/>
      <c r="I71" s="164"/>
      <c r="J71" s="165"/>
      <c r="K71" s="165"/>
      <c r="L71" s="165"/>
      <c r="M71" s="165"/>
      <c r="N71" s="165"/>
      <c r="O71" s="75" t="str">
        <f>IF(ISERROR(12*SUM(C71:N71)/COUNT(C71:N71)),"",12*SUM(C71:N71)/COUNT(C71:N71))</f>
        <v/>
      </c>
      <c r="P71" s="113">
        <f>IF(AND(O69="",O71="",P74=0),0,IF(OR(B67="",B67="年度を選択"),1,IF(OR(E66="",E66="エネルギー種別を選択"),2,4)))</f>
        <v>0</v>
      </c>
      <c r="Q71" s="187"/>
    </row>
    <row r="72" spans="2:20" ht="18.75" hidden="1" customHeight="1" x14ac:dyDescent="0.45">
      <c r="B72" s="189" t="s">
        <v>443</v>
      </c>
      <c r="C72" s="188">
        <f>IF(C68="",2,IF(C68&lt;&gt;"",0,1))</f>
        <v>2</v>
      </c>
      <c r="D72" s="188">
        <f t="shared" ref="D72:L72" si="45">IF(D68="",2,IF(D68&lt;&gt;"",0,1))</f>
        <v>2</v>
      </c>
      <c r="E72" s="188">
        <f t="shared" si="45"/>
        <v>2</v>
      </c>
      <c r="F72" s="188">
        <f t="shared" si="45"/>
        <v>2</v>
      </c>
      <c r="G72" s="188">
        <f t="shared" si="45"/>
        <v>2</v>
      </c>
      <c r="H72" s="188">
        <f t="shared" si="45"/>
        <v>2</v>
      </c>
      <c r="I72" s="188">
        <f t="shared" si="45"/>
        <v>2</v>
      </c>
      <c r="J72" s="188">
        <f t="shared" si="45"/>
        <v>2</v>
      </c>
      <c r="K72" s="188">
        <f t="shared" si="45"/>
        <v>2</v>
      </c>
      <c r="L72" s="188">
        <f t="shared" si="45"/>
        <v>2</v>
      </c>
      <c r="M72" s="188">
        <f>IF(M68="",2,IF(M68&lt;&gt;"",0,1))</f>
        <v>2</v>
      </c>
      <c r="N72" s="188">
        <f t="shared" ref="N72" si="46">IF(N68="",2,IF(N68&lt;&gt;"",0,1))</f>
        <v>2</v>
      </c>
      <c r="O72" s="188" t="str">
        <f>IF(R72&gt;1,"入力確認",IF(Q72=Q73,"入力済","未入力"))</f>
        <v>入力済</v>
      </c>
      <c r="P72" s="190">
        <f>P71</f>
        <v>0</v>
      </c>
      <c r="Q72" s="187">
        <f>COUNTIF($C72:$N72,0)</f>
        <v>0</v>
      </c>
      <c r="R72" s="187">
        <f>COUNTIF($C72:$N72,1)</f>
        <v>0</v>
      </c>
      <c r="S72" s="187">
        <f>COUNTIF($C72:$N72,2)</f>
        <v>12</v>
      </c>
      <c r="T72" s="187"/>
    </row>
    <row r="73" spans="2:20" ht="18.75" hidden="1" customHeight="1" x14ac:dyDescent="0.45">
      <c r="B73" s="189" t="s">
        <v>444</v>
      </c>
      <c r="C73" s="188">
        <f>IF(AND(C69="",C71=""),2,IF(AND(C69&lt;&gt;"",C71&lt;&gt;""),0,1))</f>
        <v>2</v>
      </c>
      <c r="D73" s="188">
        <f t="shared" ref="D73:N73" si="47">IF(AND(D69="",D71=""),2,IF(AND(D69&lt;&gt;"",D71&lt;&gt;""),0,1))</f>
        <v>2</v>
      </c>
      <c r="E73" s="188">
        <f t="shared" si="47"/>
        <v>2</v>
      </c>
      <c r="F73" s="188">
        <f t="shared" si="47"/>
        <v>2</v>
      </c>
      <c r="G73" s="188">
        <f t="shared" si="47"/>
        <v>2</v>
      </c>
      <c r="H73" s="188">
        <f t="shared" si="47"/>
        <v>2</v>
      </c>
      <c r="I73" s="188">
        <f t="shared" si="47"/>
        <v>2</v>
      </c>
      <c r="J73" s="188">
        <f t="shared" si="47"/>
        <v>2</v>
      </c>
      <c r="K73" s="188">
        <f t="shared" si="47"/>
        <v>2</v>
      </c>
      <c r="L73" s="188">
        <f t="shared" si="47"/>
        <v>2</v>
      </c>
      <c r="M73" s="188">
        <f t="shared" si="47"/>
        <v>2</v>
      </c>
      <c r="N73" s="188">
        <f t="shared" si="47"/>
        <v>2</v>
      </c>
      <c r="O73" s="188" t="str">
        <f>IF(R73&gt;1,"入力確認",IF(Q73+S73=12,"入力済","未入力"))</f>
        <v>入力済</v>
      </c>
      <c r="P73" s="190"/>
      <c r="Q73" s="187">
        <f>COUNTIF($C73:$N73,0)</f>
        <v>0</v>
      </c>
      <c r="R73" s="187">
        <f>COUNTIF($C73:$N73,1)</f>
        <v>0</v>
      </c>
      <c r="S73" s="187">
        <f>COUNTIF($C73:$N73,2)</f>
        <v>12</v>
      </c>
    </row>
    <row r="74" spans="2:20" ht="18.75" hidden="1" customHeight="1" x14ac:dyDescent="0.45">
      <c r="B74" s="189" t="s">
        <v>445</v>
      </c>
      <c r="C74" s="188">
        <f>IF(AND(C72=2,C73=2),2,IF(C72&lt;&gt;C73,1,IF(AND(C72=0,C73=0),0,4)))</f>
        <v>2</v>
      </c>
      <c r="D74" s="188">
        <f t="shared" ref="D74" si="48">IF(AND(D72=2,D73=2),2,IF(D72&lt;&gt;D73,1,IF(AND(D72=0,D73=0),0,4)))</f>
        <v>2</v>
      </c>
      <c r="E74" s="188">
        <f t="shared" ref="E74" si="49">IF(AND(E72=2,E73=2),2,IF(E72&lt;&gt;E73,1,IF(AND(E72=0,E73=0),0,4)))</f>
        <v>2</v>
      </c>
      <c r="F74" s="188">
        <f t="shared" ref="F74" si="50">IF(AND(F72=2,F73=2),2,IF(F72&lt;&gt;F73,1,IF(AND(F72=0,F73=0),0,4)))</f>
        <v>2</v>
      </c>
      <c r="G74" s="188">
        <f t="shared" ref="G74" si="51">IF(AND(G72=2,G73=2),2,IF(G72&lt;&gt;G73,1,IF(AND(G72=0,G73=0),0,4)))</f>
        <v>2</v>
      </c>
      <c r="H74" s="188">
        <f t="shared" ref="H74" si="52">IF(AND(H72=2,H73=2),2,IF(H72&lt;&gt;H73,1,IF(AND(H72=0,H73=0),0,4)))</f>
        <v>2</v>
      </c>
      <c r="I74" s="188">
        <f t="shared" ref="I74" si="53">IF(AND(I72=2,I73=2),2,IF(I72&lt;&gt;I73,1,IF(AND(I72=0,I73=0),0,4)))</f>
        <v>2</v>
      </c>
      <c r="J74" s="188">
        <f t="shared" ref="J74" si="54">IF(AND(J72=2,J73=2),2,IF(J72&lt;&gt;J73,1,IF(AND(J72=0,J73=0),0,4)))</f>
        <v>2</v>
      </c>
      <c r="K74" s="188">
        <f t="shared" ref="K74" si="55">IF(AND(K72=2,K73=2),2,IF(K72&lt;&gt;K73,1,IF(AND(K72=0,K73=0),0,4)))</f>
        <v>2</v>
      </c>
      <c r="L74" s="188">
        <f t="shared" ref="L74" si="56">IF(AND(L72=2,L73=2),2,IF(L72&lt;&gt;L73,1,IF(AND(L72=0,L73=0),0,4)))</f>
        <v>2</v>
      </c>
      <c r="M74" s="188">
        <f t="shared" ref="M74" si="57">IF(AND(M72=2,M73=2),2,IF(M72&lt;&gt;M73,1,IF(AND(M72=0,M73=0),0,4)))</f>
        <v>2</v>
      </c>
      <c r="N74" s="188">
        <f t="shared" ref="N74" si="58">IF(AND(N72=2,N73=2),2,IF(N72&lt;&gt;N73,1,IF(AND(N72=0,N73=0),0,4)))</f>
        <v>2</v>
      </c>
      <c r="O74" s="188" t="str">
        <f>IF(R74&gt;1,"入力確認",IF(Q74+S74=12,"入力済","未入力"))</f>
        <v>入力済</v>
      </c>
      <c r="P74" s="190">
        <f>IF(O74="未入力",1,IF(O74="入力済",0,2))</f>
        <v>0</v>
      </c>
      <c r="Q74" s="187">
        <f>COUNTIF($C74:$N74,0)</f>
        <v>0</v>
      </c>
      <c r="R74" s="187">
        <f>COUNTIF($C74:$N74,1)</f>
        <v>0</v>
      </c>
      <c r="S74" s="187">
        <f>COUNTIF($C74:$N74,2)</f>
        <v>12</v>
      </c>
    </row>
    <row r="75" spans="2:20" x14ac:dyDescent="0.45">
      <c r="E75" s="76"/>
      <c r="F75" s="76"/>
      <c r="G75" s="76"/>
      <c r="H75" s="76"/>
      <c r="O75" s="77"/>
    </row>
    <row r="76" spans="2:20" x14ac:dyDescent="0.45">
      <c r="E76" s="76"/>
      <c r="F76" s="76"/>
      <c r="G76" s="76"/>
      <c r="H76" s="76"/>
      <c r="O76" s="77"/>
    </row>
    <row r="77" spans="2:20" ht="20.25" customHeight="1" thickBot="1" x14ac:dyDescent="0.5">
      <c r="B77" s="64" t="s">
        <v>519</v>
      </c>
      <c r="E77" s="327" t="s">
        <v>258</v>
      </c>
      <c r="F77" s="327"/>
      <c r="G77" s="67"/>
      <c r="H77" s="323" t="s">
        <v>523</v>
      </c>
      <c r="I77" s="323"/>
      <c r="J77" s="324"/>
      <c r="K77" s="324"/>
      <c r="L77" s="324"/>
    </row>
    <row r="78" spans="2:20" ht="19.5" customHeight="1" x14ac:dyDescent="0.45">
      <c r="B78" s="4" t="s">
        <v>534</v>
      </c>
      <c r="C78" s="68" t="s">
        <v>32</v>
      </c>
      <c r="D78" s="69" t="s">
        <v>31</v>
      </c>
      <c r="E78" s="69" t="s">
        <v>30</v>
      </c>
      <c r="F78" s="69" t="s">
        <v>29</v>
      </c>
      <c r="G78" s="69" t="s">
        <v>28</v>
      </c>
      <c r="H78" s="69" t="s">
        <v>27</v>
      </c>
      <c r="I78" s="69" t="s">
        <v>26</v>
      </c>
      <c r="J78" s="69" t="s">
        <v>25</v>
      </c>
      <c r="K78" s="69" t="s">
        <v>24</v>
      </c>
      <c r="L78" s="68" t="s">
        <v>23</v>
      </c>
      <c r="M78" s="69" t="s">
        <v>22</v>
      </c>
      <c r="N78" s="73" t="s">
        <v>21</v>
      </c>
      <c r="O78" s="163"/>
      <c r="P78" s="74"/>
    </row>
    <row r="79" spans="2:20" ht="38.25" customHeight="1" x14ac:dyDescent="0.45">
      <c r="B79" s="71" t="s">
        <v>414</v>
      </c>
      <c r="C79" s="89"/>
      <c r="D79" s="89"/>
      <c r="E79" s="89"/>
      <c r="F79" s="89"/>
      <c r="G79" s="89"/>
      <c r="H79" s="89"/>
      <c r="I79" s="89"/>
      <c r="J79" s="89"/>
      <c r="K79" s="89"/>
      <c r="L79" s="89"/>
      <c r="M79" s="89"/>
      <c r="N79" s="90"/>
      <c r="O79" s="157" t="s">
        <v>416</v>
      </c>
      <c r="P79" s="162" t="s">
        <v>415</v>
      </c>
    </row>
    <row r="80" spans="2:20" ht="19.5" customHeight="1" x14ac:dyDescent="0.45">
      <c r="B80" s="70" t="s">
        <v>18</v>
      </c>
      <c r="C80" s="328"/>
      <c r="D80" s="328"/>
      <c r="E80" s="328"/>
      <c r="F80" s="328"/>
      <c r="G80" s="328"/>
      <c r="H80" s="328"/>
      <c r="I80" s="328"/>
      <c r="J80" s="328"/>
      <c r="K80" s="328"/>
      <c r="L80" s="328"/>
      <c r="M80" s="328"/>
      <c r="N80" s="328"/>
      <c r="O80" s="330" t="str">
        <f>IF(ISERROR(12*SUM(C80:N81)/COUNT(C80:N81)),"",12*SUM(C80:N81)/COUNT(C80:N81))</f>
        <v/>
      </c>
      <c r="P80" s="325" t="str">
        <f>IF(P83=0,"",IF(P85=1,"未入力欄を確認",IF(P83=1,"年度を選択",IF(P83=2,"エネルギー種別を選択",IF($E77="電気",計算!$J$50,IF($E77="都市ガス",計算!$J$51,IF($E77="温水・冷水",計算!$J$52,IF($E77="産業用蒸気",計算!$J$53,IF($E77="産業用以外の蒸気",計算!$J$54,IF($E77="灯油",計算!$J$55,IF($E77="軽油",計算!$J$56,IF($E77="A重油",計算!$J$57,IF($E77="B・Ｃ重油",計算!J58,"")))))))))))))</f>
        <v/>
      </c>
    </row>
    <row r="81" spans="2:20" ht="19.5" customHeight="1" thickBot="1" x14ac:dyDescent="0.5">
      <c r="B81" s="71" t="str">
        <f>IF(E77="電気","［kWh］",IF(E77="都市ガス","［m3］",IF(OR(E77="温水・冷水",E77="産業用蒸気",E77="産業用以外の蒸気"),"［MJ］","［L］")))</f>
        <v>［L］</v>
      </c>
      <c r="C81" s="332"/>
      <c r="D81" s="332"/>
      <c r="E81" s="332"/>
      <c r="F81" s="332"/>
      <c r="G81" s="332"/>
      <c r="H81" s="332"/>
      <c r="I81" s="332"/>
      <c r="J81" s="329"/>
      <c r="K81" s="329"/>
      <c r="L81" s="329"/>
      <c r="M81" s="329"/>
      <c r="N81" s="329"/>
      <c r="O81" s="331"/>
      <c r="P81" s="326"/>
    </row>
    <row r="82" spans="2:20" ht="38.25" customHeight="1" thickTop="1" thickBot="1" x14ac:dyDescent="0.5">
      <c r="B82" s="72" t="s">
        <v>413</v>
      </c>
      <c r="C82" s="164"/>
      <c r="D82" s="164"/>
      <c r="E82" s="164"/>
      <c r="F82" s="164"/>
      <c r="G82" s="164"/>
      <c r="H82" s="164"/>
      <c r="I82" s="164"/>
      <c r="J82" s="165"/>
      <c r="K82" s="165"/>
      <c r="L82" s="165"/>
      <c r="M82" s="165"/>
      <c r="N82" s="165"/>
      <c r="O82" s="75" t="str">
        <f>IF(ISERROR(12*SUM(C82:N82)/COUNT(C82:N82)),"",12*SUM(C82:N82)/COUNT(C82:N82))</f>
        <v/>
      </c>
      <c r="P82" s="113">
        <f>IF(AND(O80="",O82="",P85=0),0,IF(OR(B78="",B78="年度を選択"),1,IF(OR(E77="",E77="エネルギー種別を選択"),2,4)))</f>
        <v>0</v>
      </c>
      <c r="Q82" s="187"/>
    </row>
    <row r="83" spans="2:20" ht="18.75" hidden="1" customHeight="1" x14ac:dyDescent="0.45">
      <c r="B83" s="189" t="s">
        <v>443</v>
      </c>
      <c r="C83" s="188">
        <f>IF(C79="",2,IF(C79&lt;&gt;"",0,1))</f>
        <v>2</v>
      </c>
      <c r="D83" s="188">
        <f t="shared" ref="D83:L83" si="59">IF(D79="",2,IF(D79&lt;&gt;"",0,1))</f>
        <v>2</v>
      </c>
      <c r="E83" s="188">
        <f t="shared" si="59"/>
        <v>2</v>
      </c>
      <c r="F83" s="188">
        <f t="shared" si="59"/>
        <v>2</v>
      </c>
      <c r="G83" s="188">
        <f t="shared" si="59"/>
        <v>2</v>
      </c>
      <c r="H83" s="188">
        <f t="shared" si="59"/>
        <v>2</v>
      </c>
      <c r="I83" s="188">
        <f t="shared" si="59"/>
        <v>2</v>
      </c>
      <c r="J83" s="188">
        <f t="shared" si="59"/>
        <v>2</v>
      </c>
      <c r="K83" s="188">
        <f t="shared" si="59"/>
        <v>2</v>
      </c>
      <c r="L83" s="188">
        <f t="shared" si="59"/>
        <v>2</v>
      </c>
      <c r="M83" s="188">
        <f>IF(M79="",2,IF(M79&lt;&gt;"",0,1))</f>
        <v>2</v>
      </c>
      <c r="N83" s="188">
        <f t="shared" ref="N83" si="60">IF(N79="",2,IF(N79&lt;&gt;"",0,1))</f>
        <v>2</v>
      </c>
      <c r="O83" s="188" t="str">
        <f>IF(R83&gt;1,"入力確認",IF(Q83=Q84,"入力済","未入力"))</f>
        <v>入力済</v>
      </c>
      <c r="P83" s="190">
        <f>P82</f>
        <v>0</v>
      </c>
      <c r="Q83" s="187">
        <f>COUNTIF($C83:$N83,0)</f>
        <v>0</v>
      </c>
      <c r="R83" s="187">
        <f>COUNTIF($C83:$N83,1)</f>
        <v>0</v>
      </c>
      <c r="S83" s="187">
        <f>COUNTIF($C83:$N83,2)</f>
        <v>12</v>
      </c>
      <c r="T83" s="187"/>
    </row>
    <row r="84" spans="2:20" ht="18.75" hidden="1" customHeight="1" x14ac:dyDescent="0.45">
      <c r="B84" s="189" t="s">
        <v>444</v>
      </c>
      <c r="C84" s="188">
        <f>IF(AND(C80="",C82=""),2,IF(AND(C80&lt;&gt;"",C82&lt;&gt;""),0,1))</f>
        <v>2</v>
      </c>
      <c r="D84" s="188">
        <f t="shared" ref="D84:N84" si="61">IF(AND(D80="",D82=""),2,IF(AND(D80&lt;&gt;"",D82&lt;&gt;""),0,1))</f>
        <v>2</v>
      </c>
      <c r="E84" s="188">
        <f t="shared" si="61"/>
        <v>2</v>
      </c>
      <c r="F84" s="188">
        <f t="shared" si="61"/>
        <v>2</v>
      </c>
      <c r="G84" s="188">
        <f t="shared" si="61"/>
        <v>2</v>
      </c>
      <c r="H84" s="188">
        <f t="shared" si="61"/>
        <v>2</v>
      </c>
      <c r="I84" s="188">
        <f t="shared" si="61"/>
        <v>2</v>
      </c>
      <c r="J84" s="188">
        <f t="shared" si="61"/>
        <v>2</v>
      </c>
      <c r="K84" s="188">
        <f t="shared" si="61"/>
        <v>2</v>
      </c>
      <c r="L84" s="188">
        <f t="shared" si="61"/>
        <v>2</v>
      </c>
      <c r="M84" s="188">
        <f t="shared" si="61"/>
        <v>2</v>
      </c>
      <c r="N84" s="188">
        <f t="shared" si="61"/>
        <v>2</v>
      </c>
      <c r="O84" s="188" t="str">
        <f>IF(R84&gt;1,"入力確認",IF(Q84+S84=12,"入力済","未入力"))</f>
        <v>入力済</v>
      </c>
      <c r="P84" s="190"/>
      <c r="Q84" s="187">
        <f>COUNTIF($C84:$N84,0)</f>
        <v>0</v>
      </c>
      <c r="R84" s="187">
        <f>COUNTIF($C84:$N84,1)</f>
        <v>0</v>
      </c>
      <c r="S84" s="187">
        <f>COUNTIF($C84:$N84,2)</f>
        <v>12</v>
      </c>
    </row>
    <row r="85" spans="2:20" ht="18.75" hidden="1" customHeight="1" x14ac:dyDescent="0.45">
      <c r="B85" s="189" t="s">
        <v>445</v>
      </c>
      <c r="C85" s="188">
        <f>IF(AND(C83=2,C84=2),2,IF(C83&lt;&gt;C84,1,IF(AND(C83=0,C84=0),0,4)))</f>
        <v>2</v>
      </c>
      <c r="D85" s="188">
        <f t="shared" ref="D85" si="62">IF(AND(D83=2,D84=2),2,IF(D83&lt;&gt;D84,1,IF(AND(D83=0,D84=0),0,4)))</f>
        <v>2</v>
      </c>
      <c r="E85" s="188">
        <f t="shared" ref="E85" si="63">IF(AND(E83=2,E84=2),2,IF(E83&lt;&gt;E84,1,IF(AND(E83=0,E84=0),0,4)))</f>
        <v>2</v>
      </c>
      <c r="F85" s="188">
        <f t="shared" ref="F85" si="64">IF(AND(F83=2,F84=2),2,IF(F83&lt;&gt;F84,1,IF(AND(F83=0,F84=0),0,4)))</f>
        <v>2</v>
      </c>
      <c r="G85" s="188">
        <f t="shared" ref="G85" si="65">IF(AND(G83=2,G84=2),2,IF(G83&lt;&gt;G84,1,IF(AND(G83=0,G84=0),0,4)))</f>
        <v>2</v>
      </c>
      <c r="H85" s="188">
        <f t="shared" ref="H85" si="66">IF(AND(H83=2,H84=2),2,IF(H83&lt;&gt;H84,1,IF(AND(H83=0,H84=0),0,4)))</f>
        <v>2</v>
      </c>
      <c r="I85" s="188">
        <f t="shared" ref="I85" si="67">IF(AND(I83=2,I84=2),2,IF(I83&lt;&gt;I84,1,IF(AND(I83=0,I84=0),0,4)))</f>
        <v>2</v>
      </c>
      <c r="J85" s="188">
        <f t="shared" ref="J85" si="68">IF(AND(J83=2,J84=2),2,IF(J83&lt;&gt;J84,1,IF(AND(J83=0,J84=0),0,4)))</f>
        <v>2</v>
      </c>
      <c r="K85" s="188">
        <f t="shared" ref="K85" si="69">IF(AND(K83=2,K84=2),2,IF(K83&lt;&gt;K84,1,IF(AND(K83=0,K84=0),0,4)))</f>
        <v>2</v>
      </c>
      <c r="L85" s="188">
        <f t="shared" ref="L85" si="70">IF(AND(L83=2,L84=2),2,IF(L83&lt;&gt;L84,1,IF(AND(L83=0,L84=0),0,4)))</f>
        <v>2</v>
      </c>
      <c r="M85" s="188">
        <f t="shared" ref="M85" si="71">IF(AND(M83=2,M84=2),2,IF(M83&lt;&gt;M84,1,IF(AND(M83=0,M84=0),0,4)))</f>
        <v>2</v>
      </c>
      <c r="N85" s="188">
        <f t="shared" ref="N85" si="72">IF(AND(N83=2,N84=2),2,IF(N83&lt;&gt;N84,1,IF(AND(N83=0,N84=0),0,4)))</f>
        <v>2</v>
      </c>
      <c r="O85" s="188" t="str">
        <f>IF(R85&gt;1,"入力確認",IF(Q85+S85=12,"入力済","未入力"))</f>
        <v>入力済</v>
      </c>
      <c r="P85" s="190">
        <f>IF(O85="未入力",1,IF(O85="入力済",0,2))</f>
        <v>0</v>
      </c>
      <c r="Q85" s="187">
        <f>COUNTIF($C85:$N85,0)</f>
        <v>0</v>
      </c>
      <c r="R85" s="187">
        <f>COUNTIF($C85:$N85,1)</f>
        <v>0</v>
      </c>
      <c r="S85" s="187">
        <f>COUNTIF($C85:$N85,2)</f>
        <v>12</v>
      </c>
    </row>
  </sheetData>
  <sheetProtection password="DFA8" sheet="1" objects="1" scenarios="1" selectLockedCells="1"/>
  <mergeCells count="102">
    <mergeCell ref="E19:F19"/>
    <mergeCell ref="G24:G25"/>
    <mergeCell ref="G19:N19"/>
    <mergeCell ref="H21:I21"/>
    <mergeCell ref="J21:L21"/>
    <mergeCell ref="M36:M37"/>
    <mergeCell ref="N24:N25"/>
    <mergeCell ref="L24:L25"/>
    <mergeCell ref="M24:M25"/>
    <mergeCell ref="K24:K25"/>
    <mergeCell ref="K36:K37"/>
    <mergeCell ref="L36:L37"/>
    <mergeCell ref="C24:C25"/>
    <mergeCell ref="D24:D25"/>
    <mergeCell ref="E24:E25"/>
    <mergeCell ref="F24:F25"/>
    <mergeCell ref="P36:P37"/>
    <mergeCell ref="E36:E37"/>
    <mergeCell ref="F36:F37"/>
    <mergeCell ref="G36:G37"/>
    <mergeCell ref="I36:I37"/>
    <mergeCell ref="J36:J37"/>
    <mergeCell ref="H36:H37"/>
    <mergeCell ref="N36:N37"/>
    <mergeCell ref="O36:O37"/>
    <mergeCell ref="C36:C37"/>
    <mergeCell ref="D36:D37"/>
    <mergeCell ref="O24:O25"/>
    <mergeCell ref="H24:H25"/>
    <mergeCell ref="I24:I25"/>
    <mergeCell ref="J24:J25"/>
    <mergeCell ref="P24:P25"/>
    <mergeCell ref="H33:I33"/>
    <mergeCell ref="J33:L33"/>
    <mergeCell ref="E44:F44"/>
    <mergeCell ref="H47:H48"/>
    <mergeCell ref="E47:E48"/>
    <mergeCell ref="F47:F48"/>
    <mergeCell ref="G47:G48"/>
    <mergeCell ref="J47:J48"/>
    <mergeCell ref="K47:K48"/>
    <mergeCell ref="H44:I44"/>
    <mergeCell ref="J44:L44"/>
    <mergeCell ref="C58:C59"/>
    <mergeCell ref="D58:D59"/>
    <mergeCell ref="E58:E59"/>
    <mergeCell ref="F58:F59"/>
    <mergeCell ref="G58:G59"/>
    <mergeCell ref="H58:H59"/>
    <mergeCell ref="I58:I59"/>
    <mergeCell ref="J58:J59"/>
    <mergeCell ref="K58:K59"/>
    <mergeCell ref="H55:I55"/>
    <mergeCell ref="C47:C48"/>
    <mergeCell ref="D47:D48"/>
    <mergeCell ref="O47:O48"/>
    <mergeCell ref="L47:L48"/>
    <mergeCell ref="M47:M48"/>
    <mergeCell ref="N47:N48"/>
    <mergeCell ref="P47:P48"/>
    <mergeCell ref="I47:I48"/>
    <mergeCell ref="J55:L55"/>
    <mergeCell ref="E55:F55"/>
    <mergeCell ref="C69:C70"/>
    <mergeCell ref="D69:D70"/>
    <mergeCell ref="E69:E70"/>
    <mergeCell ref="F69:F70"/>
    <mergeCell ref="G69:G70"/>
    <mergeCell ref="H69:H70"/>
    <mergeCell ref="I69:I70"/>
    <mergeCell ref="J69:J70"/>
    <mergeCell ref="K69:K70"/>
    <mergeCell ref="C80:C81"/>
    <mergeCell ref="D80:D81"/>
    <mergeCell ref="E80:E81"/>
    <mergeCell ref="F80:F81"/>
    <mergeCell ref="G80:G81"/>
    <mergeCell ref="H80:H81"/>
    <mergeCell ref="I80:I81"/>
    <mergeCell ref="J80:J81"/>
    <mergeCell ref="K80:K81"/>
    <mergeCell ref="N58:N59"/>
    <mergeCell ref="H66:I66"/>
    <mergeCell ref="J66:L66"/>
    <mergeCell ref="H77:I77"/>
    <mergeCell ref="J77:L77"/>
    <mergeCell ref="P80:P81"/>
    <mergeCell ref="E77:F77"/>
    <mergeCell ref="L80:L81"/>
    <mergeCell ref="M80:M81"/>
    <mergeCell ref="N80:N81"/>
    <mergeCell ref="O80:O81"/>
    <mergeCell ref="P69:P70"/>
    <mergeCell ref="E66:F66"/>
    <mergeCell ref="L69:L70"/>
    <mergeCell ref="M69:M70"/>
    <mergeCell ref="N69:N70"/>
    <mergeCell ref="O69:O70"/>
    <mergeCell ref="O58:O59"/>
    <mergeCell ref="P58:P59"/>
    <mergeCell ref="L58:L59"/>
    <mergeCell ref="M58:M59"/>
  </mergeCells>
  <phoneticPr fontId="2"/>
  <conditionalFormatting sqref="B22 P24">
    <cfRule type="expression" dxfId="25" priority="32">
      <formula>$P$27=1</formula>
    </cfRule>
  </conditionalFormatting>
  <conditionalFormatting sqref="G19">
    <cfRule type="expression" dxfId="24" priority="46">
      <formula>OR($G$19="エネルギー種別・単位を選択してください。",$G$19="エネルギーの使用年度を選択してください。",$G$19="未入力欄が有ります。確認してください。",$G$19="中小規模事業所の要件を満たしていないため、申請できません。")</formula>
    </cfRule>
  </conditionalFormatting>
  <conditionalFormatting sqref="C22:N22">
    <cfRule type="expression" dxfId="23" priority="43">
      <formula>C29=1</formula>
    </cfRule>
  </conditionalFormatting>
  <conditionalFormatting sqref="C34:N34">
    <cfRule type="expression" dxfId="22" priority="42">
      <formula>C41=1</formula>
    </cfRule>
  </conditionalFormatting>
  <conditionalFormatting sqref="B34 P36">
    <cfRule type="expression" dxfId="21" priority="29">
      <formula>$P$39=1</formula>
    </cfRule>
  </conditionalFormatting>
  <conditionalFormatting sqref="E33 P36">
    <cfRule type="expression" dxfId="20" priority="28">
      <formula>$P$39=2</formula>
    </cfRule>
  </conditionalFormatting>
  <conditionalFormatting sqref="F33 P36">
    <cfRule type="expression" dxfId="19" priority="27">
      <formula>$P$39=3</formula>
    </cfRule>
  </conditionalFormatting>
  <conditionalFormatting sqref="C45:N45">
    <cfRule type="expression" dxfId="18" priority="40">
      <formula>C52=1</formula>
    </cfRule>
  </conditionalFormatting>
  <conditionalFormatting sqref="C56:N56">
    <cfRule type="expression" dxfId="17" priority="35">
      <formula>C63=1</formula>
    </cfRule>
  </conditionalFormatting>
  <conditionalFormatting sqref="C67:N67">
    <cfRule type="expression" dxfId="16" priority="34">
      <formula>C74=1</formula>
    </cfRule>
  </conditionalFormatting>
  <conditionalFormatting sqref="C78:N78">
    <cfRule type="expression" dxfId="15" priority="33">
      <formula>C85=1</formula>
    </cfRule>
  </conditionalFormatting>
  <conditionalFormatting sqref="B45 P47">
    <cfRule type="expression" dxfId="14" priority="26">
      <formula>$P$50=1</formula>
    </cfRule>
  </conditionalFormatting>
  <conditionalFormatting sqref="B56 P58">
    <cfRule type="expression" dxfId="13" priority="24">
      <formula>$P$61=1</formula>
    </cfRule>
  </conditionalFormatting>
  <conditionalFormatting sqref="B67 P69">
    <cfRule type="expression" dxfId="12" priority="20">
      <formula>$P$72=1</formula>
    </cfRule>
  </conditionalFormatting>
  <conditionalFormatting sqref="E44 P47">
    <cfRule type="expression" dxfId="11" priority="25">
      <formula>$P$50=2</formula>
    </cfRule>
  </conditionalFormatting>
  <conditionalFormatting sqref="E55 P58">
    <cfRule type="expression" dxfId="10" priority="21">
      <formula>$P$61=2</formula>
    </cfRule>
  </conditionalFormatting>
  <conditionalFormatting sqref="E66 P69">
    <cfRule type="expression" dxfId="9" priority="18">
      <formula>$P$72=2</formula>
    </cfRule>
  </conditionalFormatting>
  <conditionalFormatting sqref="P24">
    <cfRule type="expression" dxfId="8" priority="30">
      <formula>$P$29=1</formula>
    </cfRule>
  </conditionalFormatting>
  <conditionalFormatting sqref="B78 P80">
    <cfRule type="expression" dxfId="7" priority="17">
      <formula>$P$83=1</formula>
    </cfRule>
  </conditionalFormatting>
  <conditionalFormatting sqref="E77 P80">
    <cfRule type="expression" dxfId="6" priority="16">
      <formula>$P$83=2</formula>
    </cfRule>
  </conditionalFormatting>
  <conditionalFormatting sqref="G19:N19">
    <cfRule type="expression" dxfId="5" priority="7">
      <formula>$G$19="事業所のエネルギー使用について入力してください。"</formula>
    </cfRule>
  </conditionalFormatting>
  <conditionalFormatting sqref="J21 J33 J44 J55 J66 J77">
    <cfRule type="expression" dxfId="4" priority="6">
      <formula>J21=""</formula>
    </cfRule>
  </conditionalFormatting>
  <dataValidations disablePrompts="1" xWindow="198" yWindow="327" count="6">
    <dataValidation allowBlank="1" showInputMessage="1" sqref="B23 B57 B68 B35 B46 B79"/>
    <dataValidation type="list" allowBlank="1" showInputMessage="1" sqref="B78 B22 B34 B45 B56 B67">
      <formula1>"年度を選択,2021年度,2022年度"</formula1>
    </dataValidation>
    <dataValidation allowBlank="1" sqref="C12:C13"/>
    <dataValidation type="list" allowBlank="1" showInputMessage="1" showErrorMessage="1" sqref="F33">
      <formula1>INDIRECT($E$33)</formula1>
    </dataValidation>
    <dataValidation type="whole" operator="greaterThanOrEqual" allowBlank="1" showErrorMessage="1" error="＜0＞以上の整数を入力してください。" sqref="C26:N26 C38:N38 C49:N49 C60:N60 C71:N71 C82:N82">
      <formula1>0</formula1>
    </dataValidation>
    <dataValidation type="decimal" operator="greaterThanOrEqual" allowBlank="1" showErrorMessage="1" error="＜0＞以上の数値を入力してください。" sqref="C24:N25 C36:N37 C47:N48 C58:N59 C69:N70 C80:N81">
      <formula1>0</formula1>
    </dataValidation>
  </dataValidations>
  <printOptions horizontalCentered="1"/>
  <pageMargins left="0.6692913385826772" right="0.31496062992125984" top="0.56000000000000005" bottom="0.37" header="0.24" footer="0.15748031496062992"/>
  <pageSetup paperSize="9" scale="61" fitToHeight="0" orientation="landscape" r:id="rId1"/>
  <headerFooter>
    <oddHeader>&amp;C&amp;20換気量・省エネ計算シート</oddHeader>
    <oddFooter>&amp;C&amp;P</oddFooter>
  </headerFooter>
  <rowBreaks count="1" manualBreakCount="1">
    <brk id="64" max="16" man="1"/>
  </rowBreaks>
  <legacyDrawing r:id="rId2"/>
  <extLst>
    <ext xmlns:x14="http://schemas.microsoft.com/office/spreadsheetml/2009/9/main" uri="{CCE6A557-97BC-4b89-ADB6-D9C93CAAB3DF}">
      <x14:dataValidations xmlns:xm="http://schemas.microsoft.com/office/excel/2006/main" disablePrompts="1" xWindow="198" yWindow="327" count="2">
        <x14:dataValidation type="list" allowBlank="1" showInputMessage="1" showErrorMessage="1">
          <x14:formula1>
            <xm:f>計算!$N$3:$N$5</xm:f>
          </x14:formula1>
          <xm:sqref>E33</xm:sqref>
        </x14:dataValidation>
        <x14:dataValidation type="list" allowBlank="1" showInputMessage="1" showErrorMessage="1">
          <x14:formula1>
            <xm:f>計算!$Q$3:$Q$12</xm:f>
          </x14:formula1>
          <xm:sqref>E44:F44 E77:F77 E66:F66 E55:F55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2:L41"/>
  <sheetViews>
    <sheetView topLeftCell="A9" zoomScaleNormal="100" zoomScaleSheetLayoutView="90" workbookViewId="0">
      <selection activeCell="I16" sqref="I16:J16"/>
    </sheetView>
  </sheetViews>
  <sheetFormatPr defaultColWidth="8.796875" defaultRowHeight="18.75" x14ac:dyDescent="0.45"/>
  <cols>
    <col min="1" max="1" width="2.296875" style="64" customWidth="1"/>
    <col min="2" max="3" width="5.8984375" style="64" customWidth="1"/>
    <col min="4" max="4" width="4.796875" style="64" customWidth="1"/>
    <col min="5" max="5" width="12.59765625" style="64" customWidth="1"/>
    <col min="6" max="10" width="9.19921875" style="64" customWidth="1"/>
    <col min="11" max="11" width="2.296875" style="64" customWidth="1"/>
    <col min="12" max="12" width="10.3984375" style="64" customWidth="1"/>
    <col min="13" max="15" width="8.5" style="64" customWidth="1"/>
    <col min="16" max="16" width="9.5" style="64" customWidth="1"/>
    <col min="17" max="17" width="8.5" style="64" customWidth="1"/>
    <col min="18" max="18" width="8.796875" style="64"/>
    <col min="19" max="19" width="17.19921875" style="64" customWidth="1"/>
    <col min="20" max="20" width="8.19921875" style="64" customWidth="1"/>
    <col min="21" max="21" width="10.5" style="64" customWidth="1"/>
    <col min="22" max="22" width="10.296875" style="64" bestFit="1" customWidth="1"/>
    <col min="23" max="24" width="8.796875" style="64"/>
    <col min="25" max="25" width="9.59765625" style="64" bestFit="1" customWidth="1"/>
    <col min="26" max="26" width="8.5" style="64" customWidth="1"/>
    <col min="27" max="27" width="9.296875" style="64" customWidth="1"/>
    <col min="28" max="28" width="9.296875" style="64" bestFit="1" customWidth="1"/>
    <col min="29" max="16384" width="8.796875" style="64"/>
  </cols>
  <sheetData>
    <row r="2" spans="2:12" s="23" customFormat="1" ht="19.5" x14ac:dyDescent="0.45">
      <c r="B2" s="53" t="s">
        <v>166</v>
      </c>
      <c r="C2" s="53"/>
    </row>
    <row r="3" spans="2:12" ht="19.5" x14ac:dyDescent="0.45">
      <c r="B3" s="161" t="s">
        <v>465</v>
      </c>
      <c r="K3" s="23"/>
    </row>
    <row r="4" spans="2:12" s="23" customFormat="1" ht="19.5" x14ac:dyDescent="0.45">
      <c r="B4" s="161" t="s">
        <v>468</v>
      </c>
      <c r="C4" s="53"/>
    </row>
    <row r="5" spans="2:12" ht="19.5" x14ac:dyDescent="0.45">
      <c r="B5" s="161" t="s">
        <v>466</v>
      </c>
      <c r="C5" s="63"/>
      <c r="L5" s="23"/>
    </row>
    <row r="6" spans="2:12" ht="19.5" x14ac:dyDescent="0.45">
      <c r="B6" s="161" t="s">
        <v>467</v>
      </c>
      <c r="C6" s="63"/>
      <c r="L6" s="23"/>
    </row>
    <row r="7" spans="2:12" ht="19.5" x14ac:dyDescent="0.45">
      <c r="B7" s="63"/>
      <c r="C7" s="63"/>
      <c r="L7" s="23"/>
    </row>
    <row r="8" spans="2:12" s="23" customFormat="1" ht="19.5" x14ac:dyDescent="0.45">
      <c r="B8" s="340" t="s">
        <v>167</v>
      </c>
      <c r="C8" s="341"/>
      <c r="D8" s="25"/>
      <c r="E8" s="56" t="s">
        <v>545</v>
      </c>
    </row>
    <row r="9" spans="2:12" s="23" customFormat="1" ht="19.5" x14ac:dyDescent="0.45">
      <c r="D9" s="26"/>
      <c r="E9" s="56" t="s">
        <v>546</v>
      </c>
      <c r="K9" s="43"/>
    </row>
    <row r="10" spans="2:12" s="23" customFormat="1" ht="19.5" x14ac:dyDescent="0.45">
      <c r="D10" s="27"/>
      <c r="E10" s="52" t="s">
        <v>544</v>
      </c>
    </row>
    <row r="11" spans="2:12" s="23" customFormat="1" ht="19.5" x14ac:dyDescent="0.45">
      <c r="E11" s="52"/>
    </row>
    <row r="12" spans="2:12" s="23" customFormat="1" ht="19.5" x14ac:dyDescent="0.45">
      <c r="B12" s="23" t="str">
        <f>'1.換気～比較表'!B19</f>
        <v>R4_Ver8.3</v>
      </c>
      <c r="E12" s="52"/>
    </row>
    <row r="13" spans="2:12" s="23" customFormat="1" ht="19.5" customHeight="1" x14ac:dyDescent="0.45">
      <c r="B13" s="24"/>
      <c r="C13" s="24"/>
      <c r="D13" s="24"/>
      <c r="K13" s="124"/>
    </row>
    <row r="14" spans="2:12" ht="43.5" customHeight="1" x14ac:dyDescent="0.45">
      <c r="B14" s="65" t="s">
        <v>242</v>
      </c>
      <c r="C14" s="65"/>
      <c r="G14" s="336" t="s">
        <v>196</v>
      </c>
      <c r="H14" s="336"/>
      <c r="I14" s="349" t="str">
        <f>IF(OR(I16="",I16="サーバーの設置を確認"),"確認事項を選択",IF(I16="はい",IF(I29=1,"未入力",IF(F34&lt;1500,"該当","非該当")),IF(OR(F24&lt;=0,F24=""),"未入力",IF(F24&lt;1500,"該当","非該当"))))</f>
        <v>確認事項を選択</v>
      </c>
      <c r="J14" s="349"/>
      <c r="L14" s="23"/>
    </row>
    <row r="15" spans="2:12" ht="19.5" customHeight="1" x14ac:dyDescent="0.45"/>
    <row r="16" spans="2:12" ht="34.5" customHeight="1" x14ac:dyDescent="0.45">
      <c r="C16" s="352" t="s">
        <v>259</v>
      </c>
      <c r="D16" s="352"/>
      <c r="E16" s="352"/>
      <c r="F16" s="352"/>
      <c r="G16" s="352"/>
      <c r="H16" s="353"/>
      <c r="I16" s="350" t="s">
        <v>261</v>
      </c>
      <c r="J16" s="351"/>
    </row>
    <row r="17" spans="3:11" ht="33" customHeight="1" x14ac:dyDescent="0.45">
      <c r="D17" s="115"/>
      <c r="E17" s="354" t="s">
        <v>471</v>
      </c>
      <c r="F17" s="354"/>
      <c r="G17" s="354"/>
      <c r="H17" s="354"/>
      <c r="I17" s="114"/>
      <c r="J17" s="114"/>
      <c r="K17" s="114"/>
    </row>
    <row r="18" spans="3:11" ht="19.5" customHeight="1" x14ac:dyDescent="0.45">
      <c r="C18" s="108"/>
      <c r="D18" s="23"/>
      <c r="E18" s="101"/>
    </row>
    <row r="19" spans="3:11" x14ac:dyDescent="0.45">
      <c r="C19" s="64" t="s">
        <v>469</v>
      </c>
    </row>
    <row r="20" spans="3:11" ht="40.5" customHeight="1" x14ac:dyDescent="0.45">
      <c r="C20" s="342" t="s">
        <v>223</v>
      </c>
      <c r="D20" s="342"/>
      <c r="E20" s="342"/>
      <c r="F20" s="346" t="s">
        <v>105</v>
      </c>
      <c r="G20" s="346"/>
      <c r="H20" s="107"/>
    </row>
    <row r="21" spans="3:11" ht="40.5" customHeight="1" x14ac:dyDescent="0.45">
      <c r="C21" s="342" t="s">
        <v>224</v>
      </c>
      <c r="D21" s="342"/>
      <c r="E21" s="342"/>
      <c r="F21" s="347"/>
      <c r="G21" s="347"/>
      <c r="H21" s="107" t="s">
        <v>225</v>
      </c>
    </row>
    <row r="22" spans="3:11" ht="40.5" customHeight="1" x14ac:dyDescent="0.45">
      <c r="C22" s="345" t="s">
        <v>239</v>
      </c>
      <c r="D22" s="342"/>
      <c r="E22" s="342"/>
      <c r="F22" s="344"/>
      <c r="G22" s="344"/>
      <c r="H22" s="107" t="s">
        <v>235</v>
      </c>
    </row>
    <row r="23" spans="3:11" ht="40.5" customHeight="1" x14ac:dyDescent="0.45">
      <c r="C23" s="342" t="s">
        <v>243</v>
      </c>
      <c r="D23" s="342"/>
      <c r="E23" s="342"/>
      <c r="F23" s="348" t="str">
        <f>IF(F21="","",IF(ISERROR(F21*F22*VLOOKUP($F$20,計算!$AB$4:$AC$8,2,FALSE)/1000),"事業所等の区分を選択",(F21*F22*VLOOKUP($F$20,計算!$AB$4:$AC$8,2,FALSE)/1000)))</f>
        <v/>
      </c>
      <c r="G23" s="348"/>
      <c r="H23" s="107" t="s">
        <v>236</v>
      </c>
    </row>
    <row r="24" spans="3:11" ht="40.5" customHeight="1" x14ac:dyDescent="0.45">
      <c r="C24" s="342" t="s">
        <v>231</v>
      </c>
      <c r="D24" s="342"/>
      <c r="E24" s="342"/>
      <c r="F24" s="348" t="str">
        <f>IF(I16="はい","",IF(ISERROR(F23*計算!$C$7),"",F23*計算!$C$7))</f>
        <v/>
      </c>
      <c r="G24" s="348"/>
      <c r="H24" s="107" t="s">
        <v>237</v>
      </c>
    </row>
    <row r="27" spans="3:11" x14ac:dyDescent="0.45">
      <c r="C27" s="64" t="s">
        <v>470</v>
      </c>
    </row>
    <row r="28" spans="3:11" ht="40.5" customHeight="1" x14ac:dyDescent="0.45">
      <c r="C28" s="342" t="s">
        <v>223</v>
      </c>
      <c r="D28" s="342"/>
      <c r="E28" s="342"/>
      <c r="F28" s="343" t="s">
        <v>260</v>
      </c>
      <c r="G28" s="343"/>
      <c r="H28" s="107"/>
    </row>
    <row r="29" spans="3:11" ht="40.5" customHeight="1" x14ac:dyDescent="0.45">
      <c r="C29" s="342" t="s">
        <v>233</v>
      </c>
      <c r="D29" s="342"/>
      <c r="E29" s="342"/>
      <c r="F29" s="344"/>
      <c r="G29" s="344"/>
      <c r="H29" s="107" t="s">
        <v>225</v>
      </c>
      <c r="I29" s="116">
        <f>IF(OR(F29="",F30="",F31="",F32="",F29&lt;=0,F30&lt;=0,F31&lt;=0,F32&lt;=0),1,0)</f>
        <v>1</v>
      </c>
    </row>
    <row r="30" spans="3:11" ht="40.5" customHeight="1" x14ac:dyDescent="0.45">
      <c r="C30" s="345" t="s">
        <v>238</v>
      </c>
      <c r="D30" s="342"/>
      <c r="E30" s="342"/>
      <c r="F30" s="344"/>
      <c r="G30" s="344"/>
      <c r="H30" s="107" t="s">
        <v>235</v>
      </c>
    </row>
    <row r="31" spans="3:11" ht="40.5" customHeight="1" x14ac:dyDescent="0.45">
      <c r="C31" s="345" t="s">
        <v>234</v>
      </c>
      <c r="D31" s="342"/>
      <c r="E31" s="342"/>
      <c r="F31" s="344"/>
      <c r="G31" s="344"/>
      <c r="H31" s="107" t="s">
        <v>225</v>
      </c>
    </row>
    <row r="32" spans="3:11" ht="40.5" customHeight="1" x14ac:dyDescent="0.45">
      <c r="C32" s="345" t="s">
        <v>240</v>
      </c>
      <c r="D32" s="342"/>
      <c r="E32" s="342"/>
      <c r="F32" s="344"/>
      <c r="G32" s="344"/>
      <c r="H32" s="107" t="s">
        <v>235</v>
      </c>
    </row>
    <row r="33" spans="3:8" ht="40.5" customHeight="1" x14ac:dyDescent="0.45">
      <c r="C33" s="342" t="s">
        <v>243</v>
      </c>
      <c r="D33" s="342"/>
      <c r="E33" s="342"/>
      <c r="F33" s="348" t="str">
        <f>IF(F29="","",IF(ISERROR(((F29-F31)*F30*VLOOKUP(F28,計算!$AB$4:$AC$8,2,FALSE)+(F31*F32*1.4))/1000),"",((F29-F31)*F30*VLOOKUP(F28,計算!$AB$4:$AC$8,2,FALSE)+(F31*F32*1.4))/1000))</f>
        <v/>
      </c>
      <c r="G33" s="348"/>
      <c r="H33" s="107" t="s">
        <v>236</v>
      </c>
    </row>
    <row r="34" spans="3:8" ht="40.5" customHeight="1" x14ac:dyDescent="0.45">
      <c r="C34" s="342" t="s">
        <v>231</v>
      </c>
      <c r="D34" s="342"/>
      <c r="E34" s="342"/>
      <c r="F34" s="348" t="str">
        <f>IF(I16="いいえ","",IF(ISERROR(F33*計算!$C$7),"",F33*計算!$C$7))</f>
        <v/>
      </c>
      <c r="G34" s="348"/>
      <c r="H34" s="107" t="s">
        <v>237</v>
      </c>
    </row>
    <row r="36" spans="3:8" x14ac:dyDescent="0.45">
      <c r="C36" s="66" t="s">
        <v>232</v>
      </c>
    </row>
    <row r="37" spans="3:8" x14ac:dyDescent="0.45">
      <c r="C37" s="102" t="s">
        <v>215</v>
      </c>
      <c r="D37" s="64" t="s">
        <v>219</v>
      </c>
    </row>
    <row r="38" spans="3:8" ht="20.25" x14ac:dyDescent="0.45">
      <c r="C38" s="102" t="s">
        <v>216</v>
      </c>
      <c r="D38" s="64" t="s">
        <v>220</v>
      </c>
    </row>
    <row r="39" spans="3:8" ht="20.25" x14ac:dyDescent="0.45">
      <c r="C39" s="102" t="s">
        <v>217</v>
      </c>
      <c r="D39" s="64" t="s">
        <v>221</v>
      </c>
    </row>
    <row r="40" spans="3:8" x14ac:dyDescent="0.45">
      <c r="C40" s="102" t="s">
        <v>218</v>
      </c>
      <c r="D40" s="64" t="s">
        <v>222</v>
      </c>
    </row>
    <row r="41" spans="3:8" x14ac:dyDescent="0.45">
      <c r="C41" s="102" t="s">
        <v>550</v>
      </c>
      <c r="D41" s="64" t="s">
        <v>551</v>
      </c>
    </row>
  </sheetData>
  <sheetProtection password="DFA8" sheet="1" objects="1" scenarios="1" selectLockedCells="1"/>
  <mergeCells count="30">
    <mergeCell ref="I14:J14"/>
    <mergeCell ref="I16:J16"/>
    <mergeCell ref="C33:E33"/>
    <mergeCell ref="F33:G33"/>
    <mergeCell ref="C34:E34"/>
    <mergeCell ref="F34:G34"/>
    <mergeCell ref="C31:E31"/>
    <mergeCell ref="F31:G31"/>
    <mergeCell ref="C32:E32"/>
    <mergeCell ref="F32:G32"/>
    <mergeCell ref="C30:E30"/>
    <mergeCell ref="F30:G30"/>
    <mergeCell ref="C16:H16"/>
    <mergeCell ref="E17:H17"/>
    <mergeCell ref="B8:C8"/>
    <mergeCell ref="C28:E28"/>
    <mergeCell ref="F28:G28"/>
    <mergeCell ref="C29:E29"/>
    <mergeCell ref="F29:G29"/>
    <mergeCell ref="G14:H14"/>
    <mergeCell ref="C21:E21"/>
    <mergeCell ref="C20:E20"/>
    <mergeCell ref="C22:E22"/>
    <mergeCell ref="C23:E23"/>
    <mergeCell ref="F20:G20"/>
    <mergeCell ref="F21:G21"/>
    <mergeCell ref="F22:G22"/>
    <mergeCell ref="F23:G23"/>
    <mergeCell ref="C24:E24"/>
    <mergeCell ref="F24:G24"/>
  </mergeCells>
  <phoneticPr fontId="2"/>
  <conditionalFormatting sqref="I14:J14">
    <cfRule type="expression" dxfId="3" priority="4">
      <formula>I14="未入力"</formula>
    </cfRule>
  </conditionalFormatting>
  <conditionalFormatting sqref="F20:G24">
    <cfRule type="expression" dxfId="2" priority="3">
      <formula>$I$16="はい"</formula>
    </cfRule>
  </conditionalFormatting>
  <conditionalFormatting sqref="F28:G34">
    <cfRule type="expression" dxfId="1" priority="2">
      <formula>$I$16="いいえ"</formula>
    </cfRule>
  </conditionalFormatting>
  <conditionalFormatting sqref="F20:G24 F28:G34">
    <cfRule type="expression" dxfId="0" priority="1">
      <formula>$I$16="サーバーの設置を確認"</formula>
    </cfRule>
  </conditionalFormatting>
  <dataValidations xWindow="525" yWindow="361" count="5">
    <dataValidation allowBlank="1" sqref="D8:D9"/>
    <dataValidation allowBlank="1" showInputMessage="1" showErrorMessage="1" prompt="事務所内にサーバーを設置している区画がある場合" sqref="F28:G28"/>
    <dataValidation type="list" allowBlank="1" showInputMessage="1" showErrorMessage="1" sqref="I16:J16">
      <formula1>"サーバーの設置を確認,はい,いいえ"</formula1>
    </dataValidation>
    <dataValidation type="decimal" operator="greaterThan" allowBlank="1" showInputMessage="1" showErrorMessage="1" error="＜０＞以上の数値を入力してください。" sqref="F21:G21">
      <formula1>0</formula1>
    </dataValidation>
    <dataValidation type="decimal" operator="greaterThan" allowBlank="1" showErrorMessage="1" error="＜０＞以上の数値を入力してください。" sqref="F29:G29 F31:G31">
      <formula1>0</formula1>
    </dataValidation>
  </dataValidations>
  <pageMargins left="0.6692913385826772" right="0.31496062992125984" top="0.82677165354330717" bottom="0.15748031496062992" header="0.39370078740157483" footer="0.15748031496062992"/>
  <pageSetup paperSize="9" scale="87" fitToHeight="0" orientation="portrait" r:id="rId1"/>
  <headerFooter>
    <oddHeader>&amp;C&amp;20換気量・省エネ計算シート</oddHeader>
  </headerFooter>
  <legacyDrawing r:id="rId2"/>
  <extLst>
    <ext xmlns:x14="http://schemas.microsoft.com/office/spreadsheetml/2009/9/main" uri="{CCE6A557-97BC-4b89-ADB6-D9C93CAAB3DF}">
      <x14:dataValidations xmlns:xm="http://schemas.microsoft.com/office/excel/2006/main" xWindow="525" yWindow="361" count="4">
        <x14:dataValidation type="list" allowBlank="1" showInputMessage="1" showErrorMessage="1" prompt="事務所等の区分を選択してください。">
          <x14:formula1>
            <xm:f>計算!$AB$3:$AB$8</xm:f>
          </x14:formula1>
          <xm:sqref>F20:G20</xm:sqref>
        </x14:dataValidation>
        <x14:dataValidation type="decimal" allowBlank="1" showErrorMessage="1" error="＜1＞以上＜8760＞以下の数値を入力してください。">
          <x14:formula1>
            <xm:f>計算!AE4</xm:f>
          </x14:formula1>
          <x14:formula2>
            <xm:f>計算!AE5</xm:f>
          </x14:formula2>
          <xm:sqref>F22:G22</xm:sqref>
        </x14:dataValidation>
        <x14:dataValidation type="decimal" allowBlank="1" showErrorMessage="1" error="＜1＞以上＜8760＞以下の数値を入力してください。">
          <x14:formula1>
            <xm:f>計算!AE4</xm:f>
          </x14:formula1>
          <x14:formula2>
            <xm:f>計算!AE5</xm:f>
          </x14:formula2>
          <xm:sqref>F30:G30</xm:sqref>
        </x14:dataValidation>
        <x14:dataValidation type="decimal" allowBlank="1" showErrorMessage="1" error="＜1＞以上＜8760＞以下の数値を入力してください。">
          <x14:formula1>
            <xm:f>計算!AE4</xm:f>
          </x14:formula1>
          <x14:formula2>
            <xm:f>計算!AE5</xm:f>
          </x14:formula2>
          <xm:sqref>F32:G32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計算</vt:lpstr>
      <vt:lpstr>1.換気～比較表</vt:lpstr>
      <vt:lpstr>2-3.設備仕様入力</vt:lpstr>
      <vt:lpstr>4.エネルギー使用量</vt:lpstr>
      <vt:lpstr>5.概算使用量</vt:lpstr>
      <vt:lpstr>LPG</vt:lpstr>
      <vt:lpstr>'1.換気～比較表'!Print_Area</vt:lpstr>
      <vt:lpstr>'2-3.設備仕様入力'!Print_Area</vt:lpstr>
      <vt:lpstr>'4.エネルギー使用量'!Print_Area</vt:lpstr>
      <vt:lpstr>'5.概算使用量'!Print_Area</vt:lpstr>
      <vt:lpstr>'1.換気～比較表'!Print_Titles</vt:lpstr>
      <vt:lpstr>'4.エネルギー使用量'!Print_Titles</vt:lpstr>
      <vt:lpstr>'5.概算使用量'!Print_Titles</vt:lpstr>
      <vt:lpstr>都市ガス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PC20A06JR003</dc:creator>
  <cp:lastModifiedBy>CN</cp:lastModifiedBy>
  <cp:lastPrinted>2022-04-13T01:02:50Z</cp:lastPrinted>
  <dcterms:created xsi:type="dcterms:W3CDTF">2021-06-30T04:19:28Z</dcterms:created>
  <dcterms:modified xsi:type="dcterms:W3CDTF">2022-10-21T05:26:16Z</dcterms:modified>
</cp:coreProperties>
</file>